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12.xml" ContentType="application/vnd.openxmlformats-officedocument.drawingml.chart+xml"/>
  <Override PartName="/xl/drawings/drawing15.xml" ContentType="application/vnd.openxmlformats-officedocument.drawingml.chartshapes+xml"/>
  <Override PartName="/xl/charts/chart13.xml" ContentType="application/vnd.openxmlformats-officedocument.drawingml.chart+xml"/>
  <Override PartName="/xl/drawings/drawing16.xml" ContentType="application/vnd.openxmlformats-officedocument.drawingml.chartshapes+xml"/>
  <Override PartName="/xl/charts/chart14.xml" ContentType="application/vnd.openxmlformats-officedocument.drawingml.chart+xml"/>
  <Override PartName="/xl/drawings/drawing17.xml" ContentType="application/vnd.openxmlformats-officedocument.drawingml.chartshapes+xml"/>
  <Override PartName="/xl/charts/chart15.xml" ContentType="application/vnd.openxmlformats-officedocument.drawingml.chart+xml"/>
  <Override PartName="/xl/drawings/drawing18.xml" ContentType="application/vnd.openxmlformats-officedocument.drawingml.chartshapes+xml"/>
  <Override PartName="/xl/charts/chart16.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harts/chart17.xml" ContentType="application/vnd.openxmlformats-officedocument.drawingml.chart+xml"/>
  <Override PartName="/xl/drawings/drawing21.xml" ContentType="application/vnd.openxmlformats-officedocument.drawingml.chartshapes+xml"/>
  <Override PartName="/xl/charts/chart18.xml" ContentType="application/vnd.openxmlformats-officedocument.drawingml.chart+xml"/>
  <Override PartName="/xl/drawings/drawing22.xml" ContentType="application/vnd.openxmlformats-officedocument.drawingml.chartshapes+xml"/>
  <Override PartName="/xl/charts/chart19.xml" ContentType="application/vnd.openxmlformats-officedocument.drawingml.chart+xml"/>
  <Override PartName="/xl/drawings/drawing23.xml" ContentType="application/vnd.openxmlformats-officedocument.drawingml.chartshapes+xml"/>
  <Override PartName="/xl/charts/chart20.xml" ContentType="application/vnd.openxmlformats-officedocument.drawingml.chart+xml"/>
  <Override PartName="/xl/drawings/drawing24.xml" ContentType="application/vnd.openxmlformats-officedocument.drawingml.chartshapes+xml"/>
  <Override PartName="/xl/charts/chart21.xml" ContentType="application/vnd.openxmlformats-officedocument.drawingml.chart+xml"/>
  <Override PartName="/xl/drawings/drawing25.xml" ContentType="application/vnd.openxmlformats-officedocument.drawingml.chartshapes+xml"/>
  <Override PartName="/xl/drawings/drawing26.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27.xml" ContentType="application/vnd.openxmlformats-officedocument.drawingml.chartshapes+xml"/>
  <Override PartName="/xl/charts/chart24.xml" ContentType="application/vnd.openxmlformats-officedocument.drawingml.chart+xml"/>
  <Override PartName="/xl/drawings/drawing28.xml" ContentType="application/vnd.openxmlformats-officedocument.drawingml.chartshapes+xml"/>
  <Override PartName="/xl/charts/chart25.xml" ContentType="application/vnd.openxmlformats-officedocument.drawingml.chart+xml"/>
  <Override PartName="/xl/drawings/drawing29.xml" ContentType="application/vnd.openxmlformats-officedocument.drawingml.chartshapes+xml"/>
  <Override PartName="/xl/charts/chart26.xml" ContentType="application/vnd.openxmlformats-officedocument.drawingml.chart+xml"/>
  <Override PartName="/xl/drawings/drawing30.xml" ContentType="application/vnd.openxmlformats-officedocument.drawingml.chartshapes+xml"/>
  <Override PartName="/xl/drawings/drawing31.xml" ContentType="application/vnd.openxmlformats-officedocument.drawing+xml"/>
  <Override PartName="/xl/charts/chart27.xml" ContentType="application/vnd.openxmlformats-officedocument.drawingml.chart+xml"/>
  <Override PartName="/xl/drawings/drawing32.xml" ContentType="application/vnd.openxmlformats-officedocument.drawingml.chartshapes+xml"/>
  <Override PartName="/xl/charts/chart28.xml" ContentType="application/vnd.openxmlformats-officedocument.drawingml.chart+xml"/>
  <Override PartName="/xl/drawings/drawing33.xml" ContentType="application/vnd.openxmlformats-officedocument.drawingml.chartshapes+xml"/>
  <Override PartName="/xl/charts/chart29.xml" ContentType="application/vnd.openxmlformats-officedocument.drawingml.chart+xml"/>
  <Override PartName="/xl/drawings/drawing34.xml" ContentType="application/vnd.openxmlformats-officedocument.drawingml.chartshapes+xml"/>
  <Override PartName="/xl/charts/chart30.xml" ContentType="application/vnd.openxmlformats-officedocument.drawingml.chart+xml"/>
  <Override PartName="/xl/drawings/drawing35.xml" ContentType="application/vnd.openxmlformats-officedocument.drawingml.chartshapes+xml"/>
  <Override PartName="/xl/charts/chart31.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harts/chart32.xml" ContentType="application/vnd.openxmlformats-officedocument.drawingml.chart+xml"/>
  <Override PartName="/xl/drawings/drawing38.xml" ContentType="application/vnd.openxmlformats-officedocument.drawingml.chartshapes+xml"/>
  <Override PartName="/xl/charts/chart33.xml" ContentType="application/vnd.openxmlformats-officedocument.drawingml.chart+xml"/>
  <Override PartName="/xl/drawings/drawing39.xml" ContentType="application/vnd.openxmlformats-officedocument.drawingml.chartshapes+xml"/>
  <Override PartName="/xl/charts/chart34.xml" ContentType="application/vnd.openxmlformats-officedocument.drawingml.chart+xml"/>
  <Override PartName="/xl/drawings/drawing40.xml" ContentType="application/vnd.openxmlformats-officedocument.drawingml.chartshapes+xml"/>
  <Override PartName="/xl/charts/chart35.xml" ContentType="application/vnd.openxmlformats-officedocument.drawingml.chart+xml"/>
  <Override PartName="/xl/drawings/drawing41.xml" ContentType="application/vnd.openxmlformats-officedocument.drawingml.chartshapes+xml"/>
  <Override PartName="/xl/charts/chart36.xml" ContentType="application/vnd.openxmlformats-officedocument.drawingml.chart+xml"/>
  <Override PartName="/xl/drawings/drawing42.xml" ContentType="application/vnd.openxmlformats-officedocument.drawingml.chartshapes+xml"/>
  <Override PartName="/xl/drawings/drawing43.xml" ContentType="application/vnd.openxmlformats-officedocument.drawing+xml"/>
  <Override PartName="/xl/charts/chart37.xml" ContentType="application/vnd.openxmlformats-officedocument.drawingml.chart+xml"/>
  <Override PartName="/xl/drawings/drawing44.xml" ContentType="application/vnd.openxmlformats-officedocument.drawingml.chartshapes+xml"/>
  <Override PartName="/xl/charts/chart38.xml" ContentType="application/vnd.openxmlformats-officedocument.drawingml.chart+xml"/>
  <Override PartName="/xl/drawings/drawing45.xml" ContentType="application/vnd.openxmlformats-officedocument.drawingml.chartshapes+xml"/>
  <Override PartName="/xl/charts/chart39.xml" ContentType="application/vnd.openxmlformats-officedocument.drawingml.chart+xml"/>
  <Override PartName="/xl/drawings/drawing46.xml" ContentType="application/vnd.openxmlformats-officedocument.drawingml.chartshapes+xml"/>
  <Override PartName="/xl/charts/chart40.xml" ContentType="application/vnd.openxmlformats-officedocument.drawingml.chart+xml"/>
  <Override PartName="/xl/drawings/drawing47.xml" ContentType="application/vnd.openxmlformats-officedocument.drawingml.chartshapes+xml"/>
  <Override PartName="/xl/charts/chart41.xml" ContentType="application/vnd.openxmlformats-officedocument.drawingml.chart+xml"/>
  <Override PartName="/xl/drawings/drawing48.xml" ContentType="application/vnd.openxmlformats-officedocument.drawingml.chartshapes+xml"/>
  <Override PartName="/xl/drawings/drawing49.xml" ContentType="application/vnd.openxmlformats-officedocument.drawing+xml"/>
  <Override PartName="/xl/charts/chart42.xml" ContentType="application/vnd.openxmlformats-officedocument.drawingml.chart+xml"/>
  <Override PartName="/xl/drawings/drawing50.xml" ContentType="application/vnd.openxmlformats-officedocument.drawingml.chartshapes+xml"/>
  <Override PartName="/xl/charts/chart43.xml" ContentType="application/vnd.openxmlformats-officedocument.drawingml.chart+xml"/>
  <Override PartName="/xl/drawings/drawing51.xml" ContentType="application/vnd.openxmlformats-officedocument.drawingml.chartshapes+xml"/>
  <Override PartName="/xl/charts/chart44.xml" ContentType="application/vnd.openxmlformats-officedocument.drawingml.chart+xml"/>
  <Override PartName="/xl/drawings/drawing52.xml" ContentType="application/vnd.openxmlformats-officedocument.drawingml.chartshapes+xml"/>
  <Override PartName="/xl/charts/chart45.xml" ContentType="application/vnd.openxmlformats-officedocument.drawingml.chart+xml"/>
  <Override PartName="/xl/drawings/drawing53.xml" ContentType="application/vnd.openxmlformats-officedocument.drawingml.chartshapes+xml"/>
  <Override PartName="/xl/charts/chart46.xml" ContentType="application/vnd.openxmlformats-officedocument.drawingml.chart+xml"/>
  <Override PartName="/xl/drawings/drawing54.xml" ContentType="application/vnd.openxmlformats-officedocument.drawingml.chartshapes+xml"/>
  <Override PartName="/xl/drawings/drawing55.xml" ContentType="application/vnd.openxmlformats-officedocument.drawing+xml"/>
  <Override PartName="/xl/charts/chart47.xml" ContentType="application/vnd.openxmlformats-officedocument.drawingml.chart+xml"/>
  <Override PartName="/xl/drawings/drawing56.xml" ContentType="application/vnd.openxmlformats-officedocument.drawingml.chartshapes+xml"/>
  <Override PartName="/xl/charts/chart48.xml" ContentType="application/vnd.openxmlformats-officedocument.drawingml.chart+xml"/>
  <Override PartName="/xl/drawings/drawing57.xml" ContentType="application/vnd.openxmlformats-officedocument.drawingml.chartshapes+xml"/>
  <Override PartName="/xl/charts/chart49.xml" ContentType="application/vnd.openxmlformats-officedocument.drawingml.chart+xml"/>
  <Override PartName="/xl/drawings/drawing58.xml" ContentType="application/vnd.openxmlformats-officedocument.drawingml.chartshapes+xml"/>
  <Override PartName="/xl/charts/chart50.xml" ContentType="application/vnd.openxmlformats-officedocument.drawingml.chart+xml"/>
  <Override PartName="/xl/drawings/drawing59.xml" ContentType="application/vnd.openxmlformats-officedocument.drawingml.chartshapes+xml"/>
  <Override PartName="/xl/charts/chart51.xml" ContentType="application/vnd.openxmlformats-officedocument.drawingml.chart+xml"/>
  <Override PartName="/xl/drawings/drawing60.xml" ContentType="application/vnd.openxmlformats-officedocument.drawingml.chartshapes+xml"/>
  <Override PartName="/xl/drawings/drawing61.xml" ContentType="application/vnd.openxmlformats-officedocument.drawing+xml"/>
  <Override PartName="/xl/charts/chart52.xml" ContentType="application/vnd.openxmlformats-officedocument.drawingml.chart+xml"/>
  <Override PartName="/xl/drawings/drawing62.xml" ContentType="application/vnd.openxmlformats-officedocument.drawingml.chartshapes+xml"/>
  <Override PartName="/xl/charts/chart53.xml" ContentType="application/vnd.openxmlformats-officedocument.drawingml.chart+xml"/>
  <Override PartName="/xl/drawings/drawing63.xml" ContentType="application/vnd.openxmlformats-officedocument.drawingml.chartshapes+xml"/>
  <Override PartName="/xl/charts/chart54.xml" ContentType="application/vnd.openxmlformats-officedocument.drawingml.chart+xml"/>
  <Override PartName="/xl/drawings/drawing64.xml" ContentType="application/vnd.openxmlformats-officedocument.drawingml.chartshapes+xml"/>
  <Override PartName="/xl/charts/chart55.xml" ContentType="application/vnd.openxmlformats-officedocument.drawingml.chart+xml"/>
  <Override PartName="/xl/drawings/drawing65.xml" ContentType="application/vnd.openxmlformats-officedocument.drawingml.chartshapes+xml"/>
  <Override PartName="/xl/charts/chart56.xml" ContentType="application/vnd.openxmlformats-officedocument.drawingml.chart+xml"/>
  <Override PartName="/xl/drawings/drawing66.xml" ContentType="application/vnd.openxmlformats-officedocument.drawingml.chartshapes+xml"/>
  <Override PartName="/xl/drawings/drawing67.xml" ContentType="application/vnd.openxmlformats-officedocument.drawing+xml"/>
  <Override PartName="/xl/charts/chart57.xml" ContentType="application/vnd.openxmlformats-officedocument.drawingml.chart+xml"/>
  <Override PartName="/xl/drawings/drawing68.xml" ContentType="application/vnd.openxmlformats-officedocument.drawingml.chartshapes+xml"/>
  <Override PartName="/xl/charts/chart58.xml" ContentType="application/vnd.openxmlformats-officedocument.drawingml.chart+xml"/>
  <Override PartName="/xl/drawings/drawing69.xml" ContentType="application/vnd.openxmlformats-officedocument.drawingml.chartshapes+xml"/>
  <Override PartName="/xl/charts/chart59.xml" ContentType="application/vnd.openxmlformats-officedocument.drawingml.chart+xml"/>
  <Override PartName="/xl/drawings/drawing70.xml" ContentType="application/vnd.openxmlformats-officedocument.drawingml.chartshapes+xml"/>
  <Override PartName="/xl/charts/chart60.xml" ContentType="application/vnd.openxmlformats-officedocument.drawingml.chart+xml"/>
  <Override PartName="/xl/drawings/drawing71.xml" ContentType="application/vnd.openxmlformats-officedocument.drawingml.chartshapes+xml"/>
  <Override PartName="/xl/charts/chart61.xml" ContentType="application/vnd.openxmlformats-officedocument.drawingml.chart+xml"/>
  <Override PartName="/xl/drawings/drawing72.xml" ContentType="application/vnd.openxmlformats-officedocument.drawingml.chartshapes+xml"/>
  <Override PartName="/xl/charts/chart62.xml" ContentType="application/vnd.openxmlformats-officedocument.drawingml.chart+xml"/>
  <Override PartName="/xl/drawings/drawing73.xml" ContentType="application/vnd.openxmlformats-officedocument.drawingml.chartshapes+xml"/>
  <Override PartName="/xl/drawings/drawing74.xml" ContentType="application/vnd.openxmlformats-officedocument.drawing+xml"/>
  <Override PartName="/xl/charts/chart63.xml" ContentType="application/vnd.openxmlformats-officedocument.drawingml.chart+xml"/>
  <Override PartName="/xl/charts/chart64.xml" ContentType="application/vnd.openxmlformats-officedocument.drawingml.chart+xml"/>
  <Override PartName="/xl/drawings/drawing75.xml" ContentType="application/vnd.openxmlformats-officedocument.drawingml.chartshapes+xml"/>
  <Override PartName="/xl/charts/chart65.xml" ContentType="application/vnd.openxmlformats-officedocument.drawingml.chart+xml"/>
  <Override PartName="/xl/drawings/drawing76.xml" ContentType="application/vnd.openxmlformats-officedocument.drawingml.chartshapes+xml"/>
  <Override PartName="/xl/charts/chart66.xml" ContentType="application/vnd.openxmlformats-officedocument.drawingml.chart+xml"/>
  <Override PartName="/xl/drawings/drawing77.xml" ContentType="application/vnd.openxmlformats-officedocument.drawingml.chartshapes+xml"/>
  <Override PartName="/xl/drawings/drawing78.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drawings/drawing79.xml" ContentType="application/vnd.openxmlformats-officedocument.drawingml.chartshapes+xml"/>
  <Override PartName="/xl/charts/chart69.xml" ContentType="application/vnd.openxmlformats-officedocument.drawingml.chart+xml"/>
  <Override PartName="/xl/drawings/drawing80.xml" ContentType="application/vnd.openxmlformats-officedocument.drawingml.chartshapes+xml"/>
  <Override PartName="/xl/charts/chart70.xml" ContentType="application/vnd.openxmlformats-officedocument.drawingml.chart+xml"/>
  <Override PartName="/xl/drawings/drawing81.xml" ContentType="application/vnd.openxmlformats-officedocument.drawingml.chartshapes+xml"/>
  <Override PartName="/xl/drawings/drawing82.xml" ContentType="application/vnd.openxmlformats-officedocument.drawing+xml"/>
  <Override PartName="/xl/charts/chart71.xml" ContentType="application/vnd.openxmlformats-officedocument.drawingml.chart+xml"/>
  <Override PartName="/xl/drawings/drawing83.xml" ContentType="application/vnd.openxmlformats-officedocument.drawingml.chartshapes+xml"/>
  <Override PartName="/xl/drawings/drawing84.xml" ContentType="application/vnd.openxmlformats-officedocument.drawing+xml"/>
  <Override PartName="/xl/charts/chart72.xml" ContentType="application/vnd.openxmlformats-officedocument.drawingml.chart+xml"/>
  <Override PartName="/xl/drawings/drawing85.xml" ContentType="application/vnd.openxmlformats-officedocument.drawingml.chartshapes+xml"/>
  <Override PartName="/xl/charts/chart73.xml" ContentType="application/vnd.openxmlformats-officedocument.drawingml.chart+xml"/>
  <Override PartName="/xl/drawings/drawing86.xml" ContentType="application/vnd.openxmlformats-officedocument.drawingml.chartshapes+xml"/>
  <Override PartName="/xl/charts/chart7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11"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mkh2/github/MCBook2021/chapters/ch05-ResourceIntensity/datasets/"/>
    </mc:Choice>
  </mc:AlternateContent>
  <xr:revisionPtr revIDLastSave="0" documentId="13_ncr:1_{8E65B634-648F-C04B-A8EF-B3C32C7C7D9C}" xr6:coauthVersionLast="47" xr6:coauthVersionMax="47" xr10:uidLastSave="{00000000-0000-0000-0000-000000000000}"/>
  <bookViews>
    <workbookView xWindow="13540" yWindow="760" windowWidth="13420" windowHeight="15240" firstSheet="1" activeTab="1" xr2:uid="{00000000-000D-0000-FFFF-FFFF00000000}"/>
  </bookViews>
  <sheets>
    <sheet name="data to plot" sheetId="27" r:id="rId1"/>
    <sheet name="Source" sheetId="26" r:id="rId2"/>
    <sheet name="Contents" sheetId="20" r:id="rId3"/>
    <sheet name="Definitions" sheetId="25" r:id="rId4"/>
    <sheet name="Sources" sheetId="14" r:id="rId5"/>
    <sheet name="United Kingdom" sheetId="1" r:id="rId6"/>
    <sheet name="Pennsylvania anthracite" sheetId="3" r:id="rId7"/>
    <sheet name="France and Belgium" sheetId="4" r:id="rId8"/>
    <sheet name="Japan and South Korea" sheetId="6" r:id="rId9"/>
    <sheet name="Australia" sheetId="19" r:id="rId10"/>
    <sheet name="China" sheetId="22" r:id="rId11"/>
    <sheet name="Africa" sheetId="2" r:id="rId12"/>
    <sheet name="Europe" sheetId="7" r:id="rId13"/>
    <sheet name="Russia" sheetId="23" r:id="rId14"/>
    <sheet name="Western United States" sheetId="10" r:id="rId15"/>
    <sheet name="Eastern United States" sheetId="11" r:id="rId16"/>
    <sheet name="Canada" sheetId="13" r:id="rId17"/>
    <sheet name="South Asia" sheetId="17" r:id="rId18"/>
    <sheet name="Latin America" sheetId="16" r:id="rId19"/>
    <sheet name="United States" sheetId="24" r:id="rId20"/>
    <sheet name="World coal" sheetId="15" r:id="rId21"/>
    <sheet name="Mature Regions Summary" sheetId="8" r:id="rId22"/>
    <sheet name="Active Regions Summary" sheetId="21" r:id="rId23"/>
  </sheets>
  <definedNames>
    <definedName name="cac">Definitions!#REF!</definedName>
    <definedName name="cao">Definitions!#REF!</definedName>
    <definedName name="coo">Definitions!$B$45</definedName>
    <definedName name="_xlnm.Print_Area" localSheetId="22">'Active Regions Summary'!$B$2:$I$13</definedName>
    <definedName name="_xlnm.Print_Area" localSheetId="11">Africa!$B$105:$B$124</definedName>
    <definedName name="_xlnm.Print_Area" localSheetId="9">Australia!$B$97:$B$116</definedName>
    <definedName name="_xlnm.Print_Area" localSheetId="21">'Mature Regions Summary'!$K$2:$P$6</definedName>
    <definedName name="_xlnm.Print_Area" localSheetId="6">'Pennsylvania anthracite'!$B$7:$B$27</definedName>
    <definedName name="_xlnm.Print_Area" localSheetId="5">'United Kingdom'!$B$35:$B$54</definedName>
    <definedName name="_xlnm.Print_Area" localSheetId="19">'United States'!$B$4:$B$25</definedName>
    <definedName name="_xlnm.Print_Area" localSheetId="14">'Western United States'!$B$102:$B$121</definedName>
    <definedName name="_xlnm.Print_Area" localSheetId="20">'World coal'!$B$8:$B$27</definedName>
    <definedName name="solver_adj" localSheetId="11" hidden="1">Africa!$F$1</definedName>
    <definedName name="solver_adj" localSheetId="9" hidden="1">Australia!$F$1</definedName>
    <definedName name="solver_adj" localSheetId="16" hidden="1">Canada!$F$5</definedName>
    <definedName name="solver_adj" localSheetId="10" hidden="1">China!$F$8</definedName>
    <definedName name="solver_adj" localSheetId="15" hidden="1">'Eastern United States'!$F$5</definedName>
    <definedName name="solver_adj" localSheetId="12" hidden="1">Europe!$F$1</definedName>
    <definedName name="solver_adj" localSheetId="7" hidden="1">'France and Belgium'!$F$5</definedName>
    <definedName name="solver_adj" localSheetId="8" hidden="1">'Japan and South Korea'!$F$1</definedName>
    <definedName name="solver_adj" localSheetId="18" hidden="1">'Latin America'!$F$5</definedName>
    <definedName name="solver_adj" localSheetId="6" hidden="1">'Pennsylvania anthracite'!$F$5</definedName>
    <definedName name="solver_adj" localSheetId="13" hidden="1">Russia!$F$10</definedName>
    <definedName name="solver_adj" localSheetId="17" hidden="1">'South Asia'!$F$5</definedName>
    <definedName name="solver_adj" localSheetId="5" hidden="1">'United Kingdom'!$F$5</definedName>
    <definedName name="solver_adj" localSheetId="19" hidden="1">'United States'!#REF!</definedName>
    <definedName name="solver_adj" localSheetId="14" hidden="1">'Western United States'!$F$5</definedName>
    <definedName name="solver_adj" localSheetId="20" hidden="1">'World coal'!#REF!</definedName>
    <definedName name="solver_cvg" localSheetId="11" hidden="1">0.000000000001</definedName>
    <definedName name="solver_cvg" localSheetId="9" hidden="1">0.000000000001</definedName>
    <definedName name="solver_cvg" localSheetId="16" hidden="1">0.000000000001</definedName>
    <definedName name="solver_cvg" localSheetId="10" hidden="1">0.000000000001</definedName>
    <definedName name="solver_cvg" localSheetId="15" hidden="1">0.000000000001</definedName>
    <definedName name="solver_cvg" localSheetId="12" hidden="1">0.000000000001</definedName>
    <definedName name="solver_cvg" localSheetId="7" hidden="1">0.000000000001</definedName>
    <definedName name="solver_cvg" localSheetId="8" hidden="1">0.000000000001</definedName>
    <definedName name="solver_cvg" localSheetId="18" hidden="1">0.000000000001</definedName>
    <definedName name="solver_cvg" localSheetId="6" hidden="1">0.000000000001</definedName>
    <definedName name="solver_cvg" localSheetId="13" hidden="1">0.000000000001</definedName>
    <definedName name="solver_cvg" localSheetId="17" hidden="1">0.000000000001</definedName>
    <definedName name="solver_cvg" localSheetId="5" hidden="1">0.000000000001</definedName>
    <definedName name="solver_cvg" localSheetId="19" hidden="1">0.000000000001</definedName>
    <definedName name="solver_cvg" localSheetId="14" hidden="1">0.000000000001</definedName>
    <definedName name="solver_cvg" localSheetId="20" hidden="1">0.000000000001</definedName>
    <definedName name="solver_drv" localSheetId="11" hidden="1">2</definedName>
    <definedName name="solver_drv" localSheetId="9" hidden="1">2</definedName>
    <definedName name="solver_drv" localSheetId="16" hidden="1">2</definedName>
    <definedName name="solver_drv" localSheetId="10" hidden="1">2</definedName>
    <definedName name="solver_drv" localSheetId="15" hidden="1">2</definedName>
    <definedName name="solver_drv" localSheetId="12" hidden="1">2</definedName>
    <definedName name="solver_drv" localSheetId="7" hidden="1">2</definedName>
    <definedName name="solver_drv" localSheetId="8" hidden="1">2</definedName>
    <definedName name="solver_drv" localSheetId="18" hidden="1">2</definedName>
    <definedName name="solver_drv" localSheetId="6" hidden="1">2</definedName>
    <definedName name="solver_drv" localSheetId="13" hidden="1">2</definedName>
    <definedName name="solver_drv" localSheetId="17" hidden="1">2</definedName>
    <definedName name="solver_drv" localSheetId="5" hidden="1">2</definedName>
    <definedName name="solver_drv" localSheetId="19" hidden="1">2</definedName>
    <definedName name="solver_drv" localSheetId="14" hidden="1">2</definedName>
    <definedName name="solver_drv" localSheetId="20" hidden="1">2</definedName>
    <definedName name="solver_est" localSheetId="11" hidden="1">1</definedName>
    <definedName name="solver_est" localSheetId="9" hidden="1">1</definedName>
    <definedName name="solver_est" localSheetId="16" hidden="1">1</definedName>
    <definedName name="solver_est" localSheetId="10" hidden="1">1</definedName>
    <definedName name="solver_est" localSheetId="15" hidden="1">1</definedName>
    <definedName name="solver_est" localSheetId="12" hidden="1">1</definedName>
    <definedName name="solver_est" localSheetId="7" hidden="1">1</definedName>
    <definedName name="solver_est" localSheetId="8" hidden="1">1</definedName>
    <definedName name="solver_est" localSheetId="18" hidden="1">1</definedName>
    <definedName name="solver_est" localSheetId="6" hidden="1">1</definedName>
    <definedName name="solver_est" localSheetId="13" hidden="1">1</definedName>
    <definedName name="solver_est" localSheetId="17" hidden="1">1</definedName>
    <definedName name="solver_est" localSheetId="5" hidden="1">1</definedName>
    <definedName name="solver_est" localSheetId="19" hidden="1">1</definedName>
    <definedName name="solver_est" localSheetId="14" hidden="1">1</definedName>
    <definedName name="solver_est" localSheetId="20" hidden="1">1</definedName>
    <definedName name="solver_itr" localSheetId="11" hidden="1">9999</definedName>
    <definedName name="solver_itr" localSheetId="9" hidden="1">9999</definedName>
    <definedName name="solver_itr" localSheetId="16" hidden="1">9999</definedName>
    <definedName name="solver_itr" localSheetId="10" hidden="1">9999</definedName>
    <definedName name="solver_itr" localSheetId="15" hidden="1">9999</definedName>
    <definedName name="solver_itr" localSheetId="12" hidden="1">9999</definedName>
    <definedName name="solver_itr" localSheetId="7" hidden="1">9999</definedName>
    <definedName name="solver_itr" localSheetId="8" hidden="1">9999</definedName>
    <definedName name="solver_itr" localSheetId="18" hidden="1">9999</definedName>
    <definedName name="solver_itr" localSheetId="6" hidden="1">9999</definedName>
    <definedName name="solver_itr" localSheetId="13" hidden="1">9999</definedName>
    <definedName name="solver_itr" localSheetId="17" hidden="1">9999</definedName>
    <definedName name="solver_itr" localSheetId="5" hidden="1">9999</definedName>
    <definedName name="solver_itr" localSheetId="19" hidden="1">9999</definedName>
    <definedName name="solver_itr" localSheetId="14" hidden="1">9999</definedName>
    <definedName name="solver_itr" localSheetId="20" hidden="1">9999</definedName>
    <definedName name="solver_lhs1" localSheetId="9" hidden="1">Australia!#REF!</definedName>
    <definedName name="solver_lhs1" localSheetId="7" hidden="1">'France and Belgium'!$F$1</definedName>
    <definedName name="solver_lhs1" localSheetId="8" hidden="1">'Japan and South Korea'!$F$1</definedName>
    <definedName name="solver_lhs1" localSheetId="18" hidden="1">'Latin America'!$F$5</definedName>
    <definedName name="solver_lhs1" localSheetId="6" hidden="1">'Pennsylvania anthracite'!$F$5</definedName>
    <definedName name="solver_lhs1" localSheetId="17" hidden="1">'South Asia'!$F$5</definedName>
    <definedName name="solver_lhs1" localSheetId="5" hidden="1">'United Kingdom'!$F$1</definedName>
    <definedName name="solver_lin" localSheetId="11" hidden="1">2</definedName>
    <definedName name="solver_lin" localSheetId="9" hidden="1">2</definedName>
    <definedName name="solver_lin" localSheetId="16" hidden="1">2</definedName>
    <definedName name="solver_lin" localSheetId="10" hidden="1">2</definedName>
    <definedName name="solver_lin" localSheetId="15" hidden="1">2</definedName>
    <definedName name="solver_lin" localSheetId="12" hidden="1">2</definedName>
    <definedName name="solver_lin" localSheetId="7" hidden="1">2</definedName>
    <definedName name="solver_lin" localSheetId="8" hidden="1">2</definedName>
    <definedName name="solver_lin" localSheetId="18" hidden="1">2</definedName>
    <definedName name="solver_lin" localSheetId="6" hidden="1">2</definedName>
    <definedName name="solver_lin" localSheetId="13" hidden="1">2</definedName>
    <definedName name="solver_lin" localSheetId="17" hidden="1">2</definedName>
    <definedName name="solver_lin" localSheetId="5" hidden="1">2</definedName>
    <definedName name="solver_lin" localSheetId="19" hidden="1">2</definedName>
    <definedName name="solver_lin" localSheetId="14" hidden="1">2</definedName>
    <definedName name="solver_lin" localSheetId="20" hidden="1">2</definedName>
    <definedName name="solver_neg" localSheetId="11" hidden="1">2</definedName>
    <definedName name="solver_neg" localSheetId="9" hidden="1">2</definedName>
    <definedName name="solver_neg" localSheetId="16" hidden="1">2</definedName>
    <definedName name="solver_neg" localSheetId="10" hidden="1">2</definedName>
    <definedName name="solver_neg" localSheetId="15" hidden="1">2</definedName>
    <definedName name="solver_neg" localSheetId="12" hidden="1">2</definedName>
    <definedName name="solver_neg" localSheetId="7" hidden="1">2</definedName>
    <definedName name="solver_neg" localSheetId="8" hidden="1">2</definedName>
    <definedName name="solver_neg" localSheetId="18" hidden="1">2</definedName>
    <definedName name="solver_neg" localSheetId="6" hidden="1">2</definedName>
    <definedName name="solver_neg" localSheetId="13" hidden="1">2</definedName>
    <definedName name="solver_neg" localSheetId="17" hidden="1">2</definedName>
    <definedName name="solver_neg" localSheetId="5" hidden="1">2</definedName>
    <definedName name="solver_neg" localSheetId="19" hidden="1">2</definedName>
    <definedName name="solver_neg" localSheetId="14" hidden="1">2</definedName>
    <definedName name="solver_neg" localSheetId="20" hidden="1">2</definedName>
    <definedName name="solver_num" localSheetId="11" hidden="1">0</definedName>
    <definedName name="solver_num" localSheetId="9" hidden="1">0</definedName>
    <definedName name="solver_num" localSheetId="16" hidden="1">0</definedName>
    <definedName name="solver_num" localSheetId="10" hidden="1">0</definedName>
    <definedName name="solver_num" localSheetId="15" hidden="1">0</definedName>
    <definedName name="solver_num" localSheetId="12" hidden="1">0</definedName>
    <definedName name="solver_num" localSheetId="7" hidden="1">0</definedName>
    <definedName name="solver_num" localSheetId="8" hidden="1">0</definedName>
    <definedName name="solver_num" localSheetId="18" hidden="1">1</definedName>
    <definedName name="solver_num" localSheetId="6" hidden="1">1</definedName>
    <definedName name="solver_num" localSheetId="13" hidden="1">0</definedName>
    <definedName name="solver_num" localSheetId="17" hidden="1">1</definedName>
    <definedName name="solver_num" localSheetId="5" hidden="1">0</definedName>
    <definedName name="solver_num" localSheetId="19" hidden="1">0</definedName>
    <definedName name="solver_num" localSheetId="14" hidden="1">0</definedName>
    <definedName name="solver_num" localSheetId="20" hidden="1">0</definedName>
    <definedName name="solver_nwt" localSheetId="11" hidden="1">1</definedName>
    <definedName name="solver_nwt" localSheetId="9" hidden="1">1</definedName>
    <definedName name="solver_nwt" localSheetId="16" hidden="1">1</definedName>
    <definedName name="solver_nwt" localSheetId="10" hidden="1">1</definedName>
    <definedName name="solver_nwt" localSheetId="15" hidden="1">1</definedName>
    <definedName name="solver_nwt" localSheetId="12" hidden="1">1</definedName>
    <definedName name="solver_nwt" localSheetId="7" hidden="1">1</definedName>
    <definedName name="solver_nwt" localSheetId="8" hidden="1">1</definedName>
    <definedName name="solver_nwt" localSheetId="18" hidden="1">1</definedName>
    <definedName name="solver_nwt" localSheetId="6" hidden="1">1</definedName>
    <definedName name="solver_nwt" localSheetId="13" hidden="1">1</definedName>
    <definedName name="solver_nwt" localSheetId="17" hidden="1">1</definedName>
    <definedName name="solver_nwt" localSheetId="5" hidden="1">1</definedName>
    <definedName name="solver_nwt" localSheetId="19" hidden="1">1</definedName>
    <definedName name="solver_nwt" localSheetId="14" hidden="1">1</definedName>
    <definedName name="solver_nwt" localSheetId="20" hidden="1">1</definedName>
    <definedName name="solver_opt" localSheetId="11" hidden="1">Africa!$E$1</definedName>
    <definedName name="solver_opt" localSheetId="9" hidden="1">Australia!$E$1</definedName>
    <definedName name="solver_opt" localSheetId="16" hidden="1">Canada!$E$5</definedName>
    <definedName name="solver_opt" localSheetId="10" hidden="1">China!$E$8</definedName>
    <definedName name="solver_opt" localSheetId="15" hidden="1">'Eastern United States'!$E$5</definedName>
    <definedName name="solver_opt" localSheetId="12" hidden="1">Europe!$E$1</definedName>
    <definedName name="solver_opt" localSheetId="7" hidden="1">'France and Belgium'!$E$5</definedName>
    <definedName name="solver_opt" localSheetId="8" hidden="1">'Japan and South Korea'!$E$1</definedName>
    <definedName name="solver_opt" localSheetId="18" hidden="1">'Latin America'!$E$5</definedName>
    <definedName name="solver_opt" localSheetId="6" hidden="1">'Pennsylvania anthracite'!$E$5</definedName>
    <definedName name="solver_opt" localSheetId="13" hidden="1">Russia!$E$10</definedName>
    <definedName name="solver_opt" localSheetId="17" hidden="1">'South Asia'!$E$5</definedName>
    <definedName name="solver_opt" localSheetId="5" hidden="1">'United Kingdom'!$E$5</definedName>
    <definedName name="solver_opt" localSheetId="19" hidden="1">'United States'!#REF!</definedName>
    <definedName name="solver_opt" localSheetId="14" hidden="1">'Western United States'!$E$5</definedName>
    <definedName name="solver_opt" localSheetId="20" hidden="1">'World coal'!#REF!</definedName>
    <definedName name="solver_pre" localSheetId="11" hidden="1">0.000000000001</definedName>
    <definedName name="solver_pre" localSheetId="9" hidden="1">0.000000000001</definedName>
    <definedName name="solver_pre" localSheetId="16" hidden="1">0.000000000001</definedName>
    <definedName name="solver_pre" localSheetId="10" hidden="1">0.000000000001</definedName>
    <definedName name="solver_pre" localSheetId="15" hidden="1">0.000000000001</definedName>
    <definedName name="solver_pre" localSheetId="12" hidden="1">0.000000000001</definedName>
    <definedName name="solver_pre" localSheetId="7" hidden="1">0.000000000001</definedName>
    <definedName name="solver_pre" localSheetId="8" hidden="1">0.000000000001</definedName>
    <definedName name="solver_pre" localSheetId="18" hidden="1">0.000000000001</definedName>
    <definedName name="solver_pre" localSheetId="6" hidden="1">0.000000000001</definedName>
    <definedName name="solver_pre" localSheetId="13" hidden="1">0.000000000001</definedName>
    <definedName name="solver_pre" localSheetId="17" hidden="1">0.000000000001</definedName>
    <definedName name="solver_pre" localSheetId="5" hidden="1">0.000000000001</definedName>
    <definedName name="solver_pre" localSheetId="19" hidden="1">0.000000000001</definedName>
    <definedName name="solver_pre" localSheetId="14" hidden="1">0.000000000001</definedName>
    <definedName name="solver_pre" localSheetId="20" hidden="1">0.000000000001</definedName>
    <definedName name="solver_rel1" localSheetId="9" hidden="1">3</definedName>
    <definedName name="solver_rel1" localSheetId="7" hidden="1">3</definedName>
    <definedName name="solver_rel1" localSheetId="8" hidden="1">3</definedName>
    <definedName name="solver_rel1" localSheetId="18" hidden="1">3</definedName>
    <definedName name="solver_rel1" localSheetId="6" hidden="1">3</definedName>
    <definedName name="solver_rel1" localSheetId="17" hidden="1">3</definedName>
    <definedName name="solver_rel1" localSheetId="5" hidden="1">3</definedName>
    <definedName name="solver_rhs1" localSheetId="9" hidden="1">3.59</definedName>
    <definedName name="solver_rhs1" localSheetId="7" hidden="1">7.19</definedName>
    <definedName name="solver_rhs1" localSheetId="8" hidden="1">'Japan and South Korea'!$F$144+0.001</definedName>
    <definedName name="solver_rhs1" localSheetId="18" hidden="1">'Latin America'!$F$221</definedName>
    <definedName name="solver_rhs1" localSheetId="6" hidden="1">'Pennsylvania anthracite'!$F$218</definedName>
    <definedName name="solver_rhs1" localSheetId="17" hidden="1">'South Asia'!$F$221</definedName>
    <definedName name="solver_rhs1" localSheetId="5" hidden="1">28.6</definedName>
    <definedName name="solver_scl" localSheetId="11" hidden="1">2</definedName>
    <definedName name="solver_scl" localSheetId="9" hidden="1">1</definedName>
    <definedName name="solver_scl" localSheetId="16" hidden="1">1</definedName>
    <definedName name="solver_scl" localSheetId="10" hidden="1">1</definedName>
    <definedName name="solver_scl" localSheetId="15" hidden="1">1</definedName>
    <definedName name="solver_scl" localSheetId="12" hidden="1">1</definedName>
    <definedName name="solver_scl" localSheetId="7" hidden="1">1</definedName>
    <definedName name="solver_scl" localSheetId="8" hidden="1">1</definedName>
    <definedName name="solver_scl" localSheetId="18" hidden="1">1</definedName>
    <definedName name="solver_scl" localSheetId="6" hidden="1">1</definedName>
    <definedName name="solver_scl" localSheetId="13" hidden="1">1</definedName>
    <definedName name="solver_scl" localSheetId="17" hidden="1">1</definedName>
    <definedName name="solver_scl" localSheetId="5" hidden="1">1</definedName>
    <definedName name="solver_scl" localSheetId="19" hidden="1">1</definedName>
    <definedName name="solver_scl" localSheetId="14" hidden="1">1</definedName>
    <definedName name="solver_scl" localSheetId="20" hidden="1">1</definedName>
    <definedName name="solver_sho" localSheetId="11" hidden="1">2</definedName>
    <definedName name="solver_sho" localSheetId="9" hidden="1">2</definedName>
    <definedName name="solver_sho" localSheetId="16" hidden="1">2</definedName>
    <definedName name="solver_sho" localSheetId="10" hidden="1">2</definedName>
    <definedName name="solver_sho" localSheetId="15" hidden="1">2</definedName>
    <definedName name="solver_sho" localSheetId="12" hidden="1">2</definedName>
    <definedName name="solver_sho" localSheetId="7" hidden="1">2</definedName>
    <definedName name="solver_sho" localSheetId="8" hidden="1">2</definedName>
    <definedName name="solver_sho" localSheetId="18" hidden="1">2</definedName>
    <definedName name="solver_sho" localSheetId="6" hidden="1">2</definedName>
    <definedName name="solver_sho" localSheetId="13" hidden="1">2</definedName>
    <definedName name="solver_sho" localSheetId="17" hidden="1">2</definedName>
    <definedName name="solver_sho" localSheetId="5" hidden="1">2</definedName>
    <definedName name="solver_sho" localSheetId="19" hidden="1">2</definedName>
    <definedName name="solver_sho" localSheetId="14" hidden="1">2</definedName>
    <definedName name="solver_sho" localSheetId="20" hidden="1">2</definedName>
    <definedName name="solver_tim" localSheetId="11" hidden="1">9999</definedName>
    <definedName name="solver_tim" localSheetId="9" hidden="1">9999</definedName>
    <definedName name="solver_tim" localSheetId="16" hidden="1">9999</definedName>
    <definedName name="solver_tim" localSheetId="10" hidden="1">9999</definedName>
    <definedName name="solver_tim" localSheetId="15" hidden="1">9999</definedName>
    <definedName name="solver_tim" localSheetId="12" hidden="1">9999</definedName>
    <definedName name="solver_tim" localSheetId="7" hidden="1">9999</definedName>
    <definedName name="solver_tim" localSheetId="8" hidden="1">9999</definedName>
    <definedName name="solver_tim" localSheetId="18" hidden="1">9999</definedName>
    <definedName name="solver_tim" localSheetId="6" hidden="1">9999</definedName>
    <definedName name="solver_tim" localSheetId="13" hidden="1">9999</definedName>
    <definedName name="solver_tim" localSheetId="17" hidden="1">9999</definedName>
    <definedName name="solver_tim" localSheetId="5" hidden="1">9999</definedName>
    <definedName name="solver_tim" localSheetId="19" hidden="1">9999</definedName>
    <definedName name="solver_tim" localSheetId="14" hidden="1">9999</definedName>
    <definedName name="solver_tim" localSheetId="20" hidden="1">9999</definedName>
    <definedName name="solver_tol" localSheetId="11" hidden="1">0</definedName>
    <definedName name="solver_tol" localSheetId="9" hidden="1">0</definedName>
    <definedName name="solver_tol" localSheetId="16" hidden="1">0</definedName>
    <definedName name="solver_tol" localSheetId="10" hidden="1">0</definedName>
    <definedName name="solver_tol" localSheetId="15" hidden="1">0</definedName>
    <definedName name="solver_tol" localSheetId="12" hidden="1">0</definedName>
    <definedName name="solver_tol" localSheetId="7" hidden="1">0</definedName>
    <definedName name="solver_tol" localSheetId="8" hidden="1">0</definedName>
    <definedName name="solver_tol" localSheetId="18" hidden="1">0</definedName>
    <definedName name="solver_tol" localSheetId="6" hidden="1">0</definedName>
    <definedName name="solver_tol" localSheetId="13" hidden="1">0</definedName>
    <definedName name="solver_tol" localSheetId="17" hidden="1">0</definedName>
    <definedName name="solver_tol" localSheetId="5" hidden="1">0</definedName>
    <definedName name="solver_tol" localSheetId="19" hidden="1">0</definedName>
    <definedName name="solver_tol" localSheetId="14" hidden="1">0</definedName>
    <definedName name="solver_tol" localSheetId="20" hidden="1">0</definedName>
    <definedName name="solver_typ" localSheetId="11" hidden="1">1</definedName>
    <definedName name="solver_typ" localSheetId="9" hidden="1">1</definedName>
    <definedName name="solver_typ" localSheetId="16" hidden="1">1</definedName>
    <definedName name="solver_typ" localSheetId="10" hidden="1">1</definedName>
    <definedName name="solver_typ" localSheetId="15" hidden="1">1</definedName>
    <definedName name="solver_typ" localSheetId="12" hidden="1">1</definedName>
    <definedName name="solver_typ" localSheetId="7" hidden="1">1</definedName>
    <definedName name="solver_typ" localSheetId="8" hidden="1">1</definedName>
    <definedName name="solver_typ" localSheetId="18" hidden="1">1</definedName>
    <definedName name="solver_typ" localSheetId="6" hidden="1">1</definedName>
    <definedName name="solver_typ" localSheetId="13" hidden="1">1</definedName>
    <definedName name="solver_typ" localSheetId="17" hidden="1">1</definedName>
    <definedName name="solver_typ" localSheetId="5" hidden="1">1</definedName>
    <definedName name="solver_typ" localSheetId="19" hidden="1">1</definedName>
    <definedName name="solver_typ" localSheetId="14" hidden="1">1</definedName>
    <definedName name="solver_typ" localSheetId="20" hidden="1">1</definedName>
    <definedName name="solver_val" localSheetId="11" hidden="1">0</definedName>
    <definedName name="solver_val" localSheetId="9" hidden="1">0</definedName>
    <definedName name="solver_val" localSheetId="16" hidden="1">0</definedName>
    <definedName name="solver_val" localSheetId="10" hidden="1">0</definedName>
    <definedName name="solver_val" localSheetId="15" hidden="1">0</definedName>
    <definedName name="solver_val" localSheetId="12" hidden="1">0</definedName>
    <definedName name="solver_val" localSheetId="7" hidden="1">0</definedName>
    <definedName name="solver_val" localSheetId="8" hidden="1">0</definedName>
    <definedName name="solver_val" localSheetId="18" hidden="1">0</definedName>
    <definedName name="solver_val" localSheetId="6" hidden="1">0</definedName>
    <definedName name="solver_val" localSheetId="13" hidden="1">0</definedName>
    <definedName name="solver_val" localSheetId="17" hidden="1">0</definedName>
    <definedName name="solver_val" localSheetId="5" hidden="1">0</definedName>
    <definedName name="solver_val" localSheetId="19" hidden="1">0</definedName>
    <definedName name="solver_val" localSheetId="14" hidden="1">0</definedName>
    <definedName name="solver_val" localSheetId="20" hidden="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2" i="1" l="1"/>
  <c r="F8" i="17"/>
  <c r="F8" i="16"/>
  <c r="E3" i="8" l="1"/>
  <c r="F3" i="8" s="1"/>
  <c r="H3" i="8"/>
  <c r="E4" i="8"/>
  <c r="F4" i="8" s="1"/>
  <c r="H4" i="8"/>
  <c r="E5" i="8"/>
  <c r="F5" i="8"/>
  <c r="H5" i="8"/>
  <c r="E6" i="8"/>
  <c r="F6" i="8" s="1"/>
  <c r="H6" i="8"/>
  <c r="E10" i="19"/>
  <c r="E11" i="19"/>
  <c r="E12" i="19"/>
  <c r="E13" i="19"/>
  <c r="E14" i="19"/>
  <c r="E15" i="19"/>
  <c r="E16" i="19"/>
  <c r="E17" i="19"/>
  <c r="E18" i="19"/>
  <c r="E19" i="19"/>
  <c r="E20" i="19"/>
  <c r="E21" i="19"/>
  <c r="E22"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9" i="19"/>
  <c r="F9" i="19" s="1"/>
  <c r="F10" i="19" s="1"/>
  <c r="F11" i="19" s="1"/>
  <c r="F12" i="19" s="1"/>
  <c r="F13" i="19" s="1"/>
  <c r="F14" i="19" s="1"/>
  <c r="F15" i="19" s="1"/>
  <c r="F16" i="19" s="1"/>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F3" i="24" l="1"/>
  <c r="C12" i="21" l="1"/>
  <c r="C11" i="21"/>
  <c r="E10" i="21"/>
  <c r="C10" i="21"/>
  <c r="E9" i="21"/>
  <c r="C9" i="21"/>
  <c r="E8" i="21"/>
  <c r="C8" i="21"/>
  <c r="E7" i="21"/>
  <c r="C7" i="21" l="1"/>
  <c r="E6" i="21"/>
  <c r="H6" i="21" s="1"/>
  <c r="C6" i="21"/>
  <c r="E5" i="21"/>
  <c r="C5" i="21"/>
  <c r="E4" i="21"/>
  <c r="C4" i="21"/>
  <c r="E3" i="21"/>
  <c r="R4" i="8"/>
  <c r="O4" i="8"/>
  <c r="O3" i="8" l="1"/>
  <c r="M10" i="15" l="1"/>
  <c r="W15" i="16" l="1"/>
  <c r="P15" i="16" s="1"/>
  <c r="U15" i="16"/>
  <c r="T15" i="16"/>
  <c r="S15" i="16"/>
  <c r="R15" i="16"/>
  <c r="Y14" i="16"/>
  <c r="W14" i="16"/>
  <c r="T14" i="16"/>
  <c r="S14" i="16"/>
  <c r="R14" i="16"/>
  <c r="P14" i="16" s="1"/>
  <c r="Q14" i="16"/>
  <c r="X13" i="16"/>
  <c r="W13" i="16"/>
  <c r="V13" i="16"/>
  <c r="S13" i="16"/>
  <c r="R13" i="16"/>
  <c r="Q13" i="16"/>
  <c r="P13" i="16" s="1"/>
  <c r="Y12" i="16"/>
  <c r="X12" i="16"/>
  <c r="W12" i="16"/>
  <c r="V12" i="16"/>
  <c r="T12" i="16"/>
  <c r="S12" i="16"/>
  <c r="P12" i="16" s="1"/>
  <c r="R12" i="16"/>
  <c r="Q12" i="16"/>
  <c r="F12" i="16"/>
  <c r="P11" i="16"/>
  <c r="E4" i="16"/>
  <c r="P28" i="17" l="1"/>
  <c r="P27" i="17"/>
  <c r="P26" i="17"/>
  <c r="P25" i="17"/>
  <c r="P24" i="17"/>
  <c r="P23" i="17"/>
  <c r="P22" i="17"/>
  <c r="T21" i="17"/>
  <c r="S21" i="17"/>
  <c r="R21" i="17"/>
  <c r="P21" i="17" l="1"/>
  <c r="P20" i="17"/>
  <c r="AB19" i="17"/>
  <c r="Z19" i="17"/>
  <c r="X19" i="17"/>
  <c r="V19" i="17"/>
  <c r="T19" i="17"/>
  <c r="S19" i="17"/>
  <c r="Q19" i="17"/>
  <c r="X18" i="17"/>
  <c r="S18" i="17"/>
  <c r="P18" i="17" s="1"/>
  <c r="S17" i="17"/>
  <c r="P17" i="17" s="1"/>
  <c r="S16" i="17"/>
  <c r="P16" i="17" s="1"/>
  <c r="S15" i="17"/>
  <c r="P15" i="17" s="1"/>
  <c r="S14" i="17"/>
  <c r="P14" i="17"/>
  <c r="P13" i="17"/>
  <c r="P12" i="17"/>
  <c r="F12" i="17"/>
  <c r="P11" i="17"/>
  <c r="P19" i="17" l="1"/>
  <c r="E4" i="17"/>
  <c r="F14" i="13" l="1"/>
  <c r="E4" i="13"/>
  <c r="F14" i="11"/>
  <c r="E4" i="11"/>
  <c r="F14" i="10"/>
  <c r="E4" i="10"/>
  <c r="F15" i="13" l="1"/>
  <c r="G14" i="13"/>
  <c r="K14" i="13"/>
  <c r="M14" i="13"/>
  <c r="P14" i="13"/>
  <c r="K14" i="10"/>
  <c r="F15" i="11"/>
  <c r="G14" i="10"/>
  <c r="F15" i="10"/>
  <c r="M15" i="10" s="1"/>
  <c r="K14" i="11"/>
  <c r="G14" i="11"/>
  <c r="M15" i="11"/>
  <c r="M14" i="10"/>
  <c r="P14" i="10"/>
  <c r="P15" i="11"/>
  <c r="M14" i="11"/>
  <c r="P14" i="11"/>
  <c r="G15" i="13" l="1"/>
  <c r="F16" i="13"/>
  <c r="M15" i="13"/>
  <c r="K15" i="13"/>
  <c r="P15" i="13"/>
  <c r="F16" i="10"/>
  <c r="P16" i="10" s="1"/>
  <c r="K15" i="11"/>
  <c r="G15" i="10"/>
  <c r="P15" i="10"/>
  <c r="K15" i="10"/>
  <c r="G15" i="11"/>
  <c r="F16" i="11"/>
  <c r="M16" i="13" l="1"/>
  <c r="P16" i="13"/>
  <c r="K16" i="13"/>
  <c r="F17" i="13"/>
  <c r="G16" i="13"/>
  <c r="K16" i="10"/>
  <c r="M16" i="10"/>
  <c r="G16" i="10"/>
  <c r="F17" i="10"/>
  <c r="K17" i="10" s="1"/>
  <c r="F17" i="11"/>
  <c r="G16" i="11"/>
  <c r="P16" i="11"/>
  <c r="K16" i="11"/>
  <c r="M16" i="11"/>
  <c r="F18" i="10"/>
  <c r="G17" i="10"/>
  <c r="P17" i="10"/>
  <c r="M17" i="10"/>
  <c r="P17" i="13" l="1"/>
  <c r="M17" i="13"/>
  <c r="F18" i="13"/>
  <c r="K17" i="13"/>
  <c r="G17" i="13"/>
  <c r="M17" i="11"/>
  <c r="K17" i="11"/>
  <c r="P17" i="11"/>
  <c r="G17" i="11"/>
  <c r="F18" i="11"/>
  <c r="P18" i="10"/>
  <c r="M18" i="10"/>
  <c r="F19" i="10"/>
  <c r="K18" i="10"/>
  <c r="G18" i="10"/>
  <c r="K18" i="13" l="1"/>
  <c r="G18" i="13"/>
  <c r="P18" i="13"/>
  <c r="F19" i="13"/>
  <c r="M18" i="13"/>
  <c r="G18" i="11"/>
  <c r="K18" i="11"/>
  <c r="P18" i="11"/>
  <c r="F19" i="11"/>
  <c r="M18" i="11"/>
  <c r="F20" i="10"/>
  <c r="K19" i="10"/>
  <c r="G19" i="10"/>
  <c r="P19" i="10"/>
  <c r="M19" i="10"/>
  <c r="K19" i="11"/>
  <c r="G19" i="11"/>
  <c r="P19" i="11"/>
  <c r="M19" i="11"/>
  <c r="P19" i="13" l="1"/>
  <c r="F20" i="13"/>
  <c r="M19" i="13"/>
  <c r="K19" i="13"/>
  <c r="G19" i="13"/>
  <c r="F20" i="11"/>
  <c r="P20" i="11"/>
  <c r="M20" i="11"/>
  <c r="F21" i="11"/>
  <c r="K20" i="11"/>
  <c r="G20" i="11"/>
  <c r="P20" i="10"/>
  <c r="M20" i="10"/>
  <c r="F21" i="10"/>
  <c r="K20" i="10"/>
  <c r="G20" i="10"/>
  <c r="F21" i="13" l="1"/>
  <c r="P20" i="13"/>
  <c r="G20" i="13"/>
  <c r="M20" i="13"/>
  <c r="K20" i="13"/>
  <c r="F22" i="10"/>
  <c r="K21" i="10"/>
  <c r="G21" i="10"/>
  <c r="P21" i="10"/>
  <c r="M21" i="10"/>
  <c r="F22" i="11"/>
  <c r="K21" i="11"/>
  <c r="G21" i="11"/>
  <c r="M21" i="11"/>
  <c r="P21" i="11"/>
  <c r="M21" i="13" l="1"/>
  <c r="K21" i="13"/>
  <c r="G21" i="13"/>
  <c r="F22" i="13"/>
  <c r="P21" i="13"/>
  <c r="P22" i="11"/>
  <c r="M22" i="11"/>
  <c r="G22" i="11"/>
  <c r="F23" i="11"/>
  <c r="K22" i="11"/>
  <c r="P22" i="10"/>
  <c r="M22" i="10"/>
  <c r="F23" i="10"/>
  <c r="K22" i="10"/>
  <c r="G22" i="10"/>
  <c r="P22" i="13" l="1"/>
  <c r="M22" i="13"/>
  <c r="F23" i="13"/>
  <c r="K22" i="13"/>
  <c r="G22" i="13"/>
  <c r="F24" i="10"/>
  <c r="K23" i="10"/>
  <c r="G23" i="10"/>
  <c r="P23" i="10"/>
  <c r="M23" i="10"/>
  <c r="F24" i="11"/>
  <c r="K23" i="11"/>
  <c r="G23" i="11"/>
  <c r="P23" i="11"/>
  <c r="M23" i="11"/>
  <c r="F24" i="13" l="1"/>
  <c r="P23" i="13"/>
  <c r="M23" i="13"/>
  <c r="K23" i="13"/>
  <c r="G23" i="13"/>
  <c r="P24" i="11"/>
  <c r="M24" i="11"/>
  <c r="F25" i="11"/>
  <c r="K24" i="11"/>
  <c r="G24" i="11"/>
  <c r="P24" i="10"/>
  <c r="M24" i="10"/>
  <c r="F25" i="10"/>
  <c r="K24" i="10"/>
  <c r="G24" i="10"/>
  <c r="K24" i="13" l="1"/>
  <c r="G24" i="13"/>
  <c r="P24" i="13"/>
  <c r="M24" i="13"/>
  <c r="F25" i="13"/>
  <c r="F26" i="10"/>
  <c r="K25" i="10"/>
  <c r="G25" i="10"/>
  <c r="P25" i="10"/>
  <c r="M25" i="10"/>
  <c r="F26" i="11"/>
  <c r="K25" i="11"/>
  <c r="G25" i="11"/>
  <c r="M25" i="11"/>
  <c r="P25" i="11"/>
  <c r="F26" i="13" l="1"/>
  <c r="P25" i="13"/>
  <c r="K25" i="13"/>
  <c r="G25" i="13"/>
  <c r="M25" i="13"/>
  <c r="P26" i="11"/>
  <c r="M26" i="11"/>
  <c r="G26" i="11"/>
  <c r="F27" i="11"/>
  <c r="K26" i="11"/>
  <c r="P26" i="10"/>
  <c r="M26" i="10"/>
  <c r="F27" i="10"/>
  <c r="K26" i="10"/>
  <c r="G26" i="10"/>
  <c r="F27" i="13" l="1"/>
  <c r="P26" i="13"/>
  <c r="K26" i="13"/>
  <c r="M26" i="13"/>
  <c r="G26" i="13"/>
  <c r="F28" i="10"/>
  <c r="K27" i="10"/>
  <c r="G27" i="10"/>
  <c r="P27" i="10"/>
  <c r="M27" i="10"/>
  <c r="F28" i="11"/>
  <c r="K27" i="11"/>
  <c r="G27" i="11"/>
  <c r="P27" i="11"/>
  <c r="M27" i="11"/>
  <c r="F28" i="13" l="1"/>
  <c r="P27" i="13"/>
  <c r="M27" i="13"/>
  <c r="K27" i="13"/>
  <c r="G27" i="13"/>
  <c r="P28" i="11"/>
  <c r="M28" i="11"/>
  <c r="F29" i="11"/>
  <c r="K28" i="11"/>
  <c r="G28" i="11"/>
  <c r="P28" i="10"/>
  <c r="M28" i="10"/>
  <c r="F29" i="10"/>
  <c r="K28" i="10"/>
  <c r="G28" i="10"/>
  <c r="F29" i="13" l="1"/>
  <c r="P28" i="13"/>
  <c r="M28" i="13"/>
  <c r="K28" i="13"/>
  <c r="G28" i="13"/>
  <c r="F30" i="10"/>
  <c r="K29" i="10"/>
  <c r="G29" i="10"/>
  <c r="P29" i="10"/>
  <c r="M29" i="10"/>
  <c r="F30" i="11"/>
  <c r="K29" i="11"/>
  <c r="G29" i="11"/>
  <c r="M29" i="11"/>
  <c r="P29" i="11"/>
  <c r="F30" i="13" l="1"/>
  <c r="P29" i="13"/>
  <c r="M29" i="13"/>
  <c r="K29" i="13"/>
  <c r="G29" i="13"/>
  <c r="P30" i="11"/>
  <c r="M30" i="11"/>
  <c r="G30" i="11"/>
  <c r="F31" i="11"/>
  <c r="K30" i="11"/>
  <c r="P30" i="10"/>
  <c r="M30" i="10"/>
  <c r="F31" i="10"/>
  <c r="K30" i="10"/>
  <c r="G30" i="10"/>
  <c r="F31" i="13" l="1"/>
  <c r="P30" i="13"/>
  <c r="M30" i="13"/>
  <c r="K30" i="13"/>
  <c r="G30" i="13"/>
  <c r="F32" i="10"/>
  <c r="K31" i="10"/>
  <c r="G31" i="10"/>
  <c r="P31" i="10"/>
  <c r="M31" i="10"/>
  <c r="F32" i="11"/>
  <c r="K31" i="11"/>
  <c r="G31" i="11"/>
  <c r="P31" i="11"/>
  <c r="M31" i="11"/>
  <c r="M31" i="13" l="1"/>
  <c r="F32" i="13"/>
  <c r="K31" i="13"/>
  <c r="P31" i="13"/>
  <c r="G31" i="13"/>
  <c r="P32" i="11"/>
  <c r="M32" i="11"/>
  <c r="F33" i="11"/>
  <c r="K32" i="11"/>
  <c r="G32" i="11"/>
  <c r="P32" i="10"/>
  <c r="M32" i="10"/>
  <c r="F33" i="10"/>
  <c r="K32" i="10"/>
  <c r="G32" i="10"/>
  <c r="K32" i="13" l="1"/>
  <c r="P32" i="13"/>
  <c r="M32" i="13"/>
  <c r="G32" i="13"/>
  <c r="F33" i="13"/>
  <c r="F34" i="10"/>
  <c r="K33" i="10"/>
  <c r="G33" i="10"/>
  <c r="P33" i="10"/>
  <c r="M33" i="10"/>
  <c r="F34" i="11"/>
  <c r="K33" i="11"/>
  <c r="G33" i="11"/>
  <c r="M33" i="11"/>
  <c r="P33" i="11"/>
  <c r="P33" i="13" l="1"/>
  <c r="F34" i="13"/>
  <c r="M33" i="13"/>
  <c r="K33" i="13"/>
  <c r="G33" i="13"/>
  <c r="P34" i="10"/>
  <c r="M34" i="10"/>
  <c r="F35" i="10"/>
  <c r="K34" i="10"/>
  <c r="G34" i="10"/>
  <c r="P34" i="11"/>
  <c r="M34" i="11"/>
  <c r="G34" i="11"/>
  <c r="F35" i="11"/>
  <c r="K34" i="11"/>
  <c r="K34" i="13" l="1"/>
  <c r="F35" i="13"/>
  <c r="P34" i="13"/>
  <c r="M34" i="13"/>
  <c r="G34" i="13"/>
  <c r="F36" i="11"/>
  <c r="K35" i="11"/>
  <c r="G35" i="11"/>
  <c r="P35" i="11"/>
  <c r="M35" i="11"/>
  <c r="F36" i="10"/>
  <c r="K35" i="10"/>
  <c r="G35" i="10"/>
  <c r="P35" i="10"/>
  <c r="M35" i="10"/>
  <c r="F36" i="13" l="1"/>
  <c r="G35" i="13"/>
  <c r="P35" i="13"/>
  <c r="M35" i="13"/>
  <c r="K35" i="13"/>
  <c r="P36" i="10"/>
  <c r="M36" i="10"/>
  <c r="F37" i="10"/>
  <c r="K36" i="10"/>
  <c r="G36" i="10"/>
  <c r="P36" i="11"/>
  <c r="M36" i="11"/>
  <c r="F37" i="11"/>
  <c r="K36" i="11"/>
  <c r="G36" i="11"/>
  <c r="K36" i="13" l="1"/>
  <c r="F37" i="13"/>
  <c r="P36" i="13"/>
  <c r="M36" i="13"/>
  <c r="G36" i="13"/>
  <c r="F38" i="11"/>
  <c r="K37" i="11"/>
  <c r="G37" i="11"/>
  <c r="M37" i="11"/>
  <c r="P37" i="11"/>
  <c r="F38" i="10"/>
  <c r="K37" i="10"/>
  <c r="G37" i="10"/>
  <c r="P37" i="10"/>
  <c r="M37" i="10"/>
  <c r="M37" i="13" l="1"/>
  <c r="K37" i="13"/>
  <c r="G37" i="13"/>
  <c r="F38" i="13"/>
  <c r="P37" i="13"/>
  <c r="P38" i="10"/>
  <c r="M38" i="10"/>
  <c r="F39" i="10"/>
  <c r="K38" i="10"/>
  <c r="G38" i="10"/>
  <c r="P38" i="11"/>
  <c r="M38" i="11"/>
  <c r="G38" i="11"/>
  <c r="F39" i="11"/>
  <c r="K38" i="11"/>
  <c r="K38" i="13" l="1"/>
  <c r="G38" i="13"/>
  <c r="F39" i="13"/>
  <c r="M38" i="13"/>
  <c r="P38" i="13"/>
  <c r="F40" i="11"/>
  <c r="K39" i="11"/>
  <c r="G39" i="11"/>
  <c r="P39" i="11"/>
  <c r="M39" i="11"/>
  <c r="F40" i="10"/>
  <c r="K39" i="10"/>
  <c r="G39" i="10"/>
  <c r="P39" i="10"/>
  <c r="M39" i="10"/>
  <c r="F40" i="13" l="1"/>
  <c r="P39" i="13"/>
  <c r="M39" i="13"/>
  <c r="K39" i="13"/>
  <c r="G39" i="13"/>
  <c r="P40" i="10"/>
  <c r="M40" i="10"/>
  <c r="F41" i="10"/>
  <c r="K40" i="10"/>
  <c r="G40" i="10"/>
  <c r="P40" i="11"/>
  <c r="M40" i="11"/>
  <c r="F41" i="11"/>
  <c r="K40" i="11"/>
  <c r="G40" i="11"/>
  <c r="K40" i="13" l="1"/>
  <c r="M40" i="13"/>
  <c r="F41" i="13"/>
  <c r="P40" i="13"/>
  <c r="G40" i="13"/>
  <c r="F42" i="11"/>
  <c r="K41" i="11"/>
  <c r="G41" i="11"/>
  <c r="M41" i="11"/>
  <c r="P41" i="11"/>
  <c r="F42" i="10"/>
  <c r="K41" i="10"/>
  <c r="G41" i="10"/>
  <c r="P41" i="10"/>
  <c r="M41" i="10"/>
  <c r="F42" i="13" l="1"/>
  <c r="P41" i="13"/>
  <c r="M41" i="13"/>
  <c r="K41" i="13"/>
  <c r="G41" i="13"/>
  <c r="P42" i="10"/>
  <c r="M42" i="10"/>
  <c r="F43" i="10"/>
  <c r="K42" i="10"/>
  <c r="G42" i="10"/>
  <c r="P42" i="11"/>
  <c r="M42" i="11"/>
  <c r="G42" i="11"/>
  <c r="F43" i="11"/>
  <c r="K42" i="11"/>
  <c r="K42" i="13" l="1"/>
  <c r="P42" i="13"/>
  <c r="M42" i="13"/>
  <c r="G42" i="13"/>
  <c r="F43" i="13"/>
  <c r="F44" i="11"/>
  <c r="K43" i="11"/>
  <c r="G43" i="11"/>
  <c r="P43" i="11"/>
  <c r="M43" i="11"/>
  <c r="F44" i="10"/>
  <c r="K43" i="10"/>
  <c r="G43" i="10"/>
  <c r="P43" i="10"/>
  <c r="M43" i="10"/>
  <c r="F44" i="13" l="1"/>
  <c r="P43" i="13"/>
  <c r="M43" i="13"/>
  <c r="K43" i="13"/>
  <c r="G43" i="13"/>
  <c r="P44" i="10"/>
  <c r="M44" i="10"/>
  <c r="F45" i="10"/>
  <c r="K44" i="10"/>
  <c r="G44" i="10"/>
  <c r="P44" i="11"/>
  <c r="M44" i="11"/>
  <c r="F45" i="11"/>
  <c r="K44" i="11"/>
  <c r="G44" i="11"/>
  <c r="K44" i="13" l="1"/>
  <c r="F45" i="13"/>
  <c r="P44" i="13"/>
  <c r="M44" i="13"/>
  <c r="G44" i="13"/>
  <c r="F46" i="10"/>
  <c r="K45" i="10"/>
  <c r="G45" i="10"/>
  <c r="P45" i="10"/>
  <c r="M45" i="10"/>
  <c r="P45" i="11"/>
  <c r="M45" i="11"/>
  <c r="F46" i="11"/>
  <c r="K45" i="11"/>
  <c r="G45" i="11"/>
  <c r="K45" i="13" l="1"/>
  <c r="G45" i="13"/>
  <c r="F46" i="13"/>
  <c r="P45" i="13"/>
  <c r="M45" i="13"/>
  <c r="F47" i="11"/>
  <c r="K46" i="11"/>
  <c r="G46" i="11"/>
  <c r="P46" i="11"/>
  <c r="M46" i="11"/>
  <c r="P46" i="10"/>
  <c r="M46" i="10"/>
  <c r="F47" i="10"/>
  <c r="K46" i="10"/>
  <c r="G46" i="10"/>
  <c r="K46" i="13" l="1"/>
  <c r="F47" i="13"/>
  <c r="M46" i="13"/>
  <c r="G46" i="13"/>
  <c r="P46" i="13"/>
  <c r="P47" i="11"/>
  <c r="M47" i="11"/>
  <c r="F48" i="11"/>
  <c r="K47" i="11"/>
  <c r="G47" i="11"/>
  <c r="F48" i="10"/>
  <c r="K47" i="10"/>
  <c r="G47" i="10"/>
  <c r="P47" i="10"/>
  <c r="M47" i="10"/>
  <c r="G47" i="13" l="1"/>
  <c r="F48" i="13"/>
  <c r="P47" i="13"/>
  <c r="M47" i="13"/>
  <c r="K47" i="13"/>
  <c r="P48" i="10"/>
  <c r="M48" i="10"/>
  <c r="F49" i="10"/>
  <c r="K48" i="10"/>
  <c r="G48" i="10"/>
  <c r="F49" i="11"/>
  <c r="K48" i="11"/>
  <c r="G48" i="11"/>
  <c r="P48" i="11"/>
  <c r="M48" i="11"/>
  <c r="K48" i="13" l="1"/>
  <c r="F49" i="13"/>
  <c r="P48" i="13"/>
  <c r="M48" i="13"/>
  <c r="G48" i="13"/>
  <c r="F50" i="10"/>
  <c r="K49" i="10"/>
  <c r="G49" i="10"/>
  <c r="P49" i="10"/>
  <c r="M49" i="10"/>
  <c r="P49" i="11"/>
  <c r="M49" i="11"/>
  <c r="F50" i="11"/>
  <c r="K49" i="11"/>
  <c r="G49" i="11"/>
  <c r="K49" i="13" l="1"/>
  <c r="G49" i="13"/>
  <c r="F50" i="13"/>
  <c r="P49" i="13"/>
  <c r="M49" i="13"/>
  <c r="F51" i="11"/>
  <c r="K50" i="11"/>
  <c r="G50" i="11"/>
  <c r="P50" i="11"/>
  <c r="M50" i="11"/>
  <c r="P50" i="10"/>
  <c r="M50" i="10"/>
  <c r="F51" i="10"/>
  <c r="K50" i="10"/>
  <c r="G50" i="10"/>
  <c r="K50" i="13" l="1"/>
  <c r="P50" i="13"/>
  <c r="M50" i="13"/>
  <c r="G50" i="13"/>
  <c r="F51" i="13"/>
  <c r="P51" i="11"/>
  <c r="M51" i="11"/>
  <c r="F52" i="11"/>
  <c r="K51" i="11"/>
  <c r="G51" i="11"/>
  <c r="F52" i="10"/>
  <c r="K51" i="10"/>
  <c r="G51" i="10"/>
  <c r="P51" i="10"/>
  <c r="M51" i="10"/>
  <c r="M51" i="13" l="1"/>
  <c r="K51" i="13"/>
  <c r="P51" i="13"/>
  <c r="G51" i="13"/>
  <c r="F52" i="13"/>
  <c r="P52" i="10"/>
  <c r="M52" i="10"/>
  <c r="F53" i="10"/>
  <c r="K52" i="10"/>
  <c r="G52" i="10"/>
  <c r="F53" i="11"/>
  <c r="K52" i="11"/>
  <c r="G52" i="11"/>
  <c r="P52" i="11"/>
  <c r="M52" i="11"/>
  <c r="K52" i="13" l="1"/>
  <c r="F53" i="13"/>
  <c r="P52" i="13"/>
  <c r="G52" i="13"/>
  <c r="M52" i="13"/>
  <c r="F54" i="10"/>
  <c r="K53" i="10"/>
  <c r="G53" i="10"/>
  <c r="P53" i="10"/>
  <c r="M53" i="10"/>
  <c r="P53" i="11"/>
  <c r="M53" i="11"/>
  <c r="F54" i="11"/>
  <c r="K53" i="11"/>
  <c r="G53" i="11"/>
  <c r="P53" i="13" l="1"/>
  <c r="M53" i="13"/>
  <c r="K53" i="13"/>
  <c r="G53" i="13"/>
  <c r="F54" i="13"/>
  <c r="F55" i="11"/>
  <c r="K54" i="11"/>
  <c r="G54" i="11"/>
  <c r="P54" i="11"/>
  <c r="M54" i="11"/>
  <c r="P54" i="10"/>
  <c r="M54" i="10"/>
  <c r="F55" i="10"/>
  <c r="K54" i="10"/>
  <c r="G54" i="10"/>
  <c r="K54" i="13" l="1"/>
  <c r="F55" i="13"/>
  <c r="P54" i="13"/>
  <c r="M54" i="13"/>
  <c r="G54" i="13"/>
  <c r="P55" i="11"/>
  <c r="M55" i="11"/>
  <c r="F56" i="11"/>
  <c r="K55" i="11"/>
  <c r="G55" i="11"/>
  <c r="F56" i="10"/>
  <c r="K55" i="10"/>
  <c r="G55" i="10"/>
  <c r="P55" i="10"/>
  <c r="M55" i="10"/>
  <c r="F56" i="13" l="1"/>
  <c r="P55" i="13"/>
  <c r="M55" i="13"/>
  <c r="K55" i="13"/>
  <c r="G55" i="13"/>
  <c r="P56" i="10"/>
  <c r="M56" i="10"/>
  <c r="F57" i="10"/>
  <c r="K56" i="10"/>
  <c r="G56" i="10"/>
  <c r="F57" i="11"/>
  <c r="K56" i="11"/>
  <c r="G56" i="11"/>
  <c r="P56" i="11"/>
  <c r="M56" i="11"/>
  <c r="K56" i="13" l="1"/>
  <c r="M56" i="13"/>
  <c r="G56" i="13"/>
  <c r="P56" i="13"/>
  <c r="F57" i="13"/>
  <c r="P57" i="11"/>
  <c r="M57" i="11"/>
  <c r="F58" i="11"/>
  <c r="K57" i="11"/>
  <c r="G57" i="11"/>
  <c r="F58" i="10"/>
  <c r="K57" i="10"/>
  <c r="G57" i="10"/>
  <c r="P57" i="10"/>
  <c r="M57" i="10"/>
  <c r="F58" i="13" l="1"/>
  <c r="P57" i="13"/>
  <c r="M57" i="13"/>
  <c r="K57" i="13"/>
  <c r="G57" i="13"/>
  <c r="P58" i="10"/>
  <c r="M58" i="10"/>
  <c r="F59" i="10"/>
  <c r="K58" i="10"/>
  <c r="G58" i="10"/>
  <c r="F59" i="11"/>
  <c r="K58" i="11"/>
  <c r="G58" i="11"/>
  <c r="P58" i="11"/>
  <c r="M58" i="11"/>
  <c r="K58" i="13" l="1"/>
  <c r="G58" i="13"/>
  <c r="F59" i="13"/>
  <c r="P58" i="13"/>
  <c r="M58" i="13"/>
  <c r="F60" i="10"/>
  <c r="K59" i="10"/>
  <c r="G59" i="10"/>
  <c r="P59" i="10"/>
  <c r="M59" i="10"/>
  <c r="P59" i="11"/>
  <c r="M59" i="11"/>
  <c r="F60" i="11"/>
  <c r="K59" i="11"/>
  <c r="G59" i="11"/>
  <c r="G59" i="13" l="1"/>
  <c r="F60" i="13"/>
  <c r="P59" i="13"/>
  <c r="M59" i="13"/>
  <c r="K59" i="13"/>
  <c r="F61" i="11"/>
  <c r="K60" i="11"/>
  <c r="G60" i="11"/>
  <c r="P60" i="11"/>
  <c r="M60" i="11"/>
  <c r="P60" i="10"/>
  <c r="M60" i="10"/>
  <c r="F61" i="10"/>
  <c r="K60" i="10"/>
  <c r="G60" i="10"/>
  <c r="K60" i="13" l="1"/>
  <c r="M60" i="13"/>
  <c r="G60" i="13"/>
  <c r="P60" i="13"/>
  <c r="F61" i="13"/>
  <c r="P61" i="11"/>
  <c r="M61" i="11"/>
  <c r="F62" i="11"/>
  <c r="K61" i="11"/>
  <c r="G61" i="11"/>
  <c r="F62" i="10"/>
  <c r="K61" i="10"/>
  <c r="G61" i="10"/>
  <c r="P61" i="10"/>
  <c r="M61" i="10"/>
  <c r="P61" i="13" l="1"/>
  <c r="M61" i="13"/>
  <c r="K61" i="13"/>
  <c r="G61" i="13"/>
  <c r="F62" i="13"/>
  <c r="P62" i="10"/>
  <c r="M62" i="10"/>
  <c r="F63" i="10"/>
  <c r="K62" i="10"/>
  <c r="G62" i="10"/>
  <c r="F63" i="11"/>
  <c r="K62" i="11"/>
  <c r="G62" i="11"/>
  <c r="P62" i="11"/>
  <c r="M62" i="11"/>
  <c r="K62" i="13" l="1"/>
  <c r="P62" i="13"/>
  <c r="M62" i="13"/>
  <c r="G62" i="13"/>
  <c r="F63" i="13"/>
  <c r="F64" i="10"/>
  <c r="K63" i="10"/>
  <c r="G63" i="10"/>
  <c r="P63" i="10"/>
  <c r="M63" i="10"/>
  <c r="P63" i="11"/>
  <c r="M63" i="11"/>
  <c r="F64" i="11"/>
  <c r="K63" i="11"/>
  <c r="G63" i="11"/>
  <c r="F64" i="13" l="1"/>
  <c r="P63" i="13"/>
  <c r="M63" i="13"/>
  <c r="K63" i="13"/>
  <c r="G63" i="13"/>
  <c r="F65" i="11"/>
  <c r="K64" i="11"/>
  <c r="G64" i="11"/>
  <c r="P64" i="11"/>
  <c r="M64" i="11"/>
  <c r="P64" i="10"/>
  <c r="M64" i="10"/>
  <c r="F65" i="10"/>
  <c r="K64" i="10"/>
  <c r="G64" i="10"/>
  <c r="K64" i="13" l="1"/>
  <c r="F65" i="13"/>
  <c r="P64" i="13"/>
  <c r="M64" i="13"/>
  <c r="G64" i="13"/>
  <c r="P65" i="11"/>
  <c r="M65" i="11"/>
  <c r="F66" i="11"/>
  <c r="K65" i="11"/>
  <c r="G65" i="11"/>
  <c r="F66" i="10"/>
  <c r="K65" i="10"/>
  <c r="G65" i="10"/>
  <c r="P65" i="10"/>
  <c r="M65" i="10"/>
  <c r="F66" i="13" l="1"/>
  <c r="M65" i="13"/>
  <c r="K65" i="13"/>
  <c r="G65" i="13"/>
  <c r="P65" i="13"/>
  <c r="P66" i="10"/>
  <c r="M66" i="10"/>
  <c r="F67" i="10"/>
  <c r="K66" i="10"/>
  <c r="G66" i="10"/>
  <c r="F67" i="11"/>
  <c r="K66" i="11"/>
  <c r="G66" i="11"/>
  <c r="P66" i="11"/>
  <c r="M66" i="11"/>
  <c r="K66" i="13" l="1"/>
  <c r="F67" i="13"/>
  <c r="P66" i="13"/>
  <c r="M66" i="13"/>
  <c r="G66" i="13"/>
  <c r="P67" i="11"/>
  <c r="M67" i="11"/>
  <c r="F68" i="11"/>
  <c r="K67" i="11"/>
  <c r="G67" i="11"/>
  <c r="F68" i="10"/>
  <c r="K67" i="10"/>
  <c r="G67" i="10"/>
  <c r="P67" i="10"/>
  <c r="M67" i="10"/>
  <c r="G67" i="13" l="1"/>
  <c r="M67" i="13"/>
  <c r="K67" i="13"/>
  <c r="F68" i="13"/>
  <c r="P67" i="13"/>
  <c r="P68" i="10"/>
  <c r="M68" i="10"/>
  <c r="F69" i="10"/>
  <c r="K68" i="10"/>
  <c r="G68" i="10"/>
  <c r="F69" i="11"/>
  <c r="K68" i="11"/>
  <c r="G68" i="11"/>
  <c r="P68" i="11"/>
  <c r="M68" i="11"/>
  <c r="K68" i="13" l="1"/>
  <c r="F69" i="13"/>
  <c r="P68" i="13"/>
  <c r="M68" i="13"/>
  <c r="G68" i="13"/>
  <c r="F70" i="10"/>
  <c r="K69" i="10"/>
  <c r="G69" i="10"/>
  <c r="P69" i="10"/>
  <c r="M69" i="10"/>
  <c r="P69" i="11"/>
  <c r="M69" i="11"/>
  <c r="F70" i="11"/>
  <c r="K69" i="11"/>
  <c r="G69" i="11"/>
  <c r="K69" i="13" l="1"/>
  <c r="G69" i="13"/>
  <c r="F70" i="13"/>
  <c r="P69" i="13"/>
  <c r="M69" i="13"/>
  <c r="T13" i="13"/>
  <c r="P70" i="11"/>
  <c r="K70" i="11"/>
  <c r="G70" i="11"/>
  <c r="F71" i="11"/>
  <c r="M70" i="11"/>
  <c r="P70" i="10"/>
  <c r="M70" i="10"/>
  <c r="F71" i="10"/>
  <c r="K70" i="10"/>
  <c r="G70" i="10"/>
  <c r="K70" i="13" l="1"/>
  <c r="G70" i="13"/>
  <c r="M70" i="13"/>
  <c r="F71" i="13"/>
  <c r="P70" i="13"/>
  <c r="F72" i="10"/>
  <c r="K71" i="10"/>
  <c r="G71" i="10"/>
  <c r="P71" i="10"/>
  <c r="M71" i="10"/>
  <c r="P71" i="11"/>
  <c r="K71" i="11"/>
  <c r="G71" i="11"/>
  <c r="F72" i="11"/>
  <c r="M71" i="11"/>
  <c r="M71" i="13" l="1"/>
  <c r="K71" i="13"/>
  <c r="F72" i="13"/>
  <c r="P71" i="13"/>
  <c r="G71" i="13"/>
  <c r="P72" i="11"/>
  <c r="K72" i="11"/>
  <c r="G72" i="11"/>
  <c r="F73" i="11"/>
  <c r="M72" i="11"/>
  <c r="P72" i="10"/>
  <c r="M72" i="10"/>
  <c r="F73" i="10"/>
  <c r="K72" i="10"/>
  <c r="G72" i="10"/>
  <c r="K72" i="13" l="1"/>
  <c r="F73" i="13"/>
  <c r="P72" i="13"/>
  <c r="M72" i="13"/>
  <c r="G72" i="13"/>
  <c r="P73" i="11"/>
  <c r="K73" i="11"/>
  <c r="G73" i="11"/>
  <c r="F74" i="11"/>
  <c r="M73" i="11"/>
  <c r="F74" i="10"/>
  <c r="K73" i="10"/>
  <c r="G73" i="10"/>
  <c r="P73" i="10"/>
  <c r="M73" i="10"/>
  <c r="P73" i="13" l="1"/>
  <c r="M73" i="13"/>
  <c r="F74" i="13"/>
  <c r="K73" i="13"/>
  <c r="G73" i="13"/>
  <c r="P74" i="10"/>
  <c r="M74" i="10"/>
  <c r="F75" i="10"/>
  <c r="K74" i="10"/>
  <c r="G74" i="10"/>
  <c r="P74" i="11"/>
  <c r="K74" i="11"/>
  <c r="G74" i="11"/>
  <c r="F75" i="11"/>
  <c r="M74" i="11"/>
  <c r="K74" i="13" l="1"/>
  <c r="F75" i="13"/>
  <c r="P74" i="13"/>
  <c r="G74" i="13"/>
  <c r="P75" i="11"/>
  <c r="K75" i="11"/>
  <c r="G75" i="11"/>
  <c r="F76" i="11"/>
  <c r="M75" i="11"/>
  <c r="F76" i="10"/>
  <c r="K75" i="10"/>
  <c r="G75" i="10"/>
  <c r="P75" i="10"/>
  <c r="M75" i="10"/>
  <c r="F76" i="13" l="1"/>
  <c r="P75" i="13"/>
  <c r="K75" i="13"/>
  <c r="G75" i="13"/>
  <c r="P76" i="10"/>
  <c r="M76" i="10"/>
  <c r="F77" i="10"/>
  <c r="K76" i="10"/>
  <c r="G76" i="10"/>
  <c r="P76" i="11"/>
  <c r="K76" i="11"/>
  <c r="G76" i="11"/>
  <c r="F77" i="11"/>
  <c r="M76" i="11"/>
  <c r="F77" i="13" l="1"/>
  <c r="K76" i="13"/>
  <c r="G76" i="13"/>
  <c r="P76" i="13"/>
  <c r="P77" i="11"/>
  <c r="K77" i="11"/>
  <c r="G77" i="11"/>
  <c r="F78" i="11"/>
  <c r="M77" i="11"/>
  <c r="F78" i="10"/>
  <c r="K77" i="10"/>
  <c r="G77" i="10"/>
  <c r="P77" i="10"/>
  <c r="M77" i="10"/>
  <c r="F78" i="13" l="1"/>
  <c r="P77" i="13"/>
  <c r="K77" i="13"/>
  <c r="G77" i="13"/>
  <c r="P78" i="11"/>
  <c r="K78" i="11"/>
  <c r="G78" i="11"/>
  <c r="F79" i="11"/>
  <c r="M78" i="11"/>
  <c r="P78" i="10"/>
  <c r="M78" i="10"/>
  <c r="F79" i="10"/>
  <c r="K78" i="10"/>
  <c r="G78" i="10"/>
  <c r="F79" i="13" l="1"/>
  <c r="P78" i="13"/>
  <c r="K78" i="13"/>
  <c r="G78" i="13"/>
  <c r="F80" i="10"/>
  <c r="K79" i="10"/>
  <c r="G79" i="10"/>
  <c r="P79" i="10"/>
  <c r="M79" i="10"/>
  <c r="P79" i="11"/>
  <c r="K79" i="11"/>
  <c r="G79" i="11"/>
  <c r="F80" i="11"/>
  <c r="M79" i="11"/>
  <c r="K79" i="13" l="1"/>
  <c r="G79" i="13"/>
  <c r="P79" i="13"/>
  <c r="F80" i="13"/>
  <c r="P80" i="11"/>
  <c r="K80" i="11"/>
  <c r="G80" i="11"/>
  <c r="F81" i="11"/>
  <c r="M80" i="11"/>
  <c r="P80" i="10"/>
  <c r="M80" i="10"/>
  <c r="F81" i="10"/>
  <c r="K80" i="10"/>
  <c r="G80" i="10"/>
  <c r="G80" i="13" l="1"/>
  <c r="F81" i="13"/>
  <c r="P80" i="13"/>
  <c r="K80" i="13"/>
  <c r="P81" i="11"/>
  <c r="K81" i="11"/>
  <c r="G81" i="11"/>
  <c r="F82" i="11"/>
  <c r="M81" i="11"/>
  <c r="F82" i="10"/>
  <c r="K81" i="10"/>
  <c r="G81" i="10"/>
  <c r="P81" i="10"/>
  <c r="M81" i="10"/>
  <c r="F82" i="13" l="1"/>
  <c r="P81" i="13"/>
  <c r="K81" i="13"/>
  <c r="G81" i="13"/>
  <c r="P82" i="10"/>
  <c r="M82" i="10"/>
  <c r="F83" i="10"/>
  <c r="K82" i="10"/>
  <c r="G82" i="10"/>
  <c r="P82" i="11"/>
  <c r="K82" i="11"/>
  <c r="G82" i="11"/>
  <c r="F83" i="11"/>
  <c r="M82" i="11"/>
  <c r="P82" i="13" l="1"/>
  <c r="K82" i="13"/>
  <c r="F83" i="13"/>
  <c r="G82" i="13"/>
  <c r="P83" i="11"/>
  <c r="K83" i="11"/>
  <c r="G83" i="11"/>
  <c r="F84" i="11"/>
  <c r="M83" i="11"/>
  <c r="F84" i="10"/>
  <c r="K83" i="10"/>
  <c r="G83" i="10"/>
  <c r="P83" i="10"/>
  <c r="M83" i="10"/>
  <c r="P83" i="13" l="1"/>
  <c r="K83" i="13"/>
  <c r="G83" i="13"/>
  <c r="F84" i="13"/>
  <c r="P84" i="11"/>
  <c r="K84" i="11"/>
  <c r="G84" i="11"/>
  <c r="F85" i="11"/>
  <c r="M84" i="11"/>
  <c r="P84" i="10"/>
  <c r="M84" i="10"/>
  <c r="F85" i="10"/>
  <c r="K84" i="10"/>
  <c r="G84" i="10"/>
  <c r="K84" i="13" l="1"/>
  <c r="G84" i="13"/>
  <c r="F85" i="13"/>
  <c r="P84" i="13"/>
  <c r="F86" i="10"/>
  <c r="K85" i="10"/>
  <c r="G85" i="10"/>
  <c r="P85" i="10"/>
  <c r="M85" i="10"/>
  <c r="P85" i="11"/>
  <c r="K85" i="11"/>
  <c r="G85" i="11"/>
  <c r="F86" i="11"/>
  <c r="M85" i="11"/>
  <c r="R32" i="23"/>
  <c r="P85" i="13" l="1"/>
  <c r="K85" i="13"/>
  <c r="F86" i="13"/>
  <c r="G85" i="13"/>
  <c r="P86" i="11"/>
  <c r="K86" i="11"/>
  <c r="G86" i="11"/>
  <c r="F87" i="11"/>
  <c r="M86" i="11"/>
  <c r="P86" i="10"/>
  <c r="M86" i="10"/>
  <c r="F87" i="10"/>
  <c r="K86" i="10"/>
  <c r="G86" i="10"/>
  <c r="R31" i="23"/>
  <c r="F87" i="13" l="1"/>
  <c r="P86" i="13"/>
  <c r="K86" i="13"/>
  <c r="G86" i="13"/>
  <c r="F88" i="10"/>
  <c r="K87" i="10"/>
  <c r="G87" i="10"/>
  <c r="P87" i="10"/>
  <c r="M87" i="10"/>
  <c r="P87" i="11"/>
  <c r="K87" i="11"/>
  <c r="G87" i="11"/>
  <c r="F88" i="11"/>
  <c r="M87" i="11"/>
  <c r="R30" i="23"/>
  <c r="P87" i="13" l="1"/>
  <c r="K87" i="13"/>
  <c r="G87" i="13"/>
  <c r="F88" i="13"/>
  <c r="P88" i="11"/>
  <c r="K88" i="11"/>
  <c r="G88" i="11"/>
  <c r="F89" i="11"/>
  <c r="M88" i="11"/>
  <c r="P88" i="10"/>
  <c r="M88" i="10"/>
  <c r="F89" i="10"/>
  <c r="K88" i="10"/>
  <c r="G88" i="10"/>
  <c r="R29" i="23"/>
  <c r="P88" i="13" l="1"/>
  <c r="K88" i="13"/>
  <c r="F89" i="13"/>
  <c r="G88" i="13"/>
  <c r="F90" i="10"/>
  <c r="K89" i="10"/>
  <c r="G89" i="10"/>
  <c r="P89" i="10"/>
  <c r="M89" i="10"/>
  <c r="P89" i="11"/>
  <c r="K89" i="11"/>
  <c r="G89" i="11"/>
  <c r="F90" i="11"/>
  <c r="M89" i="11"/>
  <c r="R28" i="23"/>
  <c r="R27" i="23"/>
  <c r="R26" i="23"/>
  <c r="R25" i="23"/>
  <c r="R24" i="23"/>
  <c r="R23" i="23"/>
  <c r="R22" i="23"/>
  <c r="R21" i="23"/>
  <c r="K89" i="13" l="1"/>
  <c r="G89" i="13"/>
  <c r="F90" i="13"/>
  <c r="P89" i="13"/>
  <c r="P90" i="10"/>
  <c r="M90" i="10"/>
  <c r="F91" i="10"/>
  <c r="K90" i="10"/>
  <c r="G90" i="10"/>
  <c r="P90" i="11"/>
  <c r="K90" i="11"/>
  <c r="G90" i="11"/>
  <c r="F91" i="11"/>
  <c r="M90" i="11"/>
  <c r="R20" i="23"/>
  <c r="F20" i="23"/>
  <c r="F21" i="23" s="1"/>
  <c r="R19" i="23"/>
  <c r="F19" i="23"/>
  <c r="R18" i="23"/>
  <c r="E7" i="23"/>
  <c r="E4" i="23"/>
  <c r="K21" i="23" l="1"/>
  <c r="F22" i="23"/>
  <c r="G21" i="23"/>
  <c r="F91" i="13"/>
  <c r="P90" i="13"/>
  <c r="K90" i="13"/>
  <c r="G90" i="13"/>
  <c r="G20" i="23"/>
  <c r="K20" i="23"/>
  <c r="G19" i="23"/>
  <c r="K19" i="23"/>
  <c r="P91" i="11"/>
  <c r="K91" i="11"/>
  <c r="G91" i="11"/>
  <c r="F92" i="11"/>
  <c r="M91" i="11"/>
  <c r="F92" i="10"/>
  <c r="K91" i="10"/>
  <c r="G91" i="10"/>
  <c r="P91" i="10"/>
  <c r="M91" i="10"/>
  <c r="F92" i="13" l="1"/>
  <c r="P91" i="13"/>
  <c r="K91" i="13"/>
  <c r="G91" i="13"/>
  <c r="F23" i="23"/>
  <c r="K22" i="23"/>
  <c r="G22" i="23"/>
  <c r="P92" i="10"/>
  <c r="M92" i="10"/>
  <c r="F93" i="10"/>
  <c r="K92" i="10"/>
  <c r="G92" i="10"/>
  <c r="P92" i="11"/>
  <c r="K92" i="11"/>
  <c r="G92" i="11"/>
  <c r="F93" i="11"/>
  <c r="M92" i="11"/>
  <c r="H213" i="7"/>
  <c r="P39" i="7"/>
  <c r="P38" i="7"/>
  <c r="P37" i="7"/>
  <c r="P36" i="7"/>
  <c r="P35" i="7"/>
  <c r="P34" i="7"/>
  <c r="P33" i="7"/>
  <c r="P32" i="7"/>
  <c r="P31" i="7"/>
  <c r="P30" i="7"/>
  <c r="P29" i="7"/>
  <c r="P28" i="7"/>
  <c r="P27" i="7"/>
  <c r="P26" i="7"/>
  <c r="P25" i="7"/>
  <c r="P24" i="7"/>
  <c r="P23" i="7"/>
  <c r="P22" i="7"/>
  <c r="P21" i="7"/>
  <c r="P20" i="7"/>
  <c r="P19" i="7"/>
  <c r="K19" i="7"/>
  <c r="G19" i="7"/>
  <c r="F19" i="7"/>
  <c r="P18" i="7"/>
  <c r="E7" i="7"/>
  <c r="E4" i="7"/>
  <c r="Q31" i="2"/>
  <c r="Q29" i="2"/>
  <c r="Q28" i="2"/>
  <c r="Q27" i="2"/>
  <c r="Q26" i="2"/>
  <c r="Q25" i="2"/>
  <c r="Q24" i="2"/>
  <c r="F24" i="23" l="1"/>
  <c r="K23" i="23"/>
  <c r="G23" i="23"/>
  <c r="E6" i="15"/>
  <c r="F20" i="7"/>
  <c r="G92" i="13"/>
  <c r="K92" i="13"/>
  <c r="F93" i="13"/>
  <c r="P92" i="13"/>
  <c r="P93" i="11"/>
  <c r="K93" i="11"/>
  <c r="G93" i="11"/>
  <c r="F94" i="11"/>
  <c r="M93" i="11"/>
  <c r="F94" i="10"/>
  <c r="K93" i="10"/>
  <c r="G93" i="10"/>
  <c r="P93" i="10"/>
  <c r="M93" i="10"/>
  <c r="G20" i="7" l="1"/>
  <c r="F21" i="7"/>
  <c r="K20" i="7"/>
  <c r="F94" i="13"/>
  <c r="P93" i="13"/>
  <c r="K93" i="13"/>
  <c r="G93" i="13"/>
  <c r="G24" i="23"/>
  <c r="F25" i="23"/>
  <c r="K24" i="23"/>
  <c r="P94" i="10"/>
  <c r="M94" i="10"/>
  <c r="F95" i="10"/>
  <c r="K94" i="10"/>
  <c r="G94" i="10"/>
  <c r="P94" i="11"/>
  <c r="K94" i="11"/>
  <c r="G94" i="11"/>
  <c r="F95" i="11"/>
  <c r="M94" i="11"/>
  <c r="K94" i="13" l="1"/>
  <c r="G94" i="13"/>
  <c r="F95" i="13"/>
  <c r="P94" i="13"/>
  <c r="F22" i="7"/>
  <c r="K21" i="7"/>
  <c r="G21" i="7"/>
  <c r="F26" i="23"/>
  <c r="K25" i="23"/>
  <c r="G25" i="23"/>
  <c r="P95" i="11"/>
  <c r="K95" i="11"/>
  <c r="G95" i="11"/>
  <c r="F96" i="11"/>
  <c r="M95" i="11"/>
  <c r="F96" i="10"/>
  <c r="K95" i="10"/>
  <c r="G95" i="10"/>
  <c r="P95" i="10"/>
  <c r="M95" i="10"/>
  <c r="G22" i="7" l="1"/>
  <c r="F23" i="7"/>
  <c r="K22" i="7"/>
  <c r="G95" i="13"/>
  <c r="P95" i="13"/>
  <c r="K95" i="13"/>
  <c r="F96" i="13"/>
  <c r="K26" i="23"/>
  <c r="G26" i="23"/>
  <c r="F27" i="23"/>
  <c r="P96" i="10"/>
  <c r="M96" i="10"/>
  <c r="F97" i="10"/>
  <c r="K96" i="10"/>
  <c r="G96" i="10"/>
  <c r="P96" i="11"/>
  <c r="K96" i="11"/>
  <c r="G96" i="11"/>
  <c r="F97" i="11"/>
  <c r="M96" i="11"/>
  <c r="Q19" i="2"/>
  <c r="F19" i="2"/>
  <c r="F20" i="2" s="1"/>
  <c r="E7" i="2"/>
  <c r="E4" i="2"/>
  <c r="F12" i="22"/>
  <c r="E4" i="22"/>
  <c r="G20" i="2" l="1"/>
  <c r="K20" i="2"/>
  <c r="G19" i="2"/>
  <c r="G12" i="22"/>
  <c r="F13" i="22"/>
  <c r="F97" i="13"/>
  <c r="P96" i="13"/>
  <c r="K96" i="13"/>
  <c r="G96" i="13"/>
  <c r="K19" i="2"/>
  <c r="F24" i="7"/>
  <c r="K23" i="7"/>
  <c r="G23" i="7"/>
  <c r="F28" i="23"/>
  <c r="K27" i="23"/>
  <c r="G27" i="23"/>
  <c r="P97" i="11"/>
  <c r="K97" i="11"/>
  <c r="G97" i="11"/>
  <c r="F98" i="11"/>
  <c r="M97" i="11"/>
  <c r="F98" i="10"/>
  <c r="K97" i="10"/>
  <c r="G97" i="10"/>
  <c r="P97" i="10"/>
  <c r="M97" i="10"/>
  <c r="F29" i="23" l="1"/>
  <c r="K28" i="23"/>
  <c r="G28" i="23"/>
  <c r="F98" i="13"/>
  <c r="P97" i="13"/>
  <c r="K97" i="13"/>
  <c r="G97" i="13"/>
  <c r="F14" i="22"/>
  <c r="G13" i="22"/>
  <c r="K13" i="22"/>
  <c r="G24" i="7"/>
  <c r="K24" i="7"/>
  <c r="F25" i="7"/>
  <c r="P98" i="10"/>
  <c r="M98" i="10"/>
  <c r="F99" i="10"/>
  <c r="K98" i="10"/>
  <c r="G98" i="10"/>
  <c r="P98" i="11"/>
  <c r="K98" i="11"/>
  <c r="G98" i="11"/>
  <c r="F99" i="11"/>
  <c r="M98" i="11"/>
  <c r="F26" i="7" l="1"/>
  <c r="G25" i="7"/>
  <c r="K25" i="7"/>
  <c r="G98" i="13"/>
  <c r="F99" i="13"/>
  <c r="P98" i="13"/>
  <c r="K98" i="13"/>
  <c r="F30" i="23"/>
  <c r="K29" i="23"/>
  <c r="G29" i="23"/>
  <c r="K14" i="22"/>
  <c r="F15" i="22"/>
  <c r="G14" i="22"/>
  <c r="P99" i="11"/>
  <c r="K99" i="11"/>
  <c r="G99" i="11"/>
  <c r="F100" i="11"/>
  <c r="M99" i="11"/>
  <c r="F100" i="10"/>
  <c r="K99" i="10"/>
  <c r="G99" i="10"/>
  <c r="P99" i="10"/>
  <c r="M99" i="10"/>
  <c r="E189" i="19"/>
  <c r="K15" i="22" l="1"/>
  <c r="G15" i="22"/>
  <c r="F16" i="22"/>
  <c r="K99" i="13"/>
  <c r="G99" i="13"/>
  <c r="P99" i="13"/>
  <c r="F100" i="13"/>
  <c r="G26" i="7"/>
  <c r="F27" i="7"/>
  <c r="K26" i="7"/>
  <c r="F31" i="23"/>
  <c r="K30" i="23"/>
  <c r="G30" i="23"/>
  <c r="P100" i="10"/>
  <c r="M100" i="10"/>
  <c r="F101" i="10"/>
  <c r="K100" i="10"/>
  <c r="G100" i="10"/>
  <c r="P100" i="11"/>
  <c r="K100" i="11"/>
  <c r="G100" i="11"/>
  <c r="F101" i="11"/>
  <c r="M100" i="11"/>
  <c r="E188" i="19"/>
  <c r="E187" i="19"/>
  <c r="E186" i="19"/>
  <c r="E185" i="19"/>
  <c r="E184" i="19"/>
  <c r="E183" i="19"/>
  <c r="E182" i="19"/>
  <c r="E181" i="19"/>
  <c r="E180" i="19"/>
  <c r="E179" i="19"/>
  <c r="E178" i="19"/>
  <c r="E177" i="19"/>
  <c r="E176" i="19"/>
  <c r="E175" i="19"/>
  <c r="E174" i="19"/>
  <c r="E173" i="19"/>
  <c r="E172" i="19"/>
  <c r="E171" i="19"/>
  <c r="E170" i="19"/>
  <c r="E169" i="19"/>
  <c r="E168" i="19"/>
  <c r="E167" i="19"/>
  <c r="E166" i="19"/>
  <c r="E165" i="19"/>
  <c r="E164" i="19"/>
  <c r="E163" i="19"/>
  <c r="E162" i="19"/>
  <c r="E161" i="19"/>
  <c r="E160" i="19"/>
  <c r="E159" i="19"/>
  <c r="E158" i="19"/>
  <c r="E157" i="19"/>
  <c r="E156" i="19"/>
  <c r="E155" i="19"/>
  <c r="E154" i="19"/>
  <c r="E153" i="19"/>
  <c r="E152" i="19"/>
  <c r="E151" i="19"/>
  <c r="E150" i="19"/>
  <c r="E149" i="19"/>
  <c r="E148" i="19"/>
  <c r="E147" i="19"/>
  <c r="E146" i="19"/>
  <c r="E145" i="19"/>
  <c r="E144" i="19"/>
  <c r="E143" i="19"/>
  <c r="E142" i="19"/>
  <c r="E141" i="19"/>
  <c r="E140" i="19"/>
  <c r="E139" i="19"/>
  <c r="E138" i="19"/>
  <c r="E137" i="19"/>
  <c r="E136" i="19"/>
  <c r="E135" i="19"/>
  <c r="E134" i="19"/>
  <c r="E133" i="19"/>
  <c r="E132" i="19"/>
  <c r="E131" i="19"/>
  <c r="E130" i="19"/>
  <c r="E129" i="19"/>
  <c r="E128" i="19"/>
  <c r="E127" i="19"/>
  <c r="E126" i="19"/>
  <c r="E125" i="19"/>
  <c r="E124" i="19"/>
  <c r="E123" i="19"/>
  <c r="E122" i="19"/>
  <c r="E121" i="19"/>
  <c r="E120" i="19"/>
  <c r="E119" i="19"/>
  <c r="E118" i="19"/>
  <c r="E117" i="19"/>
  <c r="E116" i="19"/>
  <c r="E115" i="19"/>
  <c r="E114" i="19"/>
  <c r="E113" i="19"/>
  <c r="E112" i="19"/>
  <c r="E111" i="19"/>
  <c r="E110" i="19"/>
  <c r="E109" i="19"/>
  <c r="E108" i="19"/>
  <c r="E107" i="19"/>
  <c r="E106" i="19"/>
  <c r="E105" i="19"/>
  <c r="E104" i="19"/>
  <c r="E103" i="19"/>
  <c r="E102" i="19"/>
  <c r="E101" i="19"/>
  <c r="E100" i="19"/>
  <c r="E99" i="19"/>
  <c r="E98" i="19"/>
  <c r="E97" i="19"/>
  <c r="E96" i="19"/>
  <c r="E95" i="19"/>
  <c r="E94" i="19"/>
  <c r="E93" i="19"/>
  <c r="E92" i="19"/>
  <c r="E91" i="19"/>
  <c r="E90" i="19"/>
  <c r="E89" i="19"/>
  <c r="E88" i="19"/>
  <c r="E87" i="19"/>
  <c r="E86" i="19"/>
  <c r="E85" i="19"/>
  <c r="E84" i="19"/>
  <c r="E83" i="19"/>
  <c r="E82" i="19"/>
  <c r="E81" i="19"/>
  <c r="E80" i="19"/>
  <c r="E79" i="19"/>
  <c r="E78" i="19"/>
  <c r="E77" i="19"/>
  <c r="E76" i="19"/>
  <c r="E75" i="19"/>
  <c r="E74" i="19"/>
  <c r="E73" i="19"/>
  <c r="E72" i="19"/>
  <c r="E71" i="19"/>
  <c r="E70" i="19"/>
  <c r="E69" i="19"/>
  <c r="E68" i="19"/>
  <c r="E67" i="19"/>
  <c r="E66" i="19"/>
  <c r="E65" i="19"/>
  <c r="E64" i="19"/>
  <c r="E63" i="19"/>
  <c r="E62" i="19"/>
  <c r="E61" i="19"/>
  <c r="E4" i="19" s="1"/>
  <c r="E60" i="19"/>
  <c r="E59" i="19"/>
  <c r="P58" i="19"/>
  <c r="N58" i="19"/>
  <c r="E58" i="19"/>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F17" i="22" l="1"/>
  <c r="K16" i="22"/>
  <c r="G16" i="22"/>
  <c r="F32" i="23"/>
  <c r="K31" i="23"/>
  <c r="G31" i="23"/>
  <c r="F28" i="7"/>
  <c r="K27" i="7"/>
  <c r="G27" i="7"/>
  <c r="F101" i="13"/>
  <c r="P100" i="13"/>
  <c r="K100" i="13"/>
  <c r="G100" i="13"/>
  <c r="C3" i="21"/>
  <c r="F58" i="19"/>
  <c r="P101" i="11"/>
  <c r="K101" i="11"/>
  <c r="G101" i="11"/>
  <c r="F102" i="11"/>
  <c r="M101" i="11"/>
  <c r="F102" i="10"/>
  <c r="K101" i="10"/>
  <c r="G101" i="10"/>
  <c r="P101" i="10"/>
  <c r="M101" i="10"/>
  <c r="E104" i="6"/>
  <c r="E103" i="6"/>
  <c r="E102" i="6"/>
  <c r="E101" i="6"/>
  <c r="E100" i="6"/>
  <c r="E99" i="6"/>
  <c r="E98" i="6"/>
  <c r="E97" i="6"/>
  <c r="E96" i="6"/>
  <c r="E95" i="6"/>
  <c r="E94" i="6"/>
  <c r="E93" i="6"/>
  <c r="E92" i="6"/>
  <c r="E91" i="6"/>
  <c r="E90" i="6"/>
  <c r="E89" i="6"/>
  <c r="E88" i="6"/>
  <c r="E87" i="6"/>
  <c r="E86" i="6"/>
  <c r="E85" i="6"/>
  <c r="E84" i="6"/>
  <c r="E83" i="6"/>
  <c r="P82" i="6" s="1"/>
  <c r="E82" i="6"/>
  <c r="P81"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N9" i="6"/>
  <c r="E9" i="6"/>
  <c r="O6" i="8" s="1"/>
  <c r="G28" i="7" l="1"/>
  <c r="F29" i="7"/>
  <c r="K28" i="7"/>
  <c r="F18" i="22"/>
  <c r="K17" i="22"/>
  <c r="G17" i="22"/>
  <c r="P83" i="6"/>
  <c r="P84" i="6"/>
  <c r="P101" i="13"/>
  <c r="M101" i="13"/>
  <c r="G101" i="13"/>
  <c r="F102" i="13"/>
  <c r="K101" i="13"/>
  <c r="T17" i="13"/>
  <c r="F33" i="23"/>
  <c r="K32" i="23"/>
  <c r="G32" i="23"/>
  <c r="F9" i="6"/>
  <c r="K58" i="19"/>
  <c r="G58" i="19"/>
  <c r="F59" i="19"/>
  <c r="P102" i="10"/>
  <c r="M102" i="10"/>
  <c r="F103" i="10"/>
  <c r="K102" i="10"/>
  <c r="G102" i="10"/>
  <c r="P102" i="11"/>
  <c r="K102" i="11"/>
  <c r="G102" i="11"/>
  <c r="F103" i="11"/>
  <c r="M102" i="11"/>
  <c r="F10" i="6" l="1"/>
  <c r="G9" i="6"/>
  <c r="K9" i="6"/>
  <c r="F34" i="23"/>
  <c r="K33" i="23"/>
  <c r="G33" i="23"/>
  <c r="P102" i="13"/>
  <c r="M102" i="13"/>
  <c r="K102" i="13"/>
  <c r="G102" i="13"/>
  <c r="F103" i="13"/>
  <c r="T15" i="13"/>
  <c r="T14" i="13"/>
  <c r="F19" i="22"/>
  <c r="K18" i="22"/>
  <c r="G18" i="22"/>
  <c r="P85" i="6"/>
  <c r="F30" i="7"/>
  <c r="K29" i="7"/>
  <c r="G29" i="7"/>
  <c r="F60" i="19"/>
  <c r="G59" i="19"/>
  <c r="K59" i="19"/>
  <c r="P103" i="11"/>
  <c r="K103" i="11"/>
  <c r="G103" i="11"/>
  <c r="F104" i="11"/>
  <c r="M103" i="11"/>
  <c r="F104" i="10"/>
  <c r="K103" i="10"/>
  <c r="G103" i="10"/>
  <c r="P103" i="10"/>
  <c r="M103" i="10"/>
  <c r="F35" i="23" l="1"/>
  <c r="K34" i="23"/>
  <c r="G34" i="23"/>
  <c r="G30" i="7"/>
  <c r="K30" i="7"/>
  <c r="F31" i="7"/>
  <c r="F104" i="13"/>
  <c r="P103" i="13"/>
  <c r="K103" i="13"/>
  <c r="G103" i="13"/>
  <c r="P86" i="6"/>
  <c r="K10" i="6"/>
  <c r="G10" i="6"/>
  <c r="F11" i="6"/>
  <c r="F20" i="22"/>
  <c r="K19" i="22"/>
  <c r="G19" i="22"/>
  <c r="K60" i="19"/>
  <c r="G60" i="19"/>
  <c r="F61" i="19"/>
  <c r="P104" i="10"/>
  <c r="M104" i="10"/>
  <c r="F105" i="10"/>
  <c r="K104" i="10"/>
  <c r="G104" i="10"/>
  <c r="P104" i="11"/>
  <c r="K104" i="11"/>
  <c r="G104" i="11"/>
  <c r="F105" i="11"/>
  <c r="M104" i="11"/>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G104" i="13" l="1"/>
  <c r="F105" i="13"/>
  <c r="P104" i="13"/>
  <c r="K104" i="13"/>
  <c r="P87" i="6"/>
  <c r="F32" i="7"/>
  <c r="K31" i="7"/>
  <c r="G31" i="7"/>
  <c r="F21" i="22"/>
  <c r="K20" i="22"/>
  <c r="G20" i="22"/>
  <c r="F36" i="23"/>
  <c r="K35" i="23"/>
  <c r="G35" i="23"/>
  <c r="G11" i="6"/>
  <c r="F12" i="6"/>
  <c r="K11" i="6"/>
  <c r="F62" i="19"/>
  <c r="G61" i="19"/>
  <c r="K61" i="19"/>
  <c r="P105" i="11"/>
  <c r="K105" i="11"/>
  <c r="G105" i="11"/>
  <c r="F106" i="11"/>
  <c r="M105" i="11"/>
  <c r="F106" i="10"/>
  <c r="K105" i="10"/>
  <c r="G105" i="10"/>
  <c r="P105" i="10"/>
  <c r="M105" i="10"/>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N25" i="4"/>
  <c r="E25" i="4"/>
  <c r="E24" i="4"/>
  <c r="E23" i="4"/>
  <c r="E22" i="4"/>
  <c r="E21" i="4"/>
  <c r="E20" i="4"/>
  <c r="E19" i="4"/>
  <c r="E18" i="4"/>
  <c r="E17" i="4"/>
  <c r="E16" i="4"/>
  <c r="E15" i="4"/>
  <c r="E14" i="4"/>
  <c r="E13" i="4"/>
  <c r="E12" i="4"/>
  <c r="E11" i="4"/>
  <c r="E10" i="4"/>
  <c r="P9" i="4"/>
  <c r="E9" i="4"/>
  <c r="F9" i="4" s="1"/>
  <c r="K9" i="4" l="1"/>
  <c r="F10" i="4"/>
  <c r="G9" i="4"/>
  <c r="F106" i="13"/>
  <c r="P105" i="13"/>
  <c r="K105" i="13"/>
  <c r="G105" i="13"/>
  <c r="F22" i="22"/>
  <c r="K21" i="22"/>
  <c r="G21" i="22"/>
  <c r="P88" i="6"/>
  <c r="F13" i="6"/>
  <c r="K12" i="6"/>
  <c r="G12" i="6"/>
  <c r="G32" i="7"/>
  <c r="F33" i="7"/>
  <c r="K32" i="7"/>
  <c r="O5" i="8"/>
  <c r="F37" i="23"/>
  <c r="K36" i="23"/>
  <c r="G36" i="23"/>
  <c r="K62" i="19"/>
  <c r="G62" i="19"/>
  <c r="F63" i="19"/>
  <c r="P106" i="10"/>
  <c r="M106" i="10"/>
  <c r="F107" i="10"/>
  <c r="K106" i="10"/>
  <c r="G106" i="10"/>
  <c r="P106" i="11"/>
  <c r="K106" i="11"/>
  <c r="G106" i="11"/>
  <c r="F107" i="11"/>
  <c r="M106" i="11"/>
  <c r="E4" i="4"/>
  <c r="F11" i="4" l="1"/>
  <c r="G10" i="4"/>
  <c r="K10" i="4"/>
  <c r="F38" i="23"/>
  <c r="K37" i="23"/>
  <c r="G37" i="23"/>
  <c r="P89" i="6"/>
  <c r="F34" i="7"/>
  <c r="G33" i="7"/>
  <c r="K33" i="7"/>
  <c r="K106" i="13"/>
  <c r="G106" i="13"/>
  <c r="F107" i="13"/>
  <c r="P106" i="13"/>
  <c r="G13" i="6"/>
  <c r="F14" i="6"/>
  <c r="K13" i="6"/>
  <c r="F23" i="22"/>
  <c r="K22" i="22"/>
  <c r="G22" i="22"/>
  <c r="F64" i="19"/>
  <c r="G63" i="19"/>
  <c r="K63" i="19"/>
  <c r="P107" i="11"/>
  <c r="K107" i="11"/>
  <c r="G107" i="11"/>
  <c r="F108" i="11"/>
  <c r="M107" i="11"/>
  <c r="F108" i="10"/>
  <c r="K107" i="10"/>
  <c r="G107" i="10"/>
  <c r="P107" i="10"/>
  <c r="M107" i="10"/>
  <c r="K11" i="4" l="1"/>
  <c r="F12" i="4"/>
  <c r="G11" i="4"/>
  <c r="G34" i="7"/>
  <c r="F35" i="7"/>
  <c r="K34" i="7"/>
  <c r="G107" i="13"/>
  <c r="F108" i="13"/>
  <c r="P107" i="13"/>
  <c r="K107" i="13"/>
  <c r="P90" i="6"/>
  <c r="K23" i="22"/>
  <c r="G23" i="22"/>
  <c r="F24" i="22"/>
  <c r="F39" i="23"/>
  <c r="K38" i="23"/>
  <c r="G38" i="23"/>
  <c r="F15" i="6"/>
  <c r="K14" i="6"/>
  <c r="G14" i="6"/>
  <c r="K64" i="19"/>
  <c r="G64" i="19"/>
  <c r="F65" i="19"/>
  <c r="P108" i="10"/>
  <c r="M108" i="10"/>
  <c r="F109" i="10"/>
  <c r="K108" i="10"/>
  <c r="G108" i="10"/>
  <c r="P108" i="11"/>
  <c r="K108" i="11"/>
  <c r="G108" i="11"/>
  <c r="F109" i="11"/>
  <c r="M108" i="11"/>
  <c r="F16" i="6" l="1"/>
  <c r="K15" i="6"/>
  <c r="G15" i="6"/>
  <c r="F25" i="22"/>
  <c r="K24" i="22"/>
  <c r="G24" i="22"/>
  <c r="F109" i="13"/>
  <c r="P108" i="13"/>
  <c r="K108" i="13"/>
  <c r="G108" i="13"/>
  <c r="F36" i="7"/>
  <c r="K35" i="7"/>
  <c r="G35" i="7"/>
  <c r="P91" i="6"/>
  <c r="K12" i="4"/>
  <c r="F13" i="4"/>
  <c r="G12" i="4"/>
  <c r="G39" i="23"/>
  <c r="F40" i="23"/>
  <c r="K39" i="23"/>
  <c r="F66" i="19"/>
  <c r="G65" i="19"/>
  <c r="K65" i="19"/>
  <c r="P109" i="11"/>
  <c r="K109" i="11"/>
  <c r="G109" i="11"/>
  <c r="F110" i="11"/>
  <c r="M109" i="11"/>
  <c r="F110" i="10"/>
  <c r="K109" i="10"/>
  <c r="G109" i="10"/>
  <c r="P109" i="10"/>
  <c r="M109" i="10"/>
  <c r="F17" i="6" l="1"/>
  <c r="K16" i="6"/>
  <c r="G16" i="6"/>
  <c r="G13" i="4"/>
  <c r="K13" i="4"/>
  <c r="F14" i="4"/>
  <c r="F110" i="13"/>
  <c r="P109" i="13"/>
  <c r="M109" i="13"/>
  <c r="K109" i="13"/>
  <c r="G109" i="13"/>
  <c r="T16" i="13"/>
  <c r="P92" i="6"/>
  <c r="G25" i="22"/>
  <c r="F26" i="22"/>
  <c r="K25" i="22"/>
  <c r="F41" i="23"/>
  <c r="K40" i="23"/>
  <c r="G40" i="23"/>
  <c r="G36" i="7"/>
  <c r="K36" i="7"/>
  <c r="F37" i="7"/>
  <c r="K66" i="19"/>
  <c r="G66" i="19"/>
  <c r="F67" i="19"/>
  <c r="P110" i="10"/>
  <c r="M110" i="10"/>
  <c r="F111" i="10"/>
  <c r="K110" i="10"/>
  <c r="G110" i="10"/>
  <c r="P110" i="11"/>
  <c r="K110" i="11"/>
  <c r="G110" i="11"/>
  <c r="F111" i="11"/>
  <c r="M110" i="11"/>
  <c r="F38" i="7" l="1"/>
  <c r="K37" i="7"/>
  <c r="G37" i="7"/>
  <c r="G17" i="6"/>
  <c r="K17" i="6"/>
  <c r="F18" i="6"/>
  <c r="F42" i="23"/>
  <c r="K41" i="23"/>
  <c r="G41" i="23"/>
  <c r="F27" i="22"/>
  <c r="G26" i="22"/>
  <c r="K26" i="22"/>
  <c r="F111" i="13"/>
  <c r="K110" i="13"/>
  <c r="G110" i="13"/>
  <c r="P110" i="13"/>
  <c r="G14" i="4"/>
  <c r="F15" i="4"/>
  <c r="K14" i="4"/>
  <c r="P93" i="6"/>
  <c r="F68" i="19"/>
  <c r="G67" i="19"/>
  <c r="K67" i="19"/>
  <c r="P111" i="11"/>
  <c r="K111" i="11"/>
  <c r="G111" i="11"/>
  <c r="F112" i="11"/>
  <c r="M111" i="11"/>
  <c r="F112" i="10"/>
  <c r="K111" i="10"/>
  <c r="G111" i="10"/>
  <c r="P111" i="10"/>
  <c r="M111" i="10"/>
  <c r="K15" i="4" l="1"/>
  <c r="G15" i="4"/>
  <c r="F16" i="4"/>
  <c r="K42" i="23"/>
  <c r="G42" i="23"/>
  <c r="F43" i="23"/>
  <c r="G38" i="7"/>
  <c r="F39" i="7"/>
  <c r="K38" i="7"/>
  <c r="F19" i="6"/>
  <c r="K18" i="6"/>
  <c r="G18" i="6"/>
  <c r="P94" i="6"/>
  <c r="G111" i="13"/>
  <c r="F112" i="13"/>
  <c r="P111" i="13"/>
  <c r="K111" i="13"/>
  <c r="F28" i="22"/>
  <c r="K27" i="22"/>
  <c r="G27" i="22"/>
  <c r="K68" i="19"/>
  <c r="G68" i="19"/>
  <c r="F69" i="19"/>
  <c r="P112" i="10"/>
  <c r="M112" i="10"/>
  <c r="F113" i="10"/>
  <c r="K112" i="10"/>
  <c r="G112" i="10"/>
  <c r="P112" i="11"/>
  <c r="K112" i="11"/>
  <c r="G112" i="11"/>
  <c r="F113" i="11"/>
  <c r="M112" i="11"/>
  <c r="F9" i="3"/>
  <c r="E4" i="3"/>
  <c r="F4" i="24" l="1"/>
  <c r="E4" i="24" s="1"/>
  <c r="E7" i="15"/>
  <c r="F44" i="23"/>
  <c r="K43" i="23"/>
  <c r="G43" i="23"/>
  <c r="G9" i="3"/>
  <c r="P95" i="6"/>
  <c r="F10" i="3"/>
  <c r="F29" i="22"/>
  <c r="K28" i="22"/>
  <c r="G28" i="22"/>
  <c r="G16" i="4"/>
  <c r="K16" i="4"/>
  <c r="F17" i="4"/>
  <c r="F20" i="6"/>
  <c r="K19" i="6"/>
  <c r="G19" i="6"/>
  <c r="F40" i="7"/>
  <c r="K39" i="7"/>
  <c r="P112" i="13"/>
  <c r="M112" i="13"/>
  <c r="F113" i="13"/>
  <c r="K112" i="13"/>
  <c r="G112" i="13"/>
  <c r="T18" i="13"/>
  <c r="K9" i="3"/>
  <c r="F70" i="19"/>
  <c r="G69" i="19"/>
  <c r="K69" i="19"/>
  <c r="P113" i="11"/>
  <c r="K113" i="11"/>
  <c r="G113" i="11"/>
  <c r="F114" i="11"/>
  <c r="M113" i="11"/>
  <c r="P113" i="10"/>
  <c r="K113" i="10"/>
  <c r="G113" i="10"/>
  <c r="F114" i="10"/>
  <c r="M113" i="10"/>
  <c r="F45" i="23" l="1"/>
  <c r="K44" i="23"/>
  <c r="G44" i="23"/>
  <c r="F30" i="22"/>
  <c r="G29" i="22"/>
  <c r="K29" i="22"/>
  <c r="O11" i="22"/>
  <c r="E8" i="15"/>
  <c r="F5" i="24"/>
  <c r="E5" i="24" s="1"/>
  <c r="G10" i="3"/>
  <c r="F11" i="3"/>
  <c r="K10" i="3"/>
  <c r="K113" i="13"/>
  <c r="G113" i="13"/>
  <c r="F114" i="13"/>
  <c r="P113" i="13"/>
  <c r="F21" i="6"/>
  <c r="K20" i="6"/>
  <c r="G20" i="6"/>
  <c r="P96" i="6"/>
  <c r="G17" i="4"/>
  <c r="K17" i="4"/>
  <c r="F18" i="4"/>
  <c r="K40" i="7"/>
  <c r="F41" i="7"/>
  <c r="H8" i="15"/>
  <c r="H7" i="15"/>
  <c r="K70" i="19"/>
  <c r="G70" i="19"/>
  <c r="F71" i="19"/>
  <c r="P114" i="10"/>
  <c r="K114" i="10"/>
  <c r="G114" i="10"/>
  <c r="F115" i="10"/>
  <c r="M114" i="10"/>
  <c r="P114" i="11"/>
  <c r="K114" i="11"/>
  <c r="G114" i="11"/>
  <c r="F115" i="11"/>
  <c r="M114" i="11"/>
  <c r="K21" i="6" l="1"/>
  <c r="F22" i="6"/>
  <c r="G21" i="6"/>
  <c r="F46" i="23"/>
  <c r="K45" i="23"/>
  <c r="G45" i="23"/>
  <c r="K18" i="4"/>
  <c r="G18" i="4"/>
  <c r="F19" i="4"/>
  <c r="G114" i="13"/>
  <c r="K114" i="13"/>
  <c r="F115" i="13"/>
  <c r="P114" i="13"/>
  <c r="F42" i="7"/>
  <c r="K41" i="7"/>
  <c r="P97" i="6"/>
  <c r="F31" i="22"/>
  <c r="K30" i="22"/>
  <c r="G30" i="22"/>
  <c r="F6" i="24"/>
  <c r="E6" i="24" s="1"/>
  <c r="E9" i="15"/>
  <c r="K11" i="3"/>
  <c r="F12" i="3"/>
  <c r="G11" i="3"/>
  <c r="F72" i="19"/>
  <c r="G71" i="19"/>
  <c r="K71" i="19"/>
  <c r="P115" i="11"/>
  <c r="K115" i="11"/>
  <c r="G115" i="11"/>
  <c r="F116" i="11"/>
  <c r="M115" i="11"/>
  <c r="P115" i="10"/>
  <c r="K115" i="10"/>
  <c r="G115" i="10"/>
  <c r="F116" i="10"/>
  <c r="M115" i="10"/>
  <c r="F47" i="23" l="1"/>
  <c r="K46" i="23"/>
  <c r="G46" i="23"/>
  <c r="F116" i="13"/>
  <c r="P115" i="13"/>
  <c r="K115" i="13"/>
  <c r="G115" i="13"/>
  <c r="F23" i="6"/>
  <c r="K22" i="6"/>
  <c r="G22" i="6"/>
  <c r="F32" i="22"/>
  <c r="K31" i="22"/>
  <c r="G31" i="22"/>
  <c r="P98" i="6"/>
  <c r="K19" i="4"/>
  <c r="F20" i="4"/>
  <c r="G19" i="4"/>
  <c r="E10" i="15"/>
  <c r="F7" i="24"/>
  <c r="E7" i="24" s="1"/>
  <c r="F13" i="3"/>
  <c r="G12" i="3"/>
  <c r="K12" i="3"/>
  <c r="F43" i="7"/>
  <c r="K42" i="7"/>
  <c r="H9" i="15"/>
  <c r="K72" i="19"/>
  <c r="G72" i="19"/>
  <c r="F73" i="19"/>
  <c r="P116" i="11"/>
  <c r="K116" i="11"/>
  <c r="G116" i="11"/>
  <c r="F117" i="11"/>
  <c r="M116" i="11"/>
  <c r="P116" i="10"/>
  <c r="K116" i="10"/>
  <c r="G116" i="10"/>
  <c r="F117" i="10"/>
  <c r="M116" i="10"/>
  <c r="F8" i="24" l="1"/>
  <c r="E8" i="24" s="1"/>
  <c r="E11" i="15"/>
  <c r="F14" i="3"/>
  <c r="K13" i="3"/>
  <c r="G13" i="3"/>
  <c r="G116" i="13"/>
  <c r="F117" i="13"/>
  <c r="P116" i="13"/>
  <c r="M116" i="13"/>
  <c r="K116" i="13"/>
  <c r="T19" i="13"/>
  <c r="H11" i="15"/>
  <c r="F33" i="22"/>
  <c r="G32" i="22"/>
  <c r="K32" i="22"/>
  <c r="F44" i="7"/>
  <c r="K43" i="7"/>
  <c r="F48" i="23"/>
  <c r="K47" i="23"/>
  <c r="G47" i="23"/>
  <c r="F21" i="4"/>
  <c r="G20" i="4"/>
  <c r="K20" i="4"/>
  <c r="F24" i="6"/>
  <c r="K23" i="6"/>
  <c r="G23" i="6"/>
  <c r="H10" i="15"/>
  <c r="P99" i="6"/>
  <c r="F74" i="19"/>
  <c r="G73" i="19"/>
  <c r="K73" i="19"/>
  <c r="P117" i="10"/>
  <c r="K117" i="10"/>
  <c r="G117" i="10"/>
  <c r="F118" i="10"/>
  <c r="M117" i="10"/>
  <c r="P117" i="11"/>
  <c r="K117" i="11"/>
  <c r="G117" i="11"/>
  <c r="F118" i="11"/>
  <c r="M117" i="11"/>
  <c r="F45" i="7" l="1"/>
  <c r="K44" i="7"/>
  <c r="F118" i="13"/>
  <c r="K117" i="13"/>
  <c r="G117" i="13"/>
  <c r="P117" i="13"/>
  <c r="P100" i="6"/>
  <c r="E12" i="15"/>
  <c r="H12" i="15" s="1"/>
  <c r="F9" i="24"/>
  <c r="E9" i="24" s="1"/>
  <c r="F15" i="3"/>
  <c r="K14" i="3"/>
  <c r="G14" i="3"/>
  <c r="F49" i="23"/>
  <c r="K48" i="23"/>
  <c r="G48" i="23"/>
  <c r="F25" i="6"/>
  <c r="K24" i="6"/>
  <c r="G24" i="6"/>
  <c r="G33" i="22"/>
  <c r="K33" i="22"/>
  <c r="F34" i="22"/>
  <c r="G21" i="4"/>
  <c r="K21" i="4"/>
  <c r="F22" i="4"/>
  <c r="K74" i="19"/>
  <c r="G74" i="19"/>
  <c r="F75" i="19"/>
  <c r="P118" i="11"/>
  <c r="K118" i="11"/>
  <c r="G118" i="11"/>
  <c r="F119" i="11"/>
  <c r="M118" i="11"/>
  <c r="P118" i="10"/>
  <c r="K118" i="10"/>
  <c r="G118" i="10"/>
  <c r="F119" i="10"/>
  <c r="M118" i="10"/>
  <c r="G118" i="13" l="1"/>
  <c r="F119" i="13"/>
  <c r="P118" i="13"/>
  <c r="K118" i="13"/>
  <c r="G22" i="4"/>
  <c r="F23" i="4"/>
  <c r="K22" i="4"/>
  <c r="F26" i="6"/>
  <c r="K25" i="6"/>
  <c r="G25" i="6"/>
  <c r="F46" i="7"/>
  <c r="K45" i="7"/>
  <c r="F35" i="22"/>
  <c r="K34" i="22"/>
  <c r="G34" i="22"/>
  <c r="G49" i="23"/>
  <c r="F50" i="23"/>
  <c r="K49" i="23"/>
  <c r="P101" i="6"/>
  <c r="E13" i="15"/>
  <c r="F10" i="24"/>
  <c r="E10" i="24" s="1"/>
  <c r="F16" i="3"/>
  <c r="K15" i="3"/>
  <c r="G15" i="3"/>
  <c r="F76" i="19"/>
  <c r="G75" i="19"/>
  <c r="K75" i="19"/>
  <c r="P119" i="11"/>
  <c r="K119" i="11"/>
  <c r="G119" i="11"/>
  <c r="F120" i="11"/>
  <c r="M119" i="11"/>
  <c r="P119" i="10"/>
  <c r="K119" i="10"/>
  <c r="G119" i="10"/>
  <c r="F120" i="10"/>
  <c r="M119" i="10"/>
  <c r="H13" i="15" l="1"/>
  <c r="H14" i="15"/>
  <c r="P102" i="6"/>
  <c r="F120" i="13"/>
  <c r="P119" i="13"/>
  <c r="K119" i="13"/>
  <c r="G119" i="13"/>
  <c r="F51" i="23"/>
  <c r="K50" i="23"/>
  <c r="G50" i="23"/>
  <c r="G26" i="6"/>
  <c r="F27" i="6"/>
  <c r="K26" i="6"/>
  <c r="F11" i="24"/>
  <c r="E11" i="24" s="1"/>
  <c r="E14" i="15"/>
  <c r="F17" i="3"/>
  <c r="K16" i="3"/>
  <c r="G16" i="3"/>
  <c r="K23" i="4"/>
  <c r="G23" i="4"/>
  <c r="F24" i="4"/>
  <c r="K35" i="22"/>
  <c r="F36" i="22"/>
  <c r="G35" i="22"/>
  <c r="K46" i="7"/>
  <c r="F47" i="7"/>
  <c r="K76" i="19"/>
  <c r="G76" i="19"/>
  <c r="F77" i="19"/>
  <c r="P120" i="11"/>
  <c r="K120" i="11"/>
  <c r="G120" i="11"/>
  <c r="F121" i="11"/>
  <c r="M120" i="11"/>
  <c r="P120" i="10"/>
  <c r="K120" i="10"/>
  <c r="G120" i="10"/>
  <c r="F121" i="10"/>
  <c r="M120" i="10"/>
  <c r="F25" i="4" l="1"/>
  <c r="K24" i="4"/>
  <c r="G24" i="4"/>
  <c r="F12" i="24"/>
  <c r="E12" i="24" s="1"/>
  <c r="E15" i="15"/>
  <c r="H15" i="15" s="1"/>
  <c r="F18" i="3"/>
  <c r="K17" i="3"/>
  <c r="G17" i="3"/>
  <c r="F37" i="22"/>
  <c r="K36" i="22"/>
  <c r="G36" i="22"/>
  <c r="F52" i="23"/>
  <c r="K51" i="23"/>
  <c r="G51" i="23"/>
  <c r="F28" i="6"/>
  <c r="G27" i="6"/>
  <c r="K27" i="6"/>
  <c r="P120" i="13"/>
  <c r="K120" i="13"/>
  <c r="F121" i="13"/>
  <c r="G120" i="13"/>
  <c r="P103" i="6"/>
  <c r="F48" i="7"/>
  <c r="K47" i="7"/>
  <c r="F78" i="19"/>
  <c r="G77" i="19"/>
  <c r="K77" i="19"/>
  <c r="P121" i="10"/>
  <c r="K121" i="10"/>
  <c r="G121" i="10"/>
  <c r="F122" i="10"/>
  <c r="M121" i="10"/>
  <c r="F122" i="11"/>
  <c r="K121" i="11"/>
  <c r="G121" i="11"/>
  <c r="P121" i="11"/>
  <c r="G37" i="22" l="1"/>
  <c r="F38" i="22"/>
  <c r="K37" i="22"/>
  <c r="G25" i="4"/>
  <c r="F26" i="4"/>
  <c r="K25" i="4"/>
  <c r="F49" i="7"/>
  <c r="K48" i="7"/>
  <c r="P104" i="6"/>
  <c r="F29" i="6"/>
  <c r="K28" i="6"/>
  <c r="G28" i="6"/>
  <c r="F13" i="24"/>
  <c r="E13" i="24" s="1"/>
  <c r="E16" i="15"/>
  <c r="H16" i="15" s="1"/>
  <c r="G18" i="3"/>
  <c r="K18" i="3"/>
  <c r="F19" i="3"/>
  <c r="F122" i="13"/>
  <c r="P121" i="13"/>
  <c r="K121" i="13"/>
  <c r="G121" i="13"/>
  <c r="K52" i="23"/>
  <c r="G52" i="23"/>
  <c r="F53" i="23"/>
  <c r="F79" i="19"/>
  <c r="K78" i="19"/>
  <c r="G78" i="19"/>
  <c r="P122" i="10"/>
  <c r="K122" i="10"/>
  <c r="G122" i="10"/>
  <c r="F123" i="10"/>
  <c r="M122" i="10"/>
  <c r="P122" i="11"/>
  <c r="F123" i="11"/>
  <c r="K122" i="11"/>
  <c r="G122" i="11"/>
  <c r="F30" i="6" l="1"/>
  <c r="K29" i="6"/>
  <c r="G29" i="6"/>
  <c r="G38" i="22"/>
  <c r="K38" i="22"/>
  <c r="F39" i="22"/>
  <c r="E17" i="15"/>
  <c r="F14" i="24"/>
  <c r="E14" i="24" s="1"/>
  <c r="F20" i="3"/>
  <c r="K19" i="3"/>
  <c r="G19" i="3"/>
  <c r="P105" i="6"/>
  <c r="F54" i="23"/>
  <c r="K53" i="23"/>
  <c r="G53" i="23"/>
  <c r="F50" i="7"/>
  <c r="K49" i="7"/>
  <c r="F27" i="4"/>
  <c r="K26" i="4"/>
  <c r="G26" i="4"/>
  <c r="F123" i="13"/>
  <c r="P122" i="13"/>
  <c r="K122" i="13"/>
  <c r="G122" i="13"/>
  <c r="M122" i="13"/>
  <c r="T20" i="13"/>
  <c r="F80" i="19"/>
  <c r="K79" i="19"/>
  <c r="G79" i="19"/>
  <c r="P123" i="10"/>
  <c r="K123" i="10"/>
  <c r="G123" i="10"/>
  <c r="F124" i="10"/>
  <c r="M123" i="10"/>
  <c r="F124" i="11"/>
  <c r="K123" i="11"/>
  <c r="G123" i="11"/>
  <c r="P123" i="11"/>
  <c r="F124" i="13" l="1"/>
  <c r="P123" i="13"/>
  <c r="K123" i="13"/>
  <c r="G123" i="13"/>
  <c r="K30" i="6"/>
  <c r="F31" i="6"/>
  <c r="G30" i="6"/>
  <c r="E18" i="15"/>
  <c r="F15" i="24"/>
  <c r="E15" i="24" s="1"/>
  <c r="F21" i="3"/>
  <c r="K20" i="3"/>
  <c r="G20" i="3"/>
  <c r="F51" i="7"/>
  <c r="K50" i="7"/>
  <c r="H17" i="15"/>
  <c r="P106" i="6"/>
  <c r="F55" i="23"/>
  <c r="K54" i="23"/>
  <c r="G54" i="23"/>
  <c r="K39" i="22"/>
  <c r="G39" i="22"/>
  <c r="F40" i="22"/>
  <c r="K27" i="4"/>
  <c r="F28" i="4"/>
  <c r="G27" i="4"/>
  <c r="F81" i="19"/>
  <c r="K80" i="19"/>
  <c r="G80" i="19"/>
  <c r="P124" i="11"/>
  <c r="F125" i="11"/>
  <c r="K124" i="11"/>
  <c r="G124" i="11"/>
  <c r="P124" i="10"/>
  <c r="K124" i="10"/>
  <c r="G124" i="10"/>
  <c r="F125" i="10"/>
  <c r="M124" i="10"/>
  <c r="K51" i="7" l="1"/>
  <c r="F52" i="7"/>
  <c r="E19" i="15"/>
  <c r="F16" i="24"/>
  <c r="E16" i="24" s="1"/>
  <c r="F22" i="3"/>
  <c r="K21" i="3"/>
  <c r="G21" i="3"/>
  <c r="F56" i="23"/>
  <c r="K55" i="23"/>
  <c r="G55" i="23"/>
  <c r="P107" i="6"/>
  <c r="H19" i="15"/>
  <c r="G28" i="4"/>
  <c r="F29" i="4"/>
  <c r="K28" i="4"/>
  <c r="H18" i="15"/>
  <c r="P124" i="13"/>
  <c r="K124" i="13"/>
  <c r="F125" i="13"/>
  <c r="G124" i="13"/>
  <c r="F32" i="6"/>
  <c r="K31" i="6"/>
  <c r="G31" i="6"/>
  <c r="F41" i="22"/>
  <c r="K40" i="22"/>
  <c r="G40" i="22"/>
  <c r="F82" i="19"/>
  <c r="K81" i="19"/>
  <c r="G81" i="19"/>
  <c r="P125" i="10"/>
  <c r="K125" i="10"/>
  <c r="G125" i="10"/>
  <c r="F126" i="10"/>
  <c r="M125" i="10"/>
  <c r="F126" i="11"/>
  <c r="K125" i="11"/>
  <c r="G125" i="11"/>
  <c r="P125" i="11"/>
  <c r="G32" i="6" l="1"/>
  <c r="K32" i="6"/>
  <c r="F33" i="6"/>
  <c r="F17" i="24"/>
  <c r="E17" i="24" s="1"/>
  <c r="E20" i="15"/>
  <c r="H20" i="15" s="1"/>
  <c r="F23" i="3"/>
  <c r="K22" i="3"/>
  <c r="G22" i="3"/>
  <c r="P108" i="6"/>
  <c r="K125" i="13"/>
  <c r="G125" i="13"/>
  <c r="P125" i="13"/>
  <c r="E10" i="13" s="1"/>
  <c r="F126" i="13"/>
  <c r="F53" i="7"/>
  <c r="K52" i="7"/>
  <c r="F42" i="22"/>
  <c r="G41" i="22"/>
  <c r="K41" i="22"/>
  <c r="F57" i="23"/>
  <c r="K56" i="23"/>
  <c r="G56" i="23"/>
  <c r="F30" i="4"/>
  <c r="G29" i="4"/>
  <c r="K29" i="4"/>
  <c r="F83" i="19"/>
  <c r="K82" i="19"/>
  <c r="G82" i="19"/>
  <c r="P126" i="11"/>
  <c r="F127" i="11"/>
  <c r="K126" i="11"/>
  <c r="G126" i="11"/>
  <c r="P126" i="10"/>
  <c r="K126" i="10"/>
  <c r="G126" i="10"/>
  <c r="F127" i="10"/>
  <c r="M126" i="10"/>
  <c r="F58" i="23" l="1"/>
  <c r="K57" i="23"/>
  <c r="G57" i="23"/>
  <c r="F18" i="24"/>
  <c r="E18" i="24" s="1"/>
  <c r="E21" i="15"/>
  <c r="H21" i="15" s="1"/>
  <c r="G23" i="3"/>
  <c r="F24" i="3"/>
  <c r="K23" i="3"/>
  <c r="F127" i="13"/>
  <c r="P126" i="13"/>
  <c r="M126" i="13"/>
  <c r="K126" i="13"/>
  <c r="G126" i="13"/>
  <c r="K53" i="7"/>
  <c r="F54" i="7"/>
  <c r="G33" i="6"/>
  <c r="K33" i="6"/>
  <c r="F34" i="6"/>
  <c r="P109" i="6"/>
  <c r="K30" i="4"/>
  <c r="F31" i="4"/>
  <c r="G30" i="4"/>
  <c r="G42" i="22"/>
  <c r="K42" i="22"/>
  <c r="F43" i="22"/>
  <c r="F84" i="19"/>
  <c r="K83" i="19"/>
  <c r="G83" i="19"/>
  <c r="F128" i="11"/>
  <c r="K127" i="11"/>
  <c r="G127" i="11"/>
  <c r="P127" i="11"/>
  <c r="P127" i="10"/>
  <c r="K127" i="10"/>
  <c r="G127" i="10"/>
  <c r="F128" i="10"/>
  <c r="M127" i="10"/>
  <c r="P110" i="6" l="1"/>
  <c r="F59" i="23"/>
  <c r="K58" i="23"/>
  <c r="G58" i="23"/>
  <c r="F35" i="6"/>
  <c r="G34" i="6"/>
  <c r="K34" i="6"/>
  <c r="M127" i="13"/>
  <c r="K127" i="13"/>
  <c r="P127" i="13"/>
  <c r="G127" i="13"/>
  <c r="F128" i="13"/>
  <c r="F55" i="7"/>
  <c r="K54" i="7"/>
  <c r="K43" i="22"/>
  <c r="G43" i="22"/>
  <c r="F44" i="22"/>
  <c r="E22" i="15"/>
  <c r="H22" i="15" s="1"/>
  <c r="F19" i="24"/>
  <c r="E19" i="24" s="1"/>
  <c r="F25" i="3"/>
  <c r="K24" i="3"/>
  <c r="G24" i="3"/>
  <c r="F32" i="4"/>
  <c r="K31" i="4"/>
  <c r="G31" i="4"/>
  <c r="F85" i="19"/>
  <c r="K84" i="19"/>
  <c r="G84" i="19"/>
  <c r="P128" i="10"/>
  <c r="K128" i="10"/>
  <c r="G128" i="10"/>
  <c r="F129" i="10"/>
  <c r="M128" i="10"/>
  <c r="P128" i="11"/>
  <c r="F129" i="11"/>
  <c r="K128" i="11"/>
  <c r="G128" i="11"/>
  <c r="G59" i="23" l="1"/>
  <c r="F60" i="23"/>
  <c r="K59" i="23"/>
  <c r="F20" i="24"/>
  <c r="E20" i="24" s="1"/>
  <c r="E23" i="15"/>
  <c r="G25" i="3"/>
  <c r="F26" i="3"/>
  <c r="K25" i="3"/>
  <c r="P111" i="6"/>
  <c r="F45" i="22"/>
  <c r="K44" i="22"/>
  <c r="G44" i="22"/>
  <c r="G35" i="6"/>
  <c r="F36" i="6"/>
  <c r="K35" i="6"/>
  <c r="K32" i="4"/>
  <c r="G32" i="4"/>
  <c r="F33" i="4"/>
  <c r="F56" i="7"/>
  <c r="K55" i="7"/>
  <c r="M128" i="13"/>
  <c r="K128" i="13"/>
  <c r="G128" i="13"/>
  <c r="F129" i="13"/>
  <c r="F86" i="19"/>
  <c r="K85" i="19"/>
  <c r="G85" i="19"/>
  <c r="P129" i="10"/>
  <c r="K129" i="10"/>
  <c r="G129" i="10"/>
  <c r="F130" i="10"/>
  <c r="M129" i="10"/>
  <c r="F130" i="11"/>
  <c r="K129" i="11"/>
  <c r="G129" i="11"/>
  <c r="P129" i="11"/>
  <c r="F21" i="24" l="1"/>
  <c r="E21" i="24" s="1"/>
  <c r="E24" i="15"/>
  <c r="F27" i="3"/>
  <c r="K26" i="3"/>
  <c r="G26" i="3"/>
  <c r="K56" i="7"/>
  <c r="F57" i="7"/>
  <c r="H23" i="15"/>
  <c r="K33" i="4"/>
  <c r="F34" i="4"/>
  <c r="G33" i="4"/>
  <c r="P128" i="13"/>
  <c r="F130" i="13"/>
  <c r="G129" i="13"/>
  <c r="K129" i="13"/>
  <c r="T21" i="13"/>
  <c r="K45" i="22"/>
  <c r="F46" i="22"/>
  <c r="G45" i="22"/>
  <c r="F61" i="23"/>
  <c r="K60" i="23"/>
  <c r="G60" i="23"/>
  <c r="P112" i="6"/>
  <c r="G36" i="6"/>
  <c r="F37" i="6"/>
  <c r="K36" i="6"/>
  <c r="F87" i="19"/>
  <c r="K86" i="19"/>
  <c r="G86" i="19"/>
  <c r="P130" i="11"/>
  <c r="F131" i="11"/>
  <c r="K130" i="11"/>
  <c r="G130" i="11"/>
  <c r="P130" i="10"/>
  <c r="K130" i="10"/>
  <c r="G130" i="10"/>
  <c r="F131" i="10"/>
  <c r="M130" i="10"/>
  <c r="G130" i="13" l="1"/>
  <c r="F131" i="13"/>
  <c r="K130" i="13"/>
  <c r="F58" i="7"/>
  <c r="K57" i="7"/>
  <c r="F62" i="23"/>
  <c r="K61" i="23"/>
  <c r="G61" i="23"/>
  <c r="F38" i="6"/>
  <c r="K37" i="6"/>
  <c r="G37" i="6"/>
  <c r="F35" i="4"/>
  <c r="G34" i="4"/>
  <c r="K34" i="4"/>
  <c r="K46" i="22"/>
  <c r="G46" i="22"/>
  <c r="F47" i="22"/>
  <c r="F22" i="24"/>
  <c r="E22" i="24" s="1"/>
  <c r="E25" i="15"/>
  <c r="F28" i="3"/>
  <c r="K27" i="3"/>
  <c r="G27" i="3"/>
  <c r="H24" i="15"/>
  <c r="P113" i="6"/>
  <c r="F88" i="19"/>
  <c r="K87" i="19"/>
  <c r="G87" i="19"/>
  <c r="P131" i="10"/>
  <c r="K131" i="10"/>
  <c r="G131" i="10"/>
  <c r="F132" i="10"/>
  <c r="M131" i="10"/>
  <c r="F132" i="11"/>
  <c r="K131" i="11"/>
  <c r="G131" i="11"/>
  <c r="P131" i="11"/>
  <c r="K35" i="4" l="1"/>
  <c r="G35" i="4"/>
  <c r="F36" i="4"/>
  <c r="K62" i="23"/>
  <c r="G62" i="23"/>
  <c r="F63" i="23"/>
  <c r="F23" i="24"/>
  <c r="E23" i="24" s="1"/>
  <c r="E26" i="15"/>
  <c r="F29" i="3"/>
  <c r="K28" i="3"/>
  <c r="G28" i="3"/>
  <c r="K58" i="7"/>
  <c r="F59" i="7"/>
  <c r="P114" i="6"/>
  <c r="F48" i="22"/>
  <c r="K47" i="22"/>
  <c r="G47" i="22"/>
  <c r="G131" i="13"/>
  <c r="F132" i="13"/>
  <c r="K131" i="13"/>
  <c r="G38" i="6"/>
  <c r="K38" i="6"/>
  <c r="F39" i="6"/>
  <c r="H25" i="15"/>
  <c r="F89" i="19"/>
  <c r="K88" i="19"/>
  <c r="G88" i="19"/>
  <c r="P132" i="11"/>
  <c r="F133" i="11"/>
  <c r="K132" i="11"/>
  <c r="G132" i="11"/>
  <c r="P132" i="10"/>
  <c r="K132" i="10"/>
  <c r="G132" i="10"/>
  <c r="F133" i="10"/>
  <c r="M132" i="10"/>
  <c r="F24" i="24" l="1"/>
  <c r="E24" i="24" s="1"/>
  <c r="E27" i="15"/>
  <c r="H27" i="15" s="1"/>
  <c r="K29" i="3"/>
  <c r="F30" i="3"/>
  <c r="G29" i="3"/>
  <c r="F49" i="22"/>
  <c r="K48" i="22"/>
  <c r="G48" i="22"/>
  <c r="F40" i="6"/>
  <c r="K39" i="6"/>
  <c r="G39" i="6"/>
  <c r="P115" i="6"/>
  <c r="F64" i="23"/>
  <c r="K63" i="23"/>
  <c r="G63" i="23"/>
  <c r="F60" i="7"/>
  <c r="K59" i="7"/>
  <c r="F37" i="4"/>
  <c r="K36" i="4"/>
  <c r="G36" i="4"/>
  <c r="F133" i="13"/>
  <c r="K132" i="13"/>
  <c r="G132" i="13"/>
  <c r="H26" i="15"/>
  <c r="F90" i="19"/>
  <c r="K89" i="19"/>
  <c r="G89" i="19"/>
  <c r="P133" i="10"/>
  <c r="K133" i="10"/>
  <c r="G133" i="10"/>
  <c r="F134" i="10"/>
  <c r="M133" i="10"/>
  <c r="F134" i="11"/>
  <c r="K133" i="11"/>
  <c r="G133" i="11"/>
  <c r="P133" i="11"/>
  <c r="K49" i="22" l="1"/>
  <c r="G49" i="22"/>
  <c r="F50" i="22"/>
  <c r="F65" i="23"/>
  <c r="K64" i="23"/>
  <c r="G64" i="23"/>
  <c r="K133" i="13"/>
  <c r="G133" i="13"/>
  <c r="F134" i="13"/>
  <c r="P116" i="6"/>
  <c r="P117" i="6" s="1"/>
  <c r="F25" i="24"/>
  <c r="E25" i="24" s="1"/>
  <c r="E28" i="15"/>
  <c r="H28" i="15" s="1"/>
  <c r="K30" i="3"/>
  <c r="G30" i="3"/>
  <c r="F31" i="3"/>
  <c r="K37" i="4"/>
  <c r="G37" i="4"/>
  <c r="F38" i="4"/>
  <c r="F41" i="6"/>
  <c r="G40" i="6"/>
  <c r="K40" i="6"/>
  <c r="K60" i="7"/>
  <c r="F61" i="7"/>
  <c r="F91" i="19"/>
  <c r="K90" i="19"/>
  <c r="G90" i="19"/>
  <c r="P134" i="11"/>
  <c r="F135" i="11"/>
  <c r="K134" i="11"/>
  <c r="G134" i="11"/>
  <c r="P134" i="10"/>
  <c r="K134" i="10"/>
  <c r="G134" i="10"/>
  <c r="F135" i="10"/>
  <c r="M134" i="10"/>
  <c r="F66" i="23" l="1"/>
  <c r="K65" i="23"/>
  <c r="G65" i="23"/>
  <c r="F39" i="4"/>
  <c r="K38" i="4"/>
  <c r="G38" i="4"/>
  <c r="G50" i="22"/>
  <c r="F51" i="22"/>
  <c r="K50" i="22"/>
  <c r="P118" i="6"/>
  <c r="F135" i="13"/>
  <c r="K134" i="13"/>
  <c r="G134" i="13"/>
  <c r="T22" i="13"/>
  <c r="F62" i="7"/>
  <c r="K61" i="7"/>
  <c r="E29" i="15"/>
  <c r="F26" i="24"/>
  <c r="E26" i="24" s="1"/>
  <c r="K31" i="3"/>
  <c r="F32" i="3"/>
  <c r="G31" i="3"/>
  <c r="G41" i="6"/>
  <c r="F42" i="6"/>
  <c r="K41" i="6"/>
  <c r="F92" i="19"/>
  <c r="K91" i="19"/>
  <c r="G91" i="19"/>
  <c r="P135" i="10"/>
  <c r="K135" i="10"/>
  <c r="G135" i="10"/>
  <c r="F136" i="10"/>
  <c r="M135" i="10"/>
  <c r="F136" i="11"/>
  <c r="K135" i="11"/>
  <c r="G135" i="11"/>
  <c r="P135" i="11"/>
  <c r="K51" i="22" l="1"/>
  <c r="G51" i="22"/>
  <c r="F52" i="22"/>
  <c r="E30" i="15"/>
  <c r="F27" i="24"/>
  <c r="E27" i="24" s="1"/>
  <c r="F33" i="3"/>
  <c r="K32" i="3"/>
  <c r="G32" i="3"/>
  <c r="G135" i="13"/>
  <c r="F136" i="13"/>
  <c r="K135" i="13"/>
  <c r="F40" i="4"/>
  <c r="G39" i="4"/>
  <c r="K39" i="4"/>
  <c r="H29" i="15"/>
  <c r="P119" i="6"/>
  <c r="G42" i="6"/>
  <c r="F43" i="6"/>
  <c r="K42" i="6"/>
  <c r="F67" i="23"/>
  <c r="K66" i="23"/>
  <c r="G66" i="23"/>
  <c r="K62" i="7"/>
  <c r="F63" i="7"/>
  <c r="F93" i="19"/>
  <c r="K92" i="19"/>
  <c r="G92" i="19"/>
  <c r="P136" i="11"/>
  <c r="F137" i="11"/>
  <c r="K136" i="11"/>
  <c r="G136" i="11"/>
  <c r="P136" i="10"/>
  <c r="K136" i="10"/>
  <c r="G136" i="10"/>
  <c r="F137" i="10"/>
  <c r="M136" i="10"/>
  <c r="F68" i="23" l="1"/>
  <c r="K67" i="23"/>
  <c r="G67" i="23"/>
  <c r="E31" i="15"/>
  <c r="F28" i="24"/>
  <c r="E28" i="24" s="1"/>
  <c r="G33" i="3"/>
  <c r="F34" i="3"/>
  <c r="K33" i="3"/>
  <c r="K43" i="6"/>
  <c r="G43" i="6"/>
  <c r="F44" i="6"/>
  <c r="G40" i="4"/>
  <c r="F41" i="4"/>
  <c r="K40" i="4"/>
  <c r="H31" i="15"/>
  <c r="P120" i="6"/>
  <c r="P121" i="6" s="1"/>
  <c r="F137" i="13"/>
  <c r="K136" i="13"/>
  <c r="G136" i="13"/>
  <c r="F64" i="7"/>
  <c r="K63" i="7"/>
  <c r="G52" i="22"/>
  <c r="K52" i="22"/>
  <c r="F53" i="22"/>
  <c r="H30" i="15"/>
  <c r="F94" i="19"/>
  <c r="K93" i="19"/>
  <c r="G93" i="19"/>
  <c r="P137" i="10"/>
  <c r="K137" i="10"/>
  <c r="G137" i="10"/>
  <c r="F138" i="10"/>
  <c r="M137" i="10"/>
  <c r="F138" i="11"/>
  <c r="K137" i="11"/>
  <c r="G137" i="11"/>
  <c r="P137" i="11"/>
  <c r="F138" i="13" l="1"/>
  <c r="K137" i="13"/>
  <c r="G137" i="13"/>
  <c r="P122" i="6"/>
  <c r="G53" i="22"/>
  <c r="F54" i="22"/>
  <c r="K53" i="22"/>
  <c r="F29" i="24"/>
  <c r="E29" i="24" s="1"/>
  <c r="E32" i="15"/>
  <c r="H32" i="15" s="1"/>
  <c r="F35" i="3"/>
  <c r="K34" i="3"/>
  <c r="G34" i="3"/>
  <c r="G41" i="4"/>
  <c r="F42" i="4"/>
  <c r="K41" i="4"/>
  <c r="F65" i="7"/>
  <c r="K64" i="7"/>
  <c r="F45" i="6"/>
  <c r="G44" i="6"/>
  <c r="K44" i="6"/>
  <c r="F69" i="23"/>
  <c r="K68" i="23"/>
  <c r="G68" i="23"/>
  <c r="G94" i="19"/>
  <c r="F95" i="19"/>
  <c r="K94" i="19"/>
  <c r="P138" i="11"/>
  <c r="F139" i="11"/>
  <c r="K138" i="11"/>
  <c r="G138" i="11"/>
  <c r="P138" i="10"/>
  <c r="K138" i="10"/>
  <c r="G138" i="10"/>
  <c r="F139" i="10"/>
  <c r="M138" i="10"/>
  <c r="G69" i="23" l="1"/>
  <c r="F70" i="23"/>
  <c r="K69" i="23"/>
  <c r="K42" i="4"/>
  <c r="G42" i="4"/>
  <c r="F43" i="4"/>
  <c r="F55" i="22"/>
  <c r="K54" i="22"/>
  <c r="G54" i="22"/>
  <c r="G45" i="6"/>
  <c r="F46" i="6"/>
  <c r="K45" i="6"/>
  <c r="P123" i="6"/>
  <c r="P124" i="6" s="1"/>
  <c r="F66" i="7"/>
  <c r="K65" i="7"/>
  <c r="E33" i="15"/>
  <c r="F30" i="24"/>
  <c r="E30" i="24" s="1"/>
  <c r="F36" i="3"/>
  <c r="G35" i="3"/>
  <c r="K35" i="3"/>
  <c r="F139" i="13"/>
  <c r="K138" i="13"/>
  <c r="G138" i="13"/>
  <c r="G95" i="19"/>
  <c r="F96" i="19"/>
  <c r="K95" i="19"/>
  <c r="P139" i="10"/>
  <c r="K139" i="10"/>
  <c r="G139" i="10"/>
  <c r="F140" i="10"/>
  <c r="M139" i="10"/>
  <c r="F140" i="11"/>
  <c r="K139" i="11"/>
  <c r="G139" i="11"/>
  <c r="P139" i="11"/>
  <c r="F140" i="13" l="1"/>
  <c r="G139" i="13"/>
  <c r="K139" i="13"/>
  <c r="F67" i="7"/>
  <c r="K66" i="7"/>
  <c r="G55" i="22"/>
  <c r="K55" i="22"/>
  <c r="F56" i="22"/>
  <c r="P125" i="6"/>
  <c r="F44" i="4"/>
  <c r="K43" i="4"/>
  <c r="G43" i="4"/>
  <c r="E34" i="15"/>
  <c r="F31" i="24"/>
  <c r="E31" i="24" s="1"/>
  <c r="F37" i="3"/>
  <c r="K36" i="3"/>
  <c r="G36" i="3"/>
  <c r="H33" i="15"/>
  <c r="G46" i="6"/>
  <c r="F47" i="6"/>
  <c r="K46" i="6"/>
  <c r="F71" i="23"/>
  <c r="K70" i="23"/>
  <c r="G70" i="23"/>
  <c r="F97" i="19"/>
  <c r="K96" i="19"/>
  <c r="G96" i="19"/>
  <c r="P140" i="11"/>
  <c r="F141" i="11"/>
  <c r="K140" i="11"/>
  <c r="G140" i="11"/>
  <c r="P140" i="10"/>
  <c r="K140" i="10"/>
  <c r="G140" i="10"/>
  <c r="F141" i="10"/>
  <c r="M140" i="10"/>
  <c r="K56" i="22" l="1"/>
  <c r="G56" i="22"/>
  <c r="F57" i="22"/>
  <c r="F32" i="24"/>
  <c r="E32" i="24" s="1"/>
  <c r="E35" i="15"/>
  <c r="H35" i="15" s="1"/>
  <c r="F38" i="3"/>
  <c r="K37" i="3"/>
  <c r="G37" i="3"/>
  <c r="F72" i="23"/>
  <c r="K71" i="23"/>
  <c r="G71" i="23"/>
  <c r="K47" i="6"/>
  <c r="F48" i="6"/>
  <c r="G47" i="6"/>
  <c r="F68" i="7"/>
  <c r="K67" i="7"/>
  <c r="H34" i="15"/>
  <c r="F45" i="4"/>
  <c r="G44" i="4"/>
  <c r="K44" i="4"/>
  <c r="G140" i="13"/>
  <c r="F141" i="13"/>
  <c r="K140" i="13"/>
  <c r="T23" i="13"/>
  <c r="P126" i="6"/>
  <c r="P127" i="6" s="1"/>
  <c r="G97" i="19"/>
  <c r="F98" i="19"/>
  <c r="K97" i="19"/>
  <c r="P141" i="10"/>
  <c r="K141" i="10"/>
  <c r="G141" i="10"/>
  <c r="F142" i="10"/>
  <c r="M141" i="10"/>
  <c r="F142" i="11"/>
  <c r="K141" i="11"/>
  <c r="G141" i="11"/>
  <c r="P141" i="11"/>
  <c r="G48" i="6" l="1"/>
  <c r="K48" i="6"/>
  <c r="F49" i="6"/>
  <c r="K45" i="4"/>
  <c r="G45" i="4"/>
  <c r="F46" i="4"/>
  <c r="F58" i="22"/>
  <c r="K57" i="22"/>
  <c r="G57" i="22"/>
  <c r="F142" i="13"/>
  <c r="K141" i="13"/>
  <c r="G141" i="13"/>
  <c r="F69" i="7"/>
  <c r="K68" i="7"/>
  <c r="F73" i="23"/>
  <c r="K72" i="23"/>
  <c r="G72" i="23"/>
  <c r="E36" i="15"/>
  <c r="H36" i="15" s="1"/>
  <c r="F33" i="24"/>
  <c r="E33" i="24" s="1"/>
  <c r="K38" i="3"/>
  <c r="G38" i="3"/>
  <c r="F39" i="3"/>
  <c r="P128" i="6"/>
  <c r="G98" i="19"/>
  <c r="F99" i="19"/>
  <c r="K98" i="19"/>
  <c r="P142" i="11"/>
  <c r="F143" i="11"/>
  <c r="K142" i="11"/>
  <c r="G142" i="11"/>
  <c r="P142" i="10"/>
  <c r="K142" i="10"/>
  <c r="G142" i="10"/>
  <c r="F143" i="10"/>
  <c r="M142" i="10"/>
  <c r="K46" i="4" l="1"/>
  <c r="F47" i="4"/>
  <c r="G46" i="4"/>
  <c r="F50" i="6"/>
  <c r="K49" i="6"/>
  <c r="G49" i="6"/>
  <c r="K73" i="23"/>
  <c r="G73" i="23"/>
  <c r="F74" i="23"/>
  <c r="P129" i="6"/>
  <c r="P130" i="6" s="1"/>
  <c r="F143" i="13"/>
  <c r="K142" i="13"/>
  <c r="G142" i="13"/>
  <c r="F70" i="7"/>
  <c r="K69" i="7"/>
  <c r="F34" i="24"/>
  <c r="E34" i="24" s="1"/>
  <c r="F40" i="3"/>
  <c r="K39" i="3"/>
  <c r="G39" i="3"/>
  <c r="F59" i="22"/>
  <c r="K58" i="22"/>
  <c r="G58" i="22"/>
  <c r="G99" i="19"/>
  <c r="F100" i="19"/>
  <c r="K99" i="19"/>
  <c r="P143" i="10"/>
  <c r="K143" i="10"/>
  <c r="G143" i="10"/>
  <c r="F144" i="10"/>
  <c r="M143" i="10"/>
  <c r="F144" i="11"/>
  <c r="K143" i="11"/>
  <c r="G143" i="11"/>
  <c r="P143" i="11"/>
  <c r="K143" i="13" l="1"/>
  <c r="G143" i="13"/>
  <c r="F144" i="13"/>
  <c r="T24" i="13"/>
  <c r="F35" i="24"/>
  <c r="E35" i="24" s="1"/>
  <c r="F41" i="3"/>
  <c r="K40" i="3"/>
  <c r="G40" i="3"/>
  <c r="P131" i="6"/>
  <c r="F75" i="23"/>
  <c r="K74" i="23"/>
  <c r="G74" i="23"/>
  <c r="K47" i="4"/>
  <c r="F48" i="4"/>
  <c r="G47" i="4"/>
  <c r="F71" i="7"/>
  <c r="K70" i="7"/>
  <c r="K59" i="22"/>
  <c r="G59" i="22"/>
  <c r="F60" i="22"/>
  <c r="K50" i="6"/>
  <c r="G50" i="6"/>
  <c r="F51" i="6"/>
  <c r="G100" i="19"/>
  <c r="F101" i="19"/>
  <c r="K100" i="19"/>
  <c r="P144" i="11"/>
  <c r="F145" i="11"/>
  <c r="K144" i="11"/>
  <c r="G144" i="11"/>
  <c r="P144" i="10"/>
  <c r="K144" i="10"/>
  <c r="G144" i="10"/>
  <c r="F145" i="10"/>
  <c r="M144" i="10"/>
  <c r="G60" i="22" l="1"/>
  <c r="F61" i="22"/>
  <c r="K60" i="22"/>
  <c r="F36" i="24"/>
  <c r="E36" i="24" s="1"/>
  <c r="G41" i="3"/>
  <c r="F42" i="3"/>
  <c r="K41" i="3"/>
  <c r="K144" i="13"/>
  <c r="G144" i="13"/>
  <c r="F145" i="13"/>
  <c r="K71" i="7"/>
  <c r="F72" i="7"/>
  <c r="G75" i="23"/>
  <c r="F76" i="23"/>
  <c r="K75" i="23"/>
  <c r="K51" i="6"/>
  <c r="G51" i="6"/>
  <c r="F52" i="6"/>
  <c r="P132" i="6"/>
  <c r="P133" i="6" s="1"/>
  <c r="F49" i="4"/>
  <c r="K48" i="4"/>
  <c r="G48" i="4"/>
  <c r="G101" i="19"/>
  <c r="F102" i="19"/>
  <c r="K101" i="19"/>
  <c r="P145" i="10"/>
  <c r="K145" i="10"/>
  <c r="G145" i="10"/>
  <c r="F146" i="10"/>
  <c r="M145" i="10"/>
  <c r="F146" i="11"/>
  <c r="K145" i="11"/>
  <c r="G145" i="11"/>
  <c r="P145" i="11"/>
  <c r="E10" i="11" s="1"/>
  <c r="F146" i="13" l="1"/>
  <c r="K145" i="13"/>
  <c r="G145" i="13"/>
  <c r="F62" i="22"/>
  <c r="K61" i="22"/>
  <c r="G61" i="22"/>
  <c r="F50" i="4"/>
  <c r="G49" i="4"/>
  <c r="K49" i="4"/>
  <c r="F5" i="22"/>
  <c r="P134" i="6"/>
  <c r="G76" i="23"/>
  <c r="F77" i="23"/>
  <c r="K76" i="23"/>
  <c r="K52" i="6"/>
  <c r="G52" i="6"/>
  <c r="F53" i="6"/>
  <c r="F37" i="24"/>
  <c r="E37" i="24" s="1"/>
  <c r="F43" i="3"/>
  <c r="K42" i="3"/>
  <c r="G42" i="3"/>
  <c r="F73" i="7"/>
  <c r="K72" i="7"/>
  <c r="G102" i="19"/>
  <c r="F103" i="19"/>
  <c r="K102" i="19"/>
  <c r="F147" i="11"/>
  <c r="P146" i="11"/>
  <c r="K146" i="11"/>
  <c r="G146" i="11"/>
  <c r="P146" i="10"/>
  <c r="K146" i="10"/>
  <c r="G146" i="10"/>
  <c r="F147" i="10"/>
  <c r="M146" i="10"/>
  <c r="G53" i="6" l="1"/>
  <c r="K53" i="6"/>
  <c r="F54" i="6"/>
  <c r="F51" i="4"/>
  <c r="K50" i="4"/>
  <c r="G50" i="4"/>
  <c r="F147" i="13"/>
  <c r="K146" i="13"/>
  <c r="G146" i="13"/>
  <c r="T25" i="13"/>
  <c r="G77" i="23"/>
  <c r="F78" i="23"/>
  <c r="K77" i="23"/>
  <c r="P18" i="23"/>
  <c r="F74" i="7"/>
  <c r="K73" i="7"/>
  <c r="E5" i="22"/>
  <c r="I22" i="22" s="1"/>
  <c r="P135" i="6"/>
  <c r="P136" i="6" s="1"/>
  <c r="F38" i="24"/>
  <c r="E38" i="24" s="1"/>
  <c r="G43" i="3"/>
  <c r="F44" i="3"/>
  <c r="K43" i="3"/>
  <c r="G62" i="22"/>
  <c r="K62" i="22"/>
  <c r="F63" i="22"/>
  <c r="G103" i="19"/>
  <c r="F104" i="19"/>
  <c r="K103" i="19"/>
  <c r="F148" i="11"/>
  <c r="P147" i="11"/>
  <c r="K147" i="11"/>
  <c r="G147" i="11"/>
  <c r="P147" i="10"/>
  <c r="K147" i="10"/>
  <c r="G147" i="10"/>
  <c r="F148" i="10"/>
  <c r="M147" i="10"/>
  <c r="I21" i="22" l="1"/>
  <c r="I12" i="22"/>
  <c r="I35" i="22"/>
  <c r="I20" i="22"/>
  <c r="I50" i="22"/>
  <c r="I44" i="22"/>
  <c r="F6" i="22"/>
  <c r="I53" i="22"/>
  <c r="I33" i="22"/>
  <c r="I45" i="22"/>
  <c r="F7" i="22"/>
  <c r="I52" i="22"/>
  <c r="I51" i="22"/>
  <c r="I14" i="22"/>
  <c r="I13" i="22"/>
  <c r="I43" i="22"/>
  <c r="I62" i="22"/>
  <c r="I24" i="22"/>
  <c r="I55" i="22"/>
  <c r="I41" i="22"/>
  <c r="I23" i="22"/>
  <c r="I34" i="22"/>
  <c r="I15" i="22"/>
  <c r="I32" i="22"/>
  <c r="I31" i="22"/>
  <c r="I30" i="22"/>
  <c r="I25" i="22"/>
  <c r="I42" i="22"/>
  <c r="I54" i="22"/>
  <c r="I40" i="22"/>
  <c r="F75" i="7"/>
  <c r="K74" i="7"/>
  <c r="P137" i="6"/>
  <c r="J48" i="22"/>
  <c r="J50" i="22"/>
  <c r="J41" i="22"/>
  <c r="J59" i="22"/>
  <c r="J42" i="22"/>
  <c r="J47" i="22"/>
  <c r="J46" i="22"/>
  <c r="J43" i="22"/>
  <c r="J57" i="22"/>
  <c r="J55" i="22"/>
  <c r="J40" i="22"/>
  <c r="J45" i="22"/>
  <c r="J60" i="22"/>
  <c r="J56" i="22"/>
  <c r="J52" i="22"/>
  <c r="J58" i="22"/>
  <c r="J51" i="22"/>
  <c r="J54" i="22"/>
  <c r="J49" i="22"/>
  <c r="J61" i="22"/>
  <c r="J44" i="22"/>
  <c r="J53" i="22"/>
  <c r="I58" i="22"/>
  <c r="I48" i="22"/>
  <c r="I38" i="22"/>
  <c r="I28" i="22"/>
  <c r="I18" i="22"/>
  <c r="I61" i="22"/>
  <c r="I57" i="22"/>
  <c r="I47" i="22"/>
  <c r="I37" i="22"/>
  <c r="I27" i="22"/>
  <c r="I17" i="22"/>
  <c r="F148" i="13"/>
  <c r="K147" i="13"/>
  <c r="I60" i="22"/>
  <c r="I56" i="22"/>
  <c r="I46" i="22"/>
  <c r="I36" i="22"/>
  <c r="I26" i="22"/>
  <c r="I16" i="22"/>
  <c r="F39" i="24"/>
  <c r="E39" i="24" s="1"/>
  <c r="F45" i="3"/>
  <c r="K44" i="3"/>
  <c r="G44" i="3"/>
  <c r="K51" i="4"/>
  <c r="F52" i="4"/>
  <c r="G51" i="4"/>
  <c r="G78" i="23"/>
  <c r="F79" i="23"/>
  <c r="K78" i="23"/>
  <c r="I49" i="22"/>
  <c r="I29" i="22"/>
  <c r="G63" i="22"/>
  <c r="I63" i="22" s="1"/>
  <c r="F64" i="22"/>
  <c r="K63" i="22"/>
  <c r="K54" i="6"/>
  <c r="F55" i="6"/>
  <c r="G54" i="6"/>
  <c r="I59" i="22"/>
  <c r="I39" i="22"/>
  <c r="I19" i="22"/>
  <c r="G104" i="19"/>
  <c r="F105" i="19"/>
  <c r="K104" i="19"/>
  <c r="P148" i="10"/>
  <c r="K148" i="10"/>
  <c r="G148" i="10"/>
  <c r="F149" i="10"/>
  <c r="M148" i="10"/>
  <c r="P148" i="11"/>
  <c r="F149" i="11"/>
  <c r="K148" i="11"/>
  <c r="G148" i="11"/>
  <c r="K52" i="4" l="1"/>
  <c r="G52" i="4"/>
  <c r="F53" i="4"/>
  <c r="P138" i="6"/>
  <c r="P139" i="6" s="1"/>
  <c r="K148" i="13"/>
  <c r="F149" i="13"/>
  <c r="F40" i="24"/>
  <c r="E40" i="24" s="1"/>
  <c r="G45" i="3"/>
  <c r="F46" i="3"/>
  <c r="K45" i="3"/>
  <c r="F76" i="7"/>
  <c r="K75" i="7"/>
  <c r="F80" i="23"/>
  <c r="K79" i="23"/>
  <c r="G79" i="23"/>
  <c r="K55" i="6"/>
  <c r="G55" i="6"/>
  <c r="F56" i="6"/>
  <c r="F65" i="22"/>
  <c r="K64" i="22"/>
  <c r="G64" i="22"/>
  <c r="I64" i="22" s="1"/>
  <c r="G105" i="19"/>
  <c r="F106" i="19"/>
  <c r="K105" i="19"/>
  <c r="P149" i="10"/>
  <c r="K149" i="10"/>
  <c r="G149" i="10"/>
  <c r="F150" i="10"/>
  <c r="M149" i="10"/>
  <c r="F150" i="11"/>
  <c r="K149" i="11"/>
  <c r="G149" i="11"/>
  <c r="P149" i="11"/>
  <c r="G56" i="6" l="1"/>
  <c r="F57" i="6"/>
  <c r="K56" i="6"/>
  <c r="F150" i="13"/>
  <c r="K149" i="13"/>
  <c r="G149" i="13"/>
  <c r="T26" i="13"/>
  <c r="P140" i="6"/>
  <c r="F81" i="23"/>
  <c r="K80" i="23"/>
  <c r="G80" i="23"/>
  <c r="K65" i="22"/>
  <c r="F66" i="22"/>
  <c r="G65" i="22"/>
  <c r="I65" i="22" s="1"/>
  <c r="K76" i="7"/>
  <c r="F77" i="7"/>
  <c r="G53" i="4"/>
  <c r="F54" i="4"/>
  <c r="K53" i="4"/>
  <c r="F41" i="24"/>
  <c r="E41" i="24" s="1"/>
  <c r="K46" i="3"/>
  <c r="F47" i="3"/>
  <c r="G46" i="3"/>
  <c r="G106" i="19"/>
  <c r="F107" i="19"/>
  <c r="K106" i="19"/>
  <c r="P150" i="11"/>
  <c r="F151" i="11"/>
  <c r="K150" i="11"/>
  <c r="G150" i="11"/>
  <c r="P150" i="10"/>
  <c r="K150" i="10"/>
  <c r="G150" i="10"/>
  <c r="F151" i="10"/>
  <c r="M150" i="10"/>
  <c r="F151" i="13" l="1"/>
  <c r="K150" i="13"/>
  <c r="F42" i="24"/>
  <c r="E42" i="24" s="1"/>
  <c r="F48" i="3"/>
  <c r="K47" i="3"/>
  <c r="G47" i="3"/>
  <c r="G57" i="6"/>
  <c r="K57" i="6"/>
  <c r="F58" i="6"/>
  <c r="K81" i="23"/>
  <c r="G81" i="23"/>
  <c r="F82" i="23"/>
  <c r="F55" i="4"/>
  <c r="K54" i="4"/>
  <c r="G54" i="4"/>
  <c r="P141" i="6"/>
  <c r="P142" i="6" s="1"/>
  <c r="F78" i="7"/>
  <c r="K77" i="7"/>
  <c r="G66" i="22"/>
  <c r="I66" i="22" s="1"/>
  <c r="K66" i="22"/>
  <c r="F67" i="22"/>
  <c r="G107" i="19"/>
  <c r="F108" i="19"/>
  <c r="K107" i="19"/>
  <c r="P151" i="10"/>
  <c r="K151" i="10"/>
  <c r="G151" i="10"/>
  <c r="F152" i="10"/>
  <c r="M151" i="10"/>
  <c r="F152" i="11"/>
  <c r="K151" i="11"/>
  <c r="G151" i="11"/>
  <c r="P151" i="11"/>
  <c r="K78" i="7" l="1"/>
  <c r="F79" i="7"/>
  <c r="G58" i="6"/>
  <c r="K58" i="6"/>
  <c r="F59" i="6"/>
  <c r="P143" i="6"/>
  <c r="F68" i="22"/>
  <c r="K67" i="22"/>
  <c r="G67" i="22"/>
  <c r="I67" i="22" s="1"/>
  <c r="F43" i="24"/>
  <c r="E43" i="24" s="1"/>
  <c r="K48" i="3"/>
  <c r="G48" i="3"/>
  <c r="F49" i="3"/>
  <c r="K55" i="4"/>
  <c r="F56" i="4"/>
  <c r="G55" i="4"/>
  <c r="F83" i="23"/>
  <c r="K82" i="23"/>
  <c r="G82" i="23"/>
  <c r="K151" i="13"/>
  <c r="F152" i="13"/>
  <c r="G108" i="19"/>
  <c r="F109" i="19"/>
  <c r="K108" i="19"/>
  <c r="P152" i="11"/>
  <c r="F153" i="11"/>
  <c r="K152" i="11"/>
  <c r="G152" i="11"/>
  <c r="P152" i="10"/>
  <c r="K152" i="10"/>
  <c r="G152" i="10"/>
  <c r="F153" i="10"/>
  <c r="M152" i="10"/>
  <c r="K56" i="4" l="1"/>
  <c r="G56" i="4"/>
  <c r="F57" i="4"/>
  <c r="F153" i="13"/>
  <c r="K152" i="13"/>
  <c r="G152" i="13"/>
  <c r="T27" i="13"/>
  <c r="F44" i="24"/>
  <c r="E44" i="24" s="1"/>
  <c r="G49" i="3"/>
  <c r="K49" i="3"/>
  <c r="F50" i="3"/>
  <c r="F60" i="6"/>
  <c r="G59" i="6"/>
  <c r="K59" i="6"/>
  <c r="F80" i="7"/>
  <c r="K79" i="7"/>
  <c r="F84" i="23"/>
  <c r="K83" i="23"/>
  <c r="G83" i="23"/>
  <c r="K68" i="22"/>
  <c r="G68" i="22"/>
  <c r="I68" i="22" s="1"/>
  <c r="F69" i="22"/>
  <c r="G109" i="19"/>
  <c r="F110" i="19"/>
  <c r="K109" i="19"/>
  <c r="P153" i="10"/>
  <c r="K153" i="10"/>
  <c r="G153" i="10"/>
  <c r="F154" i="10"/>
  <c r="M153" i="10"/>
  <c r="F154" i="11"/>
  <c r="K153" i="11"/>
  <c r="G153" i="11"/>
  <c r="P153" i="11"/>
  <c r="K80" i="7" l="1"/>
  <c r="F81" i="7"/>
  <c r="F70" i="22"/>
  <c r="K69" i="22"/>
  <c r="G69" i="22"/>
  <c r="K153" i="13"/>
  <c r="F154" i="13"/>
  <c r="K60" i="6"/>
  <c r="F61" i="6"/>
  <c r="G60" i="6"/>
  <c r="K57" i="4"/>
  <c r="G57" i="4"/>
  <c r="F58" i="4"/>
  <c r="F45" i="24"/>
  <c r="E45" i="24" s="1"/>
  <c r="G50" i="3"/>
  <c r="F51" i="3"/>
  <c r="K50" i="3"/>
  <c r="F85" i="23"/>
  <c r="K84" i="23"/>
  <c r="G84" i="23"/>
  <c r="G110" i="19"/>
  <c r="F111" i="19"/>
  <c r="K110" i="19"/>
  <c r="P154" i="10"/>
  <c r="K154" i="10"/>
  <c r="G154" i="10"/>
  <c r="F155" i="10"/>
  <c r="M154" i="10"/>
  <c r="P154" i="11"/>
  <c r="F155" i="11"/>
  <c r="K154" i="11"/>
  <c r="G154" i="11"/>
  <c r="F82" i="7" l="1"/>
  <c r="K81" i="7"/>
  <c r="F86" i="23"/>
  <c r="K85" i="23"/>
  <c r="G85" i="23"/>
  <c r="K61" i="6"/>
  <c r="G61" i="6"/>
  <c r="F62" i="6"/>
  <c r="F46" i="24"/>
  <c r="E46" i="24" s="1"/>
  <c r="F52" i="3"/>
  <c r="K51" i="3"/>
  <c r="G51" i="3"/>
  <c r="F155" i="13"/>
  <c r="K154" i="13"/>
  <c r="F59" i="4"/>
  <c r="G58" i="4"/>
  <c r="K58" i="4"/>
  <c r="F71" i="22"/>
  <c r="K70" i="22"/>
  <c r="G70" i="22"/>
  <c r="G111" i="19"/>
  <c r="F112" i="19"/>
  <c r="K111" i="19"/>
  <c r="F156" i="11"/>
  <c r="K155" i="11"/>
  <c r="G155" i="11"/>
  <c r="P155" i="11"/>
  <c r="P155" i="10"/>
  <c r="K155" i="10"/>
  <c r="G155" i="10"/>
  <c r="F156" i="10"/>
  <c r="M155" i="10"/>
  <c r="F87" i="23" l="1"/>
  <c r="K86" i="23"/>
  <c r="G86" i="23"/>
  <c r="F83" i="7"/>
  <c r="K82" i="7"/>
  <c r="F72" i="22"/>
  <c r="G71" i="22"/>
  <c r="K71" i="22"/>
  <c r="G62" i="6"/>
  <c r="F63" i="6"/>
  <c r="K62" i="6"/>
  <c r="K155" i="13"/>
  <c r="G155" i="13"/>
  <c r="F156" i="13"/>
  <c r="T28" i="13"/>
  <c r="F47" i="24"/>
  <c r="E47" i="24" s="1"/>
  <c r="F53" i="3"/>
  <c r="K52" i="3"/>
  <c r="G52" i="3"/>
  <c r="F60" i="4"/>
  <c r="G59" i="4"/>
  <c r="K59" i="4"/>
  <c r="G112" i="19"/>
  <c r="F113" i="19"/>
  <c r="K112" i="19"/>
  <c r="P156" i="10"/>
  <c r="K156" i="10"/>
  <c r="G156" i="10"/>
  <c r="F157" i="10"/>
  <c r="M156" i="10"/>
  <c r="P156" i="11"/>
  <c r="F157" i="11"/>
  <c r="K156" i="11"/>
  <c r="G156" i="11"/>
  <c r="K83" i="7" l="1"/>
  <c r="F84" i="7"/>
  <c r="F61" i="4"/>
  <c r="G60" i="4"/>
  <c r="K60" i="4"/>
  <c r="F88" i="23"/>
  <c r="K87" i="23"/>
  <c r="G87" i="23"/>
  <c r="G63" i="6"/>
  <c r="K63" i="6"/>
  <c r="F64" i="6"/>
  <c r="F48" i="24"/>
  <c r="E48" i="24" s="1"/>
  <c r="G53" i="3"/>
  <c r="F54" i="3"/>
  <c r="K53" i="3"/>
  <c r="F157" i="13"/>
  <c r="K156" i="13"/>
  <c r="G72" i="22"/>
  <c r="F73" i="22"/>
  <c r="K72" i="22"/>
  <c r="G113" i="19"/>
  <c r="F114" i="19"/>
  <c r="K113" i="19"/>
  <c r="P157" i="10"/>
  <c r="K157" i="10"/>
  <c r="G157" i="10"/>
  <c r="F158" i="10"/>
  <c r="M157" i="10"/>
  <c r="F158" i="11"/>
  <c r="K157" i="11"/>
  <c r="G157" i="11"/>
  <c r="P157" i="11"/>
  <c r="F89" i="23" l="1"/>
  <c r="K88" i="23"/>
  <c r="G88" i="23"/>
  <c r="F49" i="24"/>
  <c r="E49" i="24" s="1"/>
  <c r="F55" i="3"/>
  <c r="K54" i="3"/>
  <c r="G54" i="3"/>
  <c r="G61" i="4"/>
  <c r="F62" i="4"/>
  <c r="K61" i="4"/>
  <c r="G73" i="22"/>
  <c r="F74" i="22"/>
  <c r="K73" i="22"/>
  <c r="F65" i="6"/>
  <c r="G64" i="6"/>
  <c r="K64" i="6"/>
  <c r="F85" i="7"/>
  <c r="K84" i="7"/>
  <c r="F158" i="13"/>
  <c r="K157" i="13"/>
  <c r="G114" i="19"/>
  <c r="F115" i="19"/>
  <c r="K114" i="19"/>
  <c r="P158" i="11"/>
  <c r="F159" i="11"/>
  <c r="K158" i="11"/>
  <c r="G158" i="11"/>
  <c r="P158" i="10"/>
  <c r="K158" i="10"/>
  <c r="G158" i="10"/>
  <c r="F159" i="10"/>
  <c r="M158" i="10"/>
  <c r="G65" i="6" l="1"/>
  <c r="F66" i="6"/>
  <c r="K65" i="6"/>
  <c r="K158" i="13"/>
  <c r="G158" i="13"/>
  <c r="F159" i="13"/>
  <c r="T29" i="13"/>
  <c r="K62" i="4"/>
  <c r="G62" i="4"/>
  <c r="F63" i="4"/>
  <c r="G89" i="23"/>
  <c r="F90" i="23"/>
  <c r="K89" i="23"/>
  <c r="F86" i="7"/>
  <c r="K85" i="7"/>
  <c r="F50" i="24"/>
  <c r="E50" i="24" s="1"/>
  <c r="F56" i="3"/>
  <c r="K55" i="3"/>
  <c r="G55" i="3"/>
  <c r="F75" i="22"/>
  <c r="K74" i="22"/>
  <c r="G74" i="22"/>
  <c r="G115" i="19"/>
  <c r="F116" i="19"/>
  <c r="K115" i="19"/>
  <c r="P159" i="10"/>
  <c r="F160" i="10"/>
  <c r="K159" i="10"/>
  <c r="G159" i="10"/>
  <c r="M159" i="10"/>
  <c r="F160" i="11"/>
  <c r="K159" i="11"/>
  <c r="G159" i="11"/>
  <c r="P159" i="11"/>
  <c r="F87" i="7" l="1"/>
  <c r="K86" i="7"/>
  <c r="F160" i="13"/>
  <c r="K159" i="13"/>
  <c r="K75" i="22"/>
  <c r="F76" i="22"/>
  <c r="G75" i="22"/>
  <c r="F91" i="23"/>
  <c r="K90" i="23"/>
  <c r="G90" i="23"/>
  <c r="F51" i="24"/>
  <c r="E51" i="24" s="1"/>
  <c r="G56" i="3"/>
  <c r="F57" i="3"/>
  <c r="K56" i="3"/>
  <c r="F64" i="4"/>
  <c r="G63" i="4"/>
  <c r="K63" i="4"/>
  <c r="G66" i="6"/>
  <c r="F67" i="6"/>
  <c r="K66" i="6"/>
  <c r="G116" i="19"/>
  <c r="F117" i="19"/>
  <c r="K116" i="19"/>
  <c r="P160" i="11"/>
  <c r="F161" i="11"/>
  <c r="K160" i="11"/>
  <c r="G160" i="11"/>
  <c r="P160" i="10"/>
  <c r="K160" i="10"/>
  <c r="G160" i="10"/>
  <c r="F161" i="10"/>
  <c r="M160" i="10"/>
  <c r="F77" i="22" l="1"/>
  <c r="K76" i="22"/>
  <c r="G76" i="22"/>
  <c r="F161" i="13"/>
  <c r="K160" i="13"/>
  <c r="F68" i="6"/>
  <c r="G67" i="6"/>
  <c r="K67" i="6"/>
  <c r="K87" i="7"/>
  <c r="F88" i="7"/>
  <c r="F92" i="23"/>
  <c r="K91" i="23"/>
  <c r="G91" i="23"/>
  <c r="F52" i="24"/>
  <c r="E52" i="24" s="1"/>
  <c r="F58" i="3"/>
  <c r="K57" i="3"/>
  <c r="G57" i="3"/>
  <c r="F65" i="4"/>
  <c r="G64" i="4"/>
  <c r="K64" i="4"/>
  <c r="G117" i="19"/>
  <c r="F118" i="19"/>
  <c r="K117" i="19"/>
  <c r="P161" i="10"/>
  <c r="K161" i="10"/>
  <c r="G161" i="10"/>
  <c r="F162" i="10"/>
  <c r="M161" i="10"/>
  <c r="P161" i="11"/>
  <c r="G161" i="11"/>
  <c r="F162" i="11"/>
  <c r="K161" i="11"/>
  <c r="F93" i="23" l="1"/>
  <c r="K92" i="23"/>
  <c r="G92" i="23"/>
  <c r="K88" i="7"/>
  <c r="F89" i="7"/>
  <c r="F78" i="22"/>
  <c r="K77" i="22"/>
  <c r="G77" i="22"/>
  <c r="F53" i="24"/>
  <c r="E53" i="24" s="1"/>
  <c r="K58" i="3"/>
  <c r="F59" i="3"/>
  <c r="G58" i="3"/>
  <c r="K65" i="4"/>
  <c r="G65" i="4"/>
  <c r="F66" i="4"/>
  <c r="G68" i="6"/>
  <c r="K68" i="6"/>
  <c r="F69" i="6"/>
  <c r="F162" i="13"/>
  <c r="K161" i="13"/>
  <c r="G161" i="13"/>
  <c r="T30" i="13"/>
  <c r="G118" i="19"/>
  <c r="F119" i="19"/>
  <c r="K118" i="19"/>
  <c r="P162" i="11"/>
  <c r="G162" i="11"/>
  <c r="F163" i="11"/>
  <c r="K162" i="11"/>
  <c r="P162" i="10"/>
  <c r="E10" i="10" s="1"/>
  <c r="K162" i="10"/>
  <c r="G162" i="10"/>
  <c r="F163" i="10"/>
  <c r="M162" i="10"/>
  <c r="F90" i="7" l="1"/>
  <c r="K89" i="7"/>
  <c r="F54" i="24"/>
  <c r="E54" i="24" s="1"/>
  <c r="F60" i="3"/>
  <c r="K59" i="3"/>
  <c r="G59" i="3"/>
  <c r="F163" i="13"/>
  <c r="K162" i="13"/>
  <c r="F70" i="6"/>
  <c r="K69" i="6"/>
  <c r="G69" i="6"/>
  <c r="F94" i="23"/>
  <c r="K93" i="23"/>
  <c r="G93" i="23"/>
  <c r="K66" i="4"/>
  <c r="F67" i="4"/>
  <c r="G66" i="4"/>
  <c r="F79" i="22"/>
  <c r="K78" i="22"/>
  <c r="G78" i="22"/>
  <c r="G119" i="19"/>
  <c r="F120" i="19"/>
  <c r="K119" i="19"/>
  <c r="E6" i="10"/>
  <c r="P163" i="11"/>
  <c r="G163" i="11"/>
  <c r="F164" i="11"/>
  <c r="K163" i="11"/>
  <c r="F164" i="10"/>
  <c r="K163" i="10"/>
  <c r="G163" i="10"/>
  <c r="M163" i="10"/>
  <c r="P163" i="10"/>
  <c r="F7" i="10"/>
  <c r="F95" i="23" l="1"/>
  <c r="K94" i="23"/>
  <c r="G94" i="23"/>
  <c r="K90" i="7"/>
  <c r="F91" i="7"/>
  <c r="K67" i="4"/>
  <c r="G67" i="4"/>
  <c r="F68" i="4"/>
  <c r="F164" i="13"/>
  <c r="K163" i="13"/>
  <c r="F80" i="22"/>
  <c r="K79" i="22"/>
  <c r="G79" i="22"/>
  <c r="F55" i="24"/>
  <c r="E55" i="24" s="1"/>
  <c r="F61" i="3"/>
  <c r="K60" i="3"/>
  <c r="G60" i="3"/>
  <c r="G70" i="6"/>
  <c r="F71" i="6"/>
  <c r="K70" i="6"/>
  <c r="G120" i="19"/>
  <c r="F121" i="19"/>
  <c r="K120" i="19"/>
  <c r="E7" i="10"/>
  <c r="N163" i="10" s="1"/>
  <c r="F165" i="10"/>
  <c r="M164" i="10"/>
  <c r="P164" i="10"/>
  <c r="G164" i="10"/>
  <c r="K164" i="10"/>
  <c r="P164" i="11"/>
  <c r="G164" i="11"/>
  <c r="F165" i="11"/>
  <c r="K164" i="11"/>
  <c r="F92" i="7" l="1"/>
  <c r="K91" i="7"/>
  <c r="T31" i="13"/>
  <c r="F10" i="21" s="1"/>
  <c r="G10" i="21" s="1"/>
  <c r="F165" i="13"/>
  <c r="K164" i="13"/>
  <c r="G164" i="13"/>
  <c r="F96" i="23"/>
  <c r="K95" i="23"/>
  <c r="G95" i="23"/>
  <c r="F56" i="24"/>
  <c r="E56" i="24" s="1"/>
  <c r="F62" i="3"/>
  <c r="K61" i="3"/>
  <c r="G61" i="3"/>
  <c r="F69" i="4"/>
  <c r="K68" i="4"/>
  <c r="G68" i="4"/>
  <c r="K71" i="6"/>
  <c r="G71" i="6"/>
  <c r="F72" i="6"/>
  <c r="G80" i="22"/>
  <c r="F81" i="22"/>
  <c r="K80" i="22"/>
  <c r="G121" i="19"/>
  <c r="F122" i="19"/>
  <c r="K121" i="19"/>
  <c r="N161" i="10"/>
  <c r="N157" i="10"/>
  <c r="N153" i="10"/>
  <c r="N149" i="10"/>
  <c r="N145" i="10"/>
  <c r="N141" i="10"/>
  <c r="N137" i="10"/>
  <c r="N133" i="10"/>
  <c r="N129" i="10"/>
  <c r="N125" i="10"/>
  <c r="N121" i="10"/>
  <c r="N117" i="10"/>
  <c r="N113" i="10"/>
  <c r="N109" i="10"/>
  <c r="N105" i="10"/>
  <c r="N101" i="10"/>
  <c r="N97" i="10"/>
  <c r="N93" i="10"/>
  <c r="N89" i="10"/>
  <c r="N85" i="10"/>
  <c r="N81" i="10"/>
  <c r="N77" i="10"/>
  <c r="N73" i="10"/>
  <c r="N69" i="10"/>
  <c r="N65" i="10"/>
  <c r="N61" i="10"/>
  <c r="N57" i="10"/>
  <c r="N53" i="10"/>
  <c r="N49" i="10"/>
  <c r="N45" i="10"/>
  <c r="N41" i="10"/>
  <c r="N37" i="10"/>
  <c r="N33" i="10"/>
  <c r="N29" i="10"/>
  <c r="N25" i="10"/>
  <c r="N21" i="10"/>
  <c r="N17" i="10"/>
  <c r="F9" i="10"/>
  <c r="O116" i="10"/>
  <c r="O120" i="10"/>
  <c r="O124" i="10"/>
  <c r="O128" i="10"/>
  <c r="O132" i="10"/>
  <c r="O136" i="10"/>
  <c r="O140" i="10"/>
  <c r="O144" i="10"/>
  <c r="O148" i="10"/>
  <c r="O152" i="10"/>
  <c r="O156" i="10"/>
  <c r="O160" i="10"/>
  <c r="N162" i="10"/>
  <c r="N164" i="10"/>
  <c r="N159" i="10"/>
  <c r="N155" i="10"/>
  <c r="N151" i="10"/>
  <c r="N147" i="10"/>
  <c r="N143" i="10"/>
  <c r="N139" i="10"/>
  <c r="N135" i="10"/>
  <c r="N131" i="10"/>
  <c r="N127" i="10"/>
  <c r="N123" i="10"/>
  <c r="N119" i="10"/>
  <c r="N115" i="10"/>
  <c r="N111" i="10"/>
  <c r="N107" i="10"/>
  <c r="N103" i="10"/>
  <c r="N99" i="10"/>
  <c r="N95" i="10"/>
  <c r="N91" i="10"/>
  <c r="N87" i="10"/>
  <c r="N83" i="10"/>
  <c r="N79" i="10"/>
  <c r="N75" i="10"/>
  <c r="N71" i="10"/>
  <c r="N67" i="10"/>
  <c r="N63" i="10"/>
  <c r="N59" i="10"/>
  <c r="N55" i="10"/>
  <c r="N51" i="10"/>
  <c r="N47" i="10"/>
  <c r="N43" i="10"/>
  <c r="N39" i="10"/>
  <c r="N35" i="10"/>
  <c r="N31" i="10"/>
  <c r="N27" i="10"/>
  <c r="N23" i="10"/>
  <c r="N19" i="10"/>
  <c r="N14" i="10"/>
  <c r="O114" i="10"/>
  <c r="O118" i="10"/>
  <c r="O122" i="10"/>
  <c r="O126" i="10"/>
  <c r="O130" i="10"/>
  <c r="O134" i="10"/>
  <c r="O138" i="10"/>
  <c r="O142" i="10"/>
  <c r="O146" i="10"/>
  <c r="O150" i="10"/>
  <c r="O154" i="10"/>
  <c r="O158" i="10"/>
  <c r="O162" i="10"/>
  <c r="P165" i="11"/>
  <c r="G165" i="11"/>
  <c r="F166" i="11"/>
  <c r="K165" i="11"/>
  <c r="N160" i="10"/>
  <c r="N158" i="10"/>
  <c r="N156" i="10"/>
  <c r="N154" i="10"/>
  <c r="N152" i="10"/>
  <c r="N150" i="10"/>
  <c r="N148" i="10"/>
  <c r="N146" i="10"/>
  <c r="N144" i="10"/>
  <c r="N142" i="10"/>
  <c r="N140" i="10"/>
  <c r="N138" i="10"/>
  <c r="N136" i="10"/>
  <c r="N134" i="10"/>
  <c r="N132" i="10"/>
  <c r="N130" i="10"/>
  <c r="N128" i="10"/>
  <c r="N126" i="10"/>
  <c r="N124" i="10"/>
  <c r="N122" i="10"/>
  <c r="N120" i="10"/>
  <c r="N118" i="10"/>
  <c r="N116" i="10"/>
  <c r="N114" i="10"/>
  <c r="N112" i="10"/>
  <c r="N110" i="10"/>
  <c r="N108" i="10"/>
  <c r="N106" i="10"/>
  <c r="N104" i="10"/>
  <c r="N102" i="10"/>
  <c r="N100" i="10"/>
  <c r="N98" i="10"/>
  <c r="N96" i="10"/>
  <c r="N94" i="10"/>
  <c r="N92" i="10"/>
  <c r="N90" i="10"/>
  <c r="N88" i="10"/>
  <c r="N86" i="10"/>
  <c r="N84" i="10"/>
  <c r="N82" i="10"/>
  <c r="N80" i="10"/>
  <c r="N78" i="10"/>
  <c r="N76" i="10"/>
  <c r="N74" i="10"/>
  <c r="N72" i="10"/>
  <c r="N70" i="10"/>
  <c r="N68" i="10"/>
  <c r="N66" i="10"/>
  <c r="N64" i="10"/>
  <c r="N62" i="10"/>
  <c r="N60" i="10"/>
  <c r="N58" i="10"/>
  <c r="N56" i="10"/>
  <c r="N54" i="10"/>
  <c r="N52" i="10"/>
  <c r="N50" i="10"/>
  <c r="N48" i="10"/>
  <c r="N46" i="10"/>
  <c r="N44" i="10"/>
  <c r="N42" i="10"/>
  <c r="N40" i="10"/>
  <c r="N38" i="10"/>
  <c r="N36" i="10"/>
  <c r="N34" i="10"/>
  <c r="N32" i="10"/>
  <c r="N30" i="10"/>
  <c r="N28" i="10"/>
  <c r="N26" i="10"/>
  <c r="N24" i="10"/>
  <c r="N22" i="10"/>
  <c r="N20" i="10"/>
  <c r="N18" i="10"/>
  <c r="N16" i="10"/>
  <c r="N15" i="10"/>
  <c r="O113" i="10"/>
  <c r="O115" i="10"/>
  <c r="O117" i="10"/>
  <c r="O119" i="10"/>
  <c r="O121" i="10"/>
  <c r="O123" i="10"/>
  <c r="O125" i="10"/>
  <c r="O127" i="10"/>
  <c r="O129" i="10"/>
  <c r="O131" i="10"/>
  <c r="O133" i="10"/>
  <c r="O135" i="10"/>
  <c r="O137" i="10"/>
  <c r="O139" i="10"/>
  <c r="O141" i="10"/>
  <c r="O143" i="10"/>
  <c r="O145" i="10"/>
  <c r="O147" i="10"/>
  <c r="O149" i="10"/>
  <c r="O151" i="10"/>
  <c r="O153" i="10"/>
  <c r="O155" i="10"/>
  <c r="O157" i="10"/>
  <c r="O159" i="10"/>
  <c r="O161" i="10"/>
  <c r="F8" i="10"/>
  <c r="F166" i="10"/>
  <c r="M165" i="10"/>
  <c r="K165" i="10"/>
  <c r="P165" i="10"/>
  <c r="G165" i="10"/>
  <c r="K165" i="13" l="1"/>
  <c r="E5" i="13" s="1"/>
  <c r="G165" i="13"/>
  <c r="D10" i="21"/>
  <c r="K81" i="22"/>
  <c r="F82" i="22"/>
  <c r="G81" i="22"/>
  <c r="K72" i="6"/>
  <c r="G72" i="6"/>
  <c r="F73" i="6"/>
  <c r="F97" i="23"/>
  <c r="K96" i="23"/>
  <c r="G96" i="23"/>
  <c r="F70" i="4"/>
  <c r="K69" i="4"/>
  <c r="G69" i="4"/>
  <c r="F57" i="24"/>
  <c r="E57" i="24" s="1"/>
  <c r="F63" i="3"/>
  <c r="G62" i="3"/>
  <c r="K62" i="3"/>
  <c r="F93" i="7"/>
  <c r="K92" i="7"/>
  <c r="G122" i="19"/>
  <c r="F123" i="19"/>
  <c r="K122" i="19"/>
  <c r="N165" i="10"/>
  <c r="M166" i="10"/>
  <c r="F167" i="10"/>
  <c r="G166" i="10"/>
  <c r="K166" i="10"/>
  <c r="P166" i="11"/>
  <c r="G166" i="11"/>
  <c r="F167" i="11"/>
  <c r="K166" i="11"/>
  <c r="F94" i="7" l="1"/>
  <c r="K93" i="7"/>
  <c r="F98" i="23"/>
  <c r="K97" i="23"/>
  <c r="G97" i="23"/>
  <c r="P19" i="23"/>
  <c r="K73" i="6"/>
  <c r="G73" i="6"/>
  <c r="F74" i="6"/>
  <c r="F58" i="24"/>
  <c r="E58" i="24" s="1"/>
  <c r="K63" i="3"/>
  <c r="F64" i="3"/>
  <c r="G63" i="3"/>
  <c r="K70" i="4"/>
  <c r="G70" i="4"/>
  <c r="F71" i="4"/>
  <c r="G82" i="22"/>
  <c r="F83" i="22"/>
  <c r="K82" i="22"/>
  <c r="G123" i="19"/>
  <c r="F124" i="19"/>
  <c r="K123" i="19"/>
  <c r="P167" i="11"/>
  <c r="G167" i="11"/>
  <c r="F168" i="11"/>
  <c r="K167" i="11"/>
  <c r="N166" i="10"/>
  <c r="F168" i="10"/>
  <c r="K167" i="10"/>
  <c r="G167" i="10"/>
  <c r="M167" i="10"/>
  <c r="K83" i="22" l="1"/>
  <c r="F84" i="22"/>
  <c r="G83" i="22"/>
  <c r="F99" i="23"/>
  <c r="K98" i="23"/>
  <c r="G98" i="23"/>
  <c r="G71" i="4"/>
  <c r="F72" i="4"/>
  <c r="K71" i="4"/>
  <c r="F75" i="6"/>
  <c r="K74" i="6"/>
  <c r="G74" i="6"/>
  <c r="F95" i="7"/>
  <c r="K94" i="7"/>
  <c r="F59" i="24"/>
  <c r="E59" i="24" s="1"/>
  <c r="F65" i="3"/>
  <c r="K64" i="3"/>
  <c r="G64" i="3"/>
  <c r="G124" i="19"/>
  <c r="F125" i="19"/>
  <c r="K124" i="19"/>
  <c r="P168" i="11"/>
  <c r="G168" i="11"/>
  <c r="F169" i="11"/>
  <c r="K168" i="11"/>
  <c r="N167" i="10"/>
  <c r="M168" i="10"/>
  <c r="K168" i="10"/>
  <c r="F169" i="10"/>
  <c r="G168" i="10"/>
  <c r="F100" i="23" l="1"/>
  <c r="K99" i="23"/>
  <c r="G99" i="23"/>
  <c r="K75" i="6"/>
  <c r="G75" i="6"/>
  <c r="F76" i="6"/>
  <c r="F60" i="24"/>
  <c r="E60" i="24" s="1"/>
  <c r="F66" i="3"/>
  <c r="G65" i="3"/>
  <c r="K65" i="3"/>
  <c r="K72" i="4"/>
  <c r="G72" i="4"/>
  <c r="F73" i="4"/>
  <c r="F96" i="7"/>
  <c r="K95" i="7"/>
  <c r="K84" i="22"/>
  <c r="G84" i="22"/>
  <c r="F85" i="22"/>
  <c r="G125" i="19"/>
  <c r="F126" i="19"/>
  <c r="K125" i="19"/>
  <c r="N168" i="10"/>
  <c r="K169" i="10"/>
  <c r="G169" i="10"/>
  <c r="F170" i="10"/>
  <c r="F170" i="11"/>
  <c r="G169" i="11"/>
  <c r="K169" i="11"/>
  <c r="K85" i="22" l="1"/>
  <c r="F86" i="22"/>
  <c r="G85" i="22"/>
  <c r="K96" i="7"/>
  <c r="F97" i="7"/>
  <c r="F77" i="6"/>
  <c r="K76" i="6"/>
  <c r="G76" i="6"/>
  <c r="F101" i="23"/>
  <c r="G100" i="23"/>
  <c r="K100" i="23"/>
  <c r="F61" i="24"/>
  <c r="E61" i="24" s="1"/>
  <c r="F67" i="3"/>
  <c r="K66" i="3"/>
  <c r="G66" i="3"/>
  <c r="K73" i="4"/>
  <c r="F74" i="4"/>
  <c r="G73" i="4"/>
  <c r="G126" i="19"/>
  <c r="F127" i="19"/>
  <c r="K126" i="19"/>
  <c r="P169" i="11"/>
  <c r="K170" i="11"/>
  <c r="F171" i="11"/>
  <c r="G170" i="11"/>
  <c r="K170" i="10"/>
  <c r="G170" i="10"/>
  <c r="F171" i="10"/>
  <c r="K86" i="22" l="1"/>
  <c r="G86" i="22"/>
  <c r="F87" i="22"/>
  <c r="F75" i="4"/>
  <c r="G74" i="4"/>
  <c r="K74" i="4"/>
  <c r="K101" i="23"/>
  <c r="G101" i="23"/>
  <c r="F102" i="23"/>
  <c r="F98" i="7"/>
  <c r="K97" i="7"/>
  <c r="G77" i="6"/>
  <c r="K77" i="6"/>
  <c r="F78" i="6"/>
  <c r="F62" i="24"/>
  <c r="E62" i="24" s="1"/>
  <c r="F68" i="3"/>
  <c r="K67" i="3"/>
  <c r="G67" i="3"/>
  <c r="G127" i="19"/>
  <c r="F128" i="19"/>
  <c r="K127" i="19"/>
  <c r="P170" i="11"/>
  <c r="F172" i="11"/>
  <c r="G171" i="11"/>
  <c r="K171" i="11"/>
  <c r="K171" i="10"/>
  <c r="G171" i="10"/>
  <c r="F172" i="10"/>
  <c r="G78" i="6" l="1"/>
  <c r="K78" i="6"/>
  <c r="F79" i="6"/>
  <c r="F76" i="4"/>
  <c r="G75" i="4"/>
  <c r="K75" i="4"/>
  <c r="F103" i="23"/>
  <c r="K102" i="23"/>
  <c r="G102" i="23"/>
  <c r="F88" i="22"/>
  <c r="K87" i="22"/>
  <c r="G87" i="22"/>
  <c r="F63" i="24"/>
  <c r="E63" i="24" s="1"/>
  <c r="F69" i="3"/>
  <c r="G68" i="3"/>
  <c r="K68" i="3"/>
  <c r="F99" i="7"/>
  <c r="K98" i="7"/>
  <c r="G128" i="19"/>
  <c r="F129" i="19"/>
  <c r="K128" i="19"/>
  <c r="K172" i="10"/>
  <c r="G172" i="10"/>
  <c r="F173" i="10"/>
  <c r="P171" i="11"/>
  <c r="K172" i="11"/>
  <c r="F173" i="11"/>
  <c r="G172" i="11"/>
  <c r="F80" i="6" l="1"/>
  <c r="G79" i="6"/>
  <c r="K79" i="6"/>
  <c r="F64" i="24"/>
  <c r="E64" i="24" s="1"/>
  <c r="F70" i="3"/>
  <c r="K69" i="3"/>
  <c r="G69" i="3"/>
  <c r="F77" i="4"/>
  <c r="K76" i="4"/>
  <c r="G76" i="4"/>
  <c r="F89" i="22"/>
  <c r="K88" i="22"/>
  <c r="G88" i="22"/>
  <c r="F100" i="7"/>
  <c r="K99" i="7"/>
  <c r="F104" i="23"/>
  <c r="K103" i="23"/>
  <c r="G103" i="23"/>
  <c r="G129" i="19"/>
  <c r="F130" i="19"/>
  <c r="K129" i="19"/>
  <c r="F174" i="10"/>
  <c r="G173" i="10"/>
  <c r="K173" i="10"/>
  <c r="P172" i="11"/>
  <c r="F174" i="11"/>
  <c r="G173" i="11"/>
  <c r="K173" i="11"/>
  <c r="F90" i="22" l="1"/>
  <c r="G89" i="22"/>
  <c r="K89" i="22"/>
  <c r="K77" i="4"/>
  <c r="G77" i="4"/>
  <c r="F78" i="4"/>
  <c r="F65" i="24"/>
  <c r="E65" i="24" s="1"/>
  <c r="G70" i="3"/>
  <c r="F71" i="3"/>
  <c r="K70" i="3"/>
  <c r="G80" i="6"/>
  <c r="F81" i="6"/>
  <c r="K80" i="6"/>
  <c r="K100" i="7"/>
  <c r="F101" i="7"/>
  <c r="F105" i="23"/>
  <c r="K104" i="23"/>
  <c r="G104" i="23"/>
  <c r="G130" i="19"/>
  <c r="F131" i="19"/>
  <c r="K130" i="19"/>
  <c r="P173" i="11"/>
  <c r="K174" i="11"/>
  <c r="F175" i="11"/>
  <c r="G174" i="11"/>
  <c r="K174" i="10"/>
  <c r="F175" i="10"/>
  <c r="G174" i="10"/>
  <c r="F91" i="22" l="1"/>
  <c r="K90" i="22"/>
  <c r="G90" i="22"/>
  <c r="O12" i="22"/>
  <c r="K12" i="22" s="1"/>
  <c r="F106" i="23"/>
  <c r="K105" i="23"/>
  <c r="G105" i="23"/>
  <c r="F66" i="24"/>
  <c r="E66" i="24" s="1"/>
  <c r="K71" i="3"/>
  <c r="F72" i="3"/>
  <c r="G71" i="3"/>
  <c r="F79" i="4"/>
  <c r="K78" i="4"/>
  <c r="G78" i="4"/>
  <c r="K101" i="7"/>
  <c r="F102" i="7"/>
  <c r="K81" i="6"/>
  <c r="G81" i="6"/>
  <c r="F82" i="6"/>
  <c r="G131" i="19"/>
  <c r="F132" i="19"/>
  <c r="K131" i="19"/>
  <c r="P174" i="11"/>
  <c r="F176" i="11"/>
  <c r="G175" i="11"/>
  <c r="K175" i="11"/>
  <c r="F176" i="10"/>
  <c r="G175" i="10"/>
  <c r="K175" i="10"/>
  <c r="F80" i="4" l="1"/>
  <c r="K79" i="4"/>
  <c r="G79" i="4"/>
  <c r="F103" i="7"/>
  <c r="K102" i="7"/>
  <c r="F67" i="24"/>
  <c r="E67" i="24" s="1"/>
  <c r="K72" i="3"/>
  <c r="G72" i="3"/>
  <c r="F73" i="3"/>
  <c r="F107" i="23"/>
  <c r="K106" i="23"/>
  <c r="G106" i="23"/>
  <c r="K82" i="6"/>
  <c r="F83" i="6"/>
  <c r="G82" i="6"/>
  <c r="F92" i="22"/>
  <c r="K91" i="22"/>
  <c r="G91" i="22"/>
  <c r="G132" i="19"/>
  <c r="F133" i="19"/>
  <c r="K132" i="19"/>
  <c r="P175" i="11"/>
  <c r="K176" i="11"/>
  <c r="F177" i="11"/>
  <c r="G176" i="11"/>
  <c r="K176" i="10"/>
  <c r="F177" i="10"/>
  <c r="G176" i="10"/>
  <c r="K103" i="7" l="1"/>
  <c r="F104" i="7"/>
  <c r="G92" i="22"/>
  <c r="F93" i="22"/>
  <c r="K92" i="22"/>
  <c r="K80" i="4"/>
  <c r="G80" i="4"/>
  <c r="F81" i="4"/>
  <c r="F108" i="23"/>
  <c r="K107" i="23"/>
  <c r="G107" i="23"/>
  <c r="F68" i="24"/>
  <c r="E68" i="24" s="1"/>
  <c r="K73" i="3"/>
  <c r="F74" i="3"/>
  <c r="G73" i="3"/>
  <c r="K83" i="6"/>
  <c r="G83" i="6"/>
  <c r="F84" i="6"/>
  <c r="G133" i="19"/>
  <c r="F134" i="19"/>
  <c r="K133" i="19"/>
  <c r="P176" i="11"/>
  <c r="F178" i="11"/>
  <c r="G177" i="11"/>
  <c r="K177" i="11"/>
  <c r="F178" i="10"/>
  <c r="G177" i="10"/>
  <c r="K177" i="10"/>
  <c r="F105" i="7" l="1"/>
  <c r="K104" i="7"/>
  <c r="F94" i="22"/>
  <c r="K93" i="22"/>
  <c r="G93" i="22"/>
  <c r="F109" i="23"/>
  <c r="K108" i="23"/>
  <c r="G108" i="23"/>
  <c r="K84" i="6"/>
  <c r="F85" i="6"/>
  <c r="G84" i="6"/>
  <c r="G81" i="4"/>
  <c r="F82" i="4"/>
  <c r="K81" i="4"/>
  <c r="F69" i="24"/>
  <c r="E69" i="24" s="1"/>
  <c r="K74" i="3"/>
  <c r="G74" i="3"/>
  <c r="F75" i="3"/>
  <c r="G134" i="19"/>
  <c r="F135" i="19"/>
  <c r="K134" i="19"/>
  <c r="K178" i="10"/>
  <c r="F179" i="10"/>
  <c r="G178" i="10"/>
  <c r="P177" i="11"/>
  <c r="K178" i="11"/>
  <c r="F179" i="11"/>
  <c r="G178" i="11"/>
  <c r="K82" i="4" l="1"/>
  <c r="F83" i="4"/>
  <c r="G82" i="4"/>
  <c r="F70" i="24"/>
  <c r="E70" i="24" s="1"/>
  <c r="G75" i="3"/>
  <c r="F76" i="3"/>
  <c r="K75" i="3"/>
  <c r="K85" i="6"/>
  <c r="F86" i="6"/>
  <c r="G85" i="6"/>
  <c r="F106" i="7"/>
  <c r="K105" i="7"/>
  <c r="F110" i="23"/>
  <c r="K109" i="23"/>
  <c r="G109" i="23"/>
  <c r="F95" i="22"/>
  <c r="K94" i="22"/>
  <c r="G94" i="22"/>
  <c r="G135" i="19"/>
  <c r="F136" i="19"/>
  <c r="K135" i="19"/>
  <c r="P178" i="11"/>
  <c r="F180" i="11"/>
  <c r="G179" i="11"/>
  <c r="K179" i="11"/>
  <c r="F180" i="10"/>
  <c r="G179" i="10"/>
  <c r="K179" i="10"/>
  <c r="K95" i="22" l="1"/>
  <c r="F96" i="22"/>
  <c r="G95" i="22"/>
  <c r="G86" i="6"/>
  <c r="K86" i="6"/>
  <c r="F87" i="6"/>
  <c r="K83" i="4"/>
  <c r="F84" i="4"/>
  <c r="G83" i="4"/>
  <c r="K110" i="23"/>
  <c r="G110" i="23"/>
  <c r="F111" i="23"/>
  <c r="F71" i="24"/>
  <c r="E71" i="24" s="1"/>
  <c r="G76" i="3"/>
  <c r="K76" i="3"/>
  <c r="F77" i="3"/>
  <c r="F107" i="7"/>
  <c r="K106" i="7"/>
  <c r="G136" i="19"/>
  <c r="F137" i="19"/>
  <c r="K136" i="19"/>
  <c r="P179" i="11"/>
  <c r="K180" i="11"/>
  <c r="F181" i="11"/>
  <c r="G180" i="11"/>
  <c r="K180" i="10"/>
  <c r="F181" i="10"/>
  <c r="G180" i="10"/>
  <c r="F72" i="24" l="1"/>
  <c r="E72" i="24" s="1"/>
  <c r="F78" i="3"/>
  <c r="K77" i="3"/>
  <c r="G77" i="3"/>
  <c r="F112" i="23"/>
  <c r="K111" i="23"/>
  <c r="G111" i="23"/>
  <c r="F108" i="7"/>
  <c r="K107" i="7"/>
  <c r="F88" i="6"/>
  <c r="K87" i="6"/>
  <c r="G87" i="6"/>
  <c r="G96" i="22"/>
  <c r="F97" i="22"/>
  <c r="K96" i="22"/>
  <c r="O13" i="22"/>
  <c r="G84" i="4"/>
  <c r="F85" i="4"/>
  <c r="K84" i="4"/>
  <c r="G137" i="19"/>
  <c r="F138" i="19"/>
  <c r="K137" i="19"/>
  <c r="P180" i="11"/>
  <c r="F182" i="11"/>
  <c r="G181" i="11"/>
  <c r="K181" i="11"/>
  <c r="F182" i="10"/>
  <c r="G181" i="10"/>
  <c r="K181" i="10"/>
  <c r="F73" i="24" l="1"/>
  <c r="E73" i="24" s="1"/>
  <c r="K78" i="3"/>
  <c r="G78" i="3"/>
  <c r="F79" i="3"/>
  <c r="F98" i="22"/>
  <c r="K97" i="22"/>
  <c r="G97" i="22"/>
  <c r="F113" i="23"/>
  <c r="K112" i="23"/>
  <c r="G112" i="23"/>
  <c r="K88" i="6"/>
  <c r="G88" i="6"/>
  <c r="F89" i="6"/>
  <c r="K85" i="4"/>
  <c r="G85" i="4"/>
  <c r="F86" i="4"/>
  <c r="K108" i="7"/>
  <c r="F109" i="7"/>
  <c r="G138" i="19"/>
  <c r="F139" i="19"/>
  <c r="K138" i="19"/>
  <c r="K182" i="10"/>
  <c r="F183" i="10"/>
  <c r="G182" i="10"/>
  <c r="P181" i="11"/>
  <c r="K182" i="11"/>
  <c r="F183" i="11"/>
  <c r="G182" i="11"/>
  <c r="F99" i="22" l="1"/>
  <c r="G98" i="22"/>
  <c r="K98" i="22"/>
  <c r="K89" i="6"/>
  <c r="F90" i="6"/>
  <c r="G89" i="6"/>
  <c r="F87" i="4"/>
  <c r="G86" i="4"/>
  <c r="K86" i="4"/>
  <c r="F74" i="24"/>
  <c r="E74" i="24" s="1"/>
  <c r="F80" i="3"/>
  <c r="K79" i="3"/>
  <c r="G79" i="3"/>
  <c r="F110" i="7"/>
  <c r="K109" i="7"/>
  <c r="F114" i="23"/>
  <c r="K113" i="23"/>
  <c r="G113" i="23"/>
  <c r="G139" i="19"/>
  <c r="F140" i="19"/>
  <c r="K139" i="19"/>
  <c r="F184" i="10"/>
  <c r="G183" i="10"/>
  <c r="K183" i="10"/>
  <c r="P182" i="11"/>
  <c r="F184" i="11"/>
  <c r="G183" i="11"/>
  <c r="K183" i="11"/>
  <c r="K110" i="7" l="1"/>
  <c r="F111" i="7"/>
  <c r="K87" i="4"/>
  <c r="F88" i="4"/>
  <c r="G87" i="4"/>
  <c r="G99" i="22"/>
  <c r="F100" i="22"/>
  <c r="K99" i="22"/>
  <c r="F75" i="24"/>
  <c r="E75" i="24" s="1"/>
  <c r="K80" i="3"/>
  <c r="G80" i="3"/>
  <c r="F81" i="3"/>
  <c r="K90" i="6"/>
  <c r="G90" i="6"/>
  <c r="F91" i="6"/>
  <c r="F115" i="23"/>
  <c r="K114" i="23"/>
  <c r="G114" i="23"/>
  <c r="G140" i="19"/>
  <c r="F141" i="19"/>
  <c r="K140" i="19"/>
  <c r="P183" i="11"/>
  <c r="K184" i="11"/>
  <c r="F185" i="11"/>
  <c r="G184" i="11"/>
  <c r="K184" i="10"/>
  <c r="F185" i="10"/>
  <c r="G184" i="10"/>
  <c r="G88" i="4" l="1"/>
  <c r="F89" i="4"/>
  <c r="K88" i="4"/>
  <c r="F116" i="23"/>
  <c r="K115" i="23"/>
  <c r="G115" i="23"/>
  <c r="F76" i="24"/>
  <c r="E76" i="24" s="1"/>
  <c r="K81" i="3"/>
  <c r="G81" i="3"/>
  <c r="F82" i="3"/>
  <c r="F112" i="7"/>
  <c r="K111" i="7"/>
  <c r="G91" i="6"/>
  <c r="F92" i="6"/>
  <c r="K91" i="6"/>
  <c r="F101" i="22"/>
  <c r="K100" i="22"/>
  <c r="G100" i="22"/>
  <c r="G141" i="19"/>
  <c r="F142" i="19"/>
  <c r="K141" i="19"/>
  <c r="F186" i="10"/>
  <c r="G185" i="10"/>
  <c r="K185" i="10"/>
  <c r="P184" i="11"/>
  <c r="F186" i="11"/>
  <c r="G185" i="11"/>
  <c r="K185" i="11"/>
  <c r="F102" i="22" l="1"/>
  <c r="K101" i="22"/>
  <c r="G101" i="22"/>
  <c r="F90" i="4"/>
  <c r="K89" i="4"/>
  <c r="G89" i="4"/>
  <c r="F93" i="6"/>
  <c r="K92" i="6"/>
  <c r="G92" i="6"/>
  <c r="F117" i="23"/>
  <c r="K116" i="23"/>
  <c r="G116" i="23"/>
  <c r="F77" i="24"/>
  <c r="E77" i="24" s="1"/>
  <c r="F83" i="3"/>
  <c r="K82" i="3"/>
  <c r="G82" i="3"/>
  <c r="K112" i="7"/>
  <c r="F113" i="7"/>
  <c r="G142" i="19"/>
  <c r="F143" i="19"/>
  <c r="K142" i="19"/>
  <c r="P185" i="11"/>
  <c r="K186" i="11"/>
  <c r="F187" i="11"/>
  <c r="G186" i="11"/>
  <c r="K186" i="10"/>
  <c r="F187" i="10"/>
  <c r="G186" i="10"/>
  <c r="F103" i="22" l="1"/>
  <c r="G102" i="22"/>
  <c r="K102" i="22"/>
  <c r="F78" i="24"/>
  <c r="E78" i="24" s="1"/>
  <c r="G83" i="3"/>
  <c r="K83" i="3"/>
  <c r="F84" i="3"/>
  <c r="K93" i="6"/>
  <c r="G93" i="6"/>
  <c r="F94" i="6"/>
  <c r="F91" i="4"/>
  <c r="K90" i="4"/>
  <c r="G90" i="4"/>
  <c r="G117" i="23"/>
  <c r="F118" i="23"/>
  <c r="K117" i="23"/>
  <c r="F114" i="7"/>
  <c r="K113" i="7"/>
  <c r="G143" i="19"/>
  <c r="F144" i="19"/>
  <c r="K143" i="19"/>
  <c r="P186" i="11"/>
  <c r="F188" i="11"/>
  <c r="G187" i="11"/>
  <c r="K187" i="11"/>
  <c r="F188" i="10"/>
  <c r="G187" i="10"/>
  <c r="K187" i="10"/>
  <c r="F95" i="6" l="1"/>
  <c r="K94" i="6"/>
  <c r="G94" i="6"/>
  <c r="F119" i="23"/>
  <c r="K118" i="23"/>
  <c r="G118" i="23"/>
  <c r="F79" i="24"/>
  <c r="E79" i="24" s="1"/>
  <c r="F85" i="3"/>
  <c r="K84" i="3"/>
  <c r="G84" i="3"/>
  <c r="K103" i="22"/>
  <c r="F104" i="22"/>
  <c r="G103" i="22"/>
  <c r="O14" i="22"/>
  <c r="F115" i="7"/>
  <c r="K114" i="7"/>
  <c r="F92" i="4"/>
  <c r="K91" i="4"/>
  <c r="G91" i="4"/>
  <c r="G144" i="19"/>
  <c r="F145" i="19"/>
  <c r="K144" i="19"/>
  <c r="K188" i="10"/>
  <c r="F189" i="10"/>
  <c r="G188" i="10"/>
  <c r="P187" i="11"/>
  <c r="K188" i="11"/>
  <c r="F189" i="11"/>
  <c r="G188" i="11"/>
  <c r="K92" i="4" l="1"/>
  <c r="G92" i="4"/>
  <c r="F93" i="4"/>
  <c r="K95" i="6"/>
  <c r="F96" i="6"/>
  <c r="G95" i="6"/>
  <c r="F80" i="24"/>
  <c r="E80" i="24" s="1"/>
  <c r="F86" i="3"/>
  <c r="G85" i="3"/>
  <c r="K85" i="3"/>
  <c r="K104" i="22"/>
  <c r="G104" i="22"/>
  <c r="F105" i="22"/>
  <c r="F120" i="23"/>
  <c r="K119" i="23"/>
  <c r="G119" i="23"/>
  <c r="F116" i="7"/>
  <c r="K115" i="7"/>
  <c r="G145" i="19"/>
  <c r="F146" i="19"/>
  <c r="K145" i="19"/>
  <c r="P188" i="11"/>
  <c r="F190" i="11"/>
  <c r="G189" i="11"/>
  <c r="K189" i="11"/>
  <c r="F190" i="10"/>
  <c r="G189" i="10"/>
  <c r="K189" i="10"/>
  <c r="F81" i="24" l="1"/>
  <c r="E81" i="24" s="1"/>
  <c r="F87" i="3"/>
  <c r="K86" i="3"/>
  <c r="G86" i="3"/>
  <c r="K105" i="22"/>
  <c r="F106" i="22"/>
  <c r="G105" i="22"/>
  <c r="K93" i="4"/>
  <c r="G93" i="4"/>
  <c r="F94" i="4"/>
  <c r="F117" i="7"/>
  <c r="K116" i="7"/>
  <c r="G96" i="6"/>
  <c r="F97" i="6"/>
  <c r="K96" i="6"/>
  <c r="F121" i="23"/>
  <c r="K120" i="23"/>
  <c r="G120" i="23"/>
  <c r="P20" i="23"/>
  <c r="G146" i="19"/>
  <c r="F147" i="19"/>
  <c r="K146" i="19"/>
  <c r="K190" i="10"/>
  <c r="F191" i="10"/>
  <c r="G190" i="10"/>
  <c r="P189" i="11"/>
  <c r="K190" i="11"/>
  <c r="F191" i="11"/>
  <c r="G190" i="11"/>
  <c r="F82" i="24" l="1"/>
  <c r="E82" i="24" s="1"/>
  <c r="F88" i="3"/>
  <c r="K87" i="3"/>
  <c r="G87" i="3"/>
  <c r="F122" i="23"/>
  <c r="K121" i="23"/>
  <c r="G121" i="23"/>
  <c r="G94" i="4"/>
  <c r="F95" i="4"/>
  <c r="K94" i="4"/>
  <c r="F118" i="7"/>
  <c r="K117" i="7"/>
  <c r="F107" i="22"/>
  <c r="K106" i="22"/>
  <c r="O15" i="22"/>
  <c r="F98" i="6"/>
  <c r="K97" i="6"/>
  <c r="G97" i="6"/>
  <c r="G147" i="19"/>
  <c r="F148" i="19"/>
  <c r="K147" i="19"/>
  <c r="F192" i="10"/>
  <c r="G191" i="10"/>
  <c r="K191" i="10"/>
  <c r="P190" i="11"/>
  <c r="F192" i="11"/>
  <c r="G191" i="11"/>
  <c r="K191" i="11"/>
  <c r="K98" i="6" l="1"/>
  <c r="G98" i="6"/>
  <c r="F99" i="6"/>
  <c r="F123" i="23"/>
  <c r="K122" i="23"/>
  <c r="G122" i="23"/>
  <c r="F83" i="24"/>
  <c r="E83" i="24" s="1"/>
  <c r="G88" i="3"/>
  <c r="F89" i="3"/>
  <c r="K88" i="3"/>
  <c r="F119" i="7"/>
  <c r="K118" i="7"/>
  <c r="F96" i="4"/>
  <c r="K95" i="4"/>
  <c r="G95" i="4"/>
  <c r="G107" i="22"/>
  <c r="F108" i="22"/>
  <c r="K107" i="22"/>
  <c r="G148" i="19"/>
  <c r="F149" i="19"/>
  <c r="K148" i="19"/>
  <c r="P191" i="11"/>
  <c r="K192" i="11"/>
  <c r="F193" i="11"/>
  <c r="G192" i="11"/>
  <c r="K192" i="10"/>
  <c r="F193" i="10"/>
  <c r="G192" i="10"/>
  <c r="F97" i="4" l="1"/>
  <c r="K96" i="4"/>
  <c r="G96" i="4"/>
  <c r="F120" i="7"/>
  <c r="K119" i="7"/>
  <c r="F124" i="23"/>
  <c r="K123" i="23"/>
  <c r="G123" i="23"/>
  <c r="K108" i="22"/>
  <c r="G108" i="22"/>
  <c r="F109" i="22"/>
  <c r="K99" i="6"/>
  <c r="F100" i="6"/>
  <c r="G99" i="6"/>
  <c r="F84" i="24"/>
  <c r="E84" i="24" s="1"/>
  <c r="F90" i="3"/>
  <c r="K89" i="3"/>
  <c r="G89" i="3"/>
  <c r="G149" i="19"/>
  <c r="F150" i="19"/>
  <c r="K149" i="19"/>
  <c r="P192" i="11"/>
  <c r="F194" i="11"/>
  <c r="G193" i="11"/>
  <c r="K193" i="11"/>
  <c r="F194" i="10"/>
  <c r="G193" i="10"/>
  <c r="K193" i="10"/>
  <c r="F85" i="24" l="1"/>
  <c r="E85" i="24" s="1"/>
  <c r="G90" i="3"/>
  <c r="F91" i="3"/>
  <c r="K90" i="3"/>
  <c r="K124" i="23"/>
  <c r="G124" i="23"/>
  <c r="F125" i="23"/>
  <c r="P21" i="23"/>
  <c r="K100" i="6"/>
  <c r="F101" i="6"/>
  <c r="G100" i="6"/>
  <c r="K97" i="4"/>
  <c r="G97" i="4"/>
  <c r="F98" i="4"/>
  <c r="G109" i="22"/>
  <c r="K109" i="22"/>
  <c r="O16" i="22"/>
  <c r="F110" i="22"/>
  <c r="K120" i="7"/>
  <c r="F121" i="7"/>
  <c r="G150" i="19"/>
  <c r="F151" i="19"/>
  <c r="K150" i="19"/>
  <c r="K194" i="10"/>
  <c r="F195" i="10"/>
  <c r="G194" i="10"/>
  <c r="P193" i="11"/>
  <c r="K194" i="11"/>
  <c r="F195" i="11"/>
  <c r="G194" i="11"/>
  <c r="F99" i="4" l="1"/>
  <c r="K98" i="4"/>
  <c r="G98" i="4"/>
  <c r="F126" i="23"/>
  <c r="K125" i="23"/>
  <c r="G125" i="23"/>
  <c r="K121" i="7"/>
  <c r="F122" i="7"/>
  <c r="F86" i="24"/>
  <c r="E86" i="24" s="1"/>
  <c r="F92" i="3"/>
  <c r="G91" i="3"/>
  <c r="K91" i="3"/>
  <c r="K110" i="22"/>
  <c r="F111" i="22"/>
  <c r="G110" i="22"/>
  <c r="G101" i="6"/>
  <c r="F102" i="6"/>
  <c r="K101" i="6"/>
  <c r="P6" i="8"/>
  <c r="G151" i="19"/>
  <c r="F152" i="19"/>
  <c r="K151" i="19"/>
  <c r="P194" i="11"/>
  <c r="F196" i="11"/>
  <c r="G195" i="11"/>
  <c r="K195" i="11"/>
  <c r="F196" i="10"/>
  <c r="G195" i="10"/>
  <c r="K195" i="10"/>
  <c r="F87" i="24" l="1"/>
  <c r="E87" i="24" s="1"/>
  <c r="F93" i="3"/>
  <c r="K92" i="3"/>
  <c r="G92" i="3"/>
  <c r="F112" i="22"/>
  <c r="K111" i="22"/>
  <c r="G111" i="22"/>
  <c r="F127" i="23"/>
  <c r="K126" i="23"/>
  <c r="G126" i="23"/>
  <c r="F100" i="4"/>
  <c r="G99" i="4"/>
  <c r="K99" i="4"/>
  <c r="F103" i="6"/>
  <c r="K102" i="6"/>
  <c r="G102" i="6"/>
  <c r="K122" i="7"/>
  <c r="F123" i="7"/>
  <c r="G152" i="19"/>
  <c r="F153" i="19"/>
  <c r="K152" i="19"/>
  <c r="P195" i="11"/>
  <c r="K196" i="11"/>
  <c r="F197" i="11"/>
  <c r="G196" i="11"/>
  <c r="K196" i="10"/>
  <c r="F197" i="10"/>
  <c r="G196" i="10"/>
  <c r="O17" i="22" l="1"/>
  <c r="K112" i="22"/>
  <c r="F113" i="22"/>
  <c r="G112" i="22"/>
  <c r="F128" i="23"/>
  <c r="K127" i="23"/>
  <c r="G127" i="23"/>
  <c r="G100" i="4"/>
  <c r="F101" i="4"/>
  <c r="K100" i="4"/>
  <c r="F124" i="7"/>
  <c r="K123" i="7"/>
  <c r="F88" i="24"/>
  <c r="E88" i="24" s="1"/>
  <c r="G93" i="3"/>
  <c r="K93" i="3"/>
  <c r="F94" i="3"/>
  <c r="K103" i="6"/>
  <c r="G103" i="6"/>
  <c r="F104" i="6"/>
  <c r="G153" i="19"/>
  <c r="F154" i="19"/>
  <c r="K153" i="19"/>
  <c r="F198" i="10"/>
  <c r="G197" i="10"/>
  <c r="K197" i="10"/>
  <c r="P196" i="11"/>
  <c r="F198" i="11"/>
  <c r="G197" i="11"/>
  <c r="K197" i="11"/>
  <c r="F129" i="23" l="1"/>
  <c r="K128" i="23"/>
  <c r="G128" i="23"/>
  <c r="F105" i="6"/>
  <c r="K104" i="6"/>
  <c r="G104" i="6"/>
  <c r="K113" i="22"/>
  <c r="F114" i="22"/>
  <c r="G113" i="22"/>
  <c r="F89" i="24"/>
  <c r="E89" i="24" s="1"/>
  <c r="F95" i="3"/>
  <c r="K94" i="3"/>
  <c r="G94" i="3"/>
  <c r="K101" i="4"/>
  <c r="G101" i="4"/>
  <c r="F102" i="4"/>
  <c r="F125" i="7"/>
  <c r="K124" i="7"/>
  <c r="G154" i="19"/>
  <c r="F155" i="19"/>
  <c r="K154" i="19"/>
  <c r="P197" i="11"/>
  <c r="K198" i="11"/>
  <c r="F199" i="11"/>
  <c r="G198" i="11"/>
  <c r="K198" i="10"/>
  <c r="F199" i="10"/>
  <c r="G198" i="10"/>
  <c r="F126" i="7" l="1"/>
  <c r="K125" i="7"/>
  <c r="F115" i="22"/>
  <c r="K114" i="22"/>
  <c r="G114" i="22"/>
  <c r="K102" i="4"/>
  <c r="G102" i="4"/>
  <c r="F103" i="4"/>
  <c r="F106" i="6"/>
  <c r="K105" i="6"/>
  <c r="G105" i="6"/>
  <c r="F90" i="24"/>
  <c r="E90" i="24" s="1"/>
  <c r="K95" i="3"/>
  <c r="F96" i="3"/>
  <c r="G95" i="3"/>
  <c r="F130" i="23"/>
  <c r="K129" i="23"/>
  <c r="G129" i="23"/>
  <c r="G155" i="19"/>
  <c r="F156" i="19"/>
  <c r="K155" i="19"/>
  <c r="F200" i="10"/>
  <c r="F8" i="21" s="1"/>
  <c r="G199" i="10"/>
  <c r="K199" i="10"/>
  <c r="P198" i="11"/>
  <c r="P199" i="11"/>
  <c r="G199" i="11"/>
  <c r="F200" i="11"/>
  <c r="K199" i="11"/>
  <c r="F131" i="23" l="1"/>
  <c r="K130" i="23"/>
  <c r="G130" i="23"/>
  <c r="P22" i="23"/>
  <c r="K103" i="4"/>
  <c r="F104" i="4"/>
  <c r="G103" i="4"/>
  <c r="F91" i="24"/>
  <c r="E91" i="24" s="1"/>
  <c r="G96" i="3"/>
  <c r="F97" i="3"/>
  <c r="K96" i="3"/>
  <c r="K126" i="7"/>
  <c r="F127" i="7"/>
  <c r="G115" i="22"/>
  <c r="F116" i="22"/>
  <c r="O18" i="22"/>
  <c r="K115" i="22"/>
  <c r="K106" i="6"/>
  <c r="F107" i="6"/>
  <c r="G106" i="6"/>
  <c r="G156" i="19"/>
  <c r="F157" i="19"/>
  <c r="K156" i="19"/>
  <c r="P200" i="11"/>
  <c r="G200" i="11"/>
  <c r="F201" i="11"/>
  <c r="K200" i="11"/>
  <c r="K200" i="10"/>
  <c r="F201" i="10"/>
  <c r="G200" i="10"/>
  <c r="F92" i="24" l="1"/>
  <c r="E92" i="24" s="1"/>
  <c r="F98" i="3"/>
  <c r="K97" i="3"/>
  <c r="G97" i="3"/>
  <c r="K116" i="22"/>
  <c r="G116" i="22"/>
  <c r="F117" i="22"/>
  <c r="F128" i="7"/>
  <c r="K127" i="7"/>
  <c r="F108" i="6"/>
  <c r="K107" i="6"/>
  <c r="G107" i="6"/>
  <c r="F132" i="23"/>
  <c r="K131" i="23"/>
  <c r="G131" i="23"/>
  <c r="G104" i="4"/>
  <c r="F105" i="4"/>
  <c r="K104" i="4"/>
  <c r="G157" i="19"/>
  <c r="F158" i="19"/>
  <c r="K157" i="19"/>
  <c r="P201" i="11"/>
  <c r="G201" i="11"/>
  <c r="F202" i="11"/>
  <c r="K201" i="11"/>
  <c r="F202" i="10"/>
  <c r="G201" i="10"/>
  <c r="K201" i="10"/>
  <c r="K105" i="4" l="1"/>
  <c r="G105" i="4"/>
  <c r="F106" i="4"/>
  <c r="K128" i="7"/>
  <c r="F129" i="7"/>
  <c r="F109" i="6"/>
  <c r="K108" i="6"/>
  <c r="G108" i="6"/>
  <c r="G132" i="23"/>
  <c r="K132" i="23"/>
  <c r="F118" i="22"/>
  <c r="K117" i="22"/>
  <c r="G117" i="22"/>
  <c r="F93" i="24"/>
  <c r="E93" i="24" s="1"/>
  <c r="K98" i="3"/>
  <c r="G98" i="3"/>
  <c r="F99" i="3"/>
  <c r="G158" i="19"/>
  <c r="F159" i="19"/>
  <c r="K158" i="19"/>
  <c r="F203" i="11"/>
  <c r="K202" i="11"/>
  <c r="P202" i="11"/>
  <c r="K202" i="10"/>
  <c r="F203" i="10"/>
  <c r="G202" i="10"/>
  <c r="F13" i="1"/>
  <c r="G13" i="1" s="1"/>
  <c r="F130" i="7" l="1"/>
  <c r="K129" i="7"/>
  <c r="K118" i="22"/>
  <c r="F119" i="22"/>
  <c r="O19" i="22"/>
  <c r="G118" i="22"/>
  <c r="G106" i="4"/>
  <c r="F107" i="4"/>
  <c r="K106" i="4"/>
  <c r="F94" i="24"/>
  <c r="E94" i="24" s="1"/>
  <c r="F100" i="3"/>
  <c r="G99" i="3"/>
  <c r="K99" i="3"/>
  <c r="F110" i="6"/>
  <c r="G109" i="6"/>
  <c r="K109" i="6"/>
  <c r="F14" i="1"/>
  <c r="K13" i="1"/>
  <c r="G159" i="19"/>
  <c r="F160" i="19"/>
  <c r="K159" i="19"/>
  <c r="P203" i="11"/>
  <c r="F204" i="11"/>
  <c r="K203" i="11"/>
  <c r="F204" i="10"/>
  <c r="G203" i="10"/>
  <c r="K203" i="10"/>
  <c r="K12" i="1"/>
  <c r="E4" i="1"/>
  <c r="F120" i="22" l="1"/>
  <c r="G119" i="22"/>
  <c r="K119" i="22"/>
  <c r="K107" i="4"/>
  <c r="G107" i="4"/>
  <c r="F108" i="4"/>
  <c r="K110" i="6"/>
  <c r="G110" i="6"/>
  <c r="F111" i="6"/>
  <c r="K14" i="1"/>
  <c r="F15" i="1"/>
  <c r="G14" i="1"/>
  <c r="F95" i="24"/>
  <c r="E95" i="24" s="1"/>
  <c r="G100" i="3"/>
  <c r="F101" i="3"/>
  <c r="K100" i="3"/>
  <c r="K130" i="7"/>
  <c r="F131" i="7"/>
  <c r="G160" i="19"/>
  <c r="F161" i="19"/>
  <c r="K160" i="19"/>
  <c r="K204" i="10"/>
  <c r="E5" i="10" s="1"/>
  <c r="G204" i="10"/>
  <c r="F2" i="10" s="1"/>
  <c r="D8" i="21"/>
  <c r="K204" i="11"/>
  <c r="F205" i="11"/>
  <c r="F112" i="6" l="1"/>
  <c r="K111" i="6"/>
  <c r="G111" i="6"/>
  <c r="K15" i="1"/>
  <c r="F16" i="1"/>
  <c r="G15" i="1"/>
  <c r="O18" i="7"/>
  <c r="F132" i="7"/>
  <c r="K131" i="7"/>
  <c r="F109" i="4"/>
  <c r="G108" i="4"/>
  <c r="K108" i="4"/>
  <c r="F96" i="24"/>
  <c r="E96" i="24" s="1"/>
  <c r="K101" i="3"/>
  <c r="F102" i="3"/>
  <c r="G101" i="3"/>
  <c r="O8" i="3"/>
  <c r="K120" i="22"/>
  <c r="F121" i="22"/>
  <c r="G120" i="22"/>
  <c r="G161" i="19"/>
  <c r="F162" i="19"/>
  <c r="K161" i="19"/>
  <c r="E2" i="10"/>
  <c r="J342" i="10" s="1"/>
  <c r="I8" i="21"/>
  <c r="H8" i="21" s="1"/>
  <c r="G8" i="21" s="1"/>
  <c r="E1" i="10"/>
  <c r="K205" i="11"/>
  <c r="F206" i="11"/>
  <c r="K109" i="4" l="1"/>
  <c r="F110" i="4"/>
  <c r="G109" i="4"/>
  <c r="F133" i="7"/>
  <c r="K132" i="7"/>
  <c r="F97" i="24"/>
  <c r="E97" i="24" s="1"/>
  <c r="K102" i="3"/>
  <c r="F103" i="3"/>
  <c r="G102" i="3"/>
  <c r="F113" i="6"/>
  <c r="K112" i="6"/>
  <c r="G112" i="6"/>
  <c r="K16" i="1"/>
  <c r="F17" i="1"/>
  <c r="G16" i="1"/>
  <c r="F122" i="22"/>
  <c r="K121" i="22"/>
  <c r="G121" i="22"/>
  <c r="O20" i="22"/>
  <c r="G162" i="19"/>
  <c r="F163" i="19"/>
  <c r="K162" i="19"/>
  <c r="I203" i="10"/>
  <c r="J344" i="10"/>
  <c r="I186" i="10"/>
  <c r="I122" i="10"/>
  <c r="I154" i="10"/>
  <c r="I63" i="10"/>
  <c r="I202" i="10"/>
  <c r="I170" i="10"/>
  <c r="I138" i="10"/>
  <c r="I95" i="10"/>
  <c r="J190" i="10"/>
  <c r="I194" i="10"/>
  <c r="I178" i="10"/>
  <c r="I162" i="10"/>
  <c r="I146" i="10"/>
  <c r="I130" i="10"/>
  <c r="I111" i="10"/>
  <c r="I79" i="10"/>
  <c r="I39" i="10"/>
  <c r="J192" i="10"/>
  <c r="I198" i="10"/>
  <c r="I190" i="10"/>
  <c r="I182" i="10"/>
  <c r="I174" i="10"/>
  <c r="I166" i="10"/>
  <c r="I158" i="10"/>
  <c r="I150" i="10"/>
  <c r="I142" i="10"/>
  <c r="I134" i="10"/>
  <c r="I126" i="10"/>
  <c r="I118" i="10"/>
  <c r="I103" i="10"/>
  <c r="I87" i="10"/>
  <c r="I71" i="10"/>
  <c r="I55" i="10"/>
  <c r="I23" i="10"/>
  <c r="J253" i="10"/>
  <c r="J216" i="10"/>
  <c r="I204" i="10"/>
  <c r="I200" i="10"/>
  <c r="I196" i="10"/>
  <c r="I192" i="10"/>
  <c r="I188" i="10"/>
  <c r="I184" i="10"/>
  <c r="I180" i="10"/>
  <c r="I176" i="10"/>
  <c r="I172" i="10"/>
  <c r="I168" i="10"/>
  <c r="I164" i="10"/>
  <c r="I160" i="10"/>
  <c r="I156" i="10"/>
  <c r="I152" i="10"/>
  <c r="I148" i="10"/>
  <c r="I144" i="10"/>
  <c r="I140" i="10"/>
  <c r="I136" i="10"/>
  <c r="I132" i="10"/>
  <c r="I128" i="10"/>
  <c r="I124" i="10"/>
  <c r="I120" i="10"/>
  <c r="I115" i="10"/>
  <c r="I107" i="10"/>
  <c r="I99" i="10"/>
  <c r="I91" i="10"/>
  <c r="I83" i="10"/>
  <c r="I75" i="10"/>
  <c r="I67" i="10"/>
  <c r="I59" i="10"/>
  <c r="I47" i="10"/>
  <c r="I31" i="10"/>
  <c r="I15" i="10"/>
  <c r="J221" i="10"/>
  <c r="J301" i="10"/>
  <c r="J303" i="10"/>
  <c r="J280" i="10"/>
  <c r="I201" i="10"/>
  <c r="I199" i="10"/>
  <c r="I197" i="10"/>
  <c r="I195" i="10"/>
  <c r="I193" i="10"/>
  <c r="I191" i="10"/>
  <c r="I189" i="10"/>
  <c r="I187" i="10"/>
  <c r="I185" i="10"/>
  <c r="I183" i="10"/>
  <c r="I181" i="10"/>
  <c r="I179" i="10"/>
  <c r="I177" i="10"/>
  <c r="I175" i="10"/>
  <c r="I173" i="10"/>
  <c r="I171" i="10"/>
  <c r="I169" i="10"/>
  <c r="I167" i="10"/>
  <c r="I165" i="10"/>
  <c r="I163" i="10"/>
  <c r="I161" i="10"/>
  <c r="I159" i="10"/>
  <c r="I157" i="10"/>
  <c r="I155" i="10"/>
  <c r="I153" i="10"/>
  <c r="I151" i="10"/>
  <c r="I149" i="10"/>
  <c r="I147" i="10"/>
  <c r="I145" i="10"/>
  <c r="I143" i="10"/>
  <c r="I141" i="10"/>
  <c r="I139" i="10"/>
  <c r="I137" i="10"/>
  <c r="I135" i="10"/>
  <c r="I133" i="10"/>
  <c r="I131" i="10"/>
  <c r="I129" i="10"/>
  <c r="I127" i="10"/>
  <c r="I125" i="10"/>
  <c r="I123" i="10"/>
  <c r="I121" i="10"/>
  <c r="I119" i="10"/>
  <c r="I117" i="10"/>
  <c r="I113" i="10"/>
  <c r="I109" i="10"/>
  <c r="I105" i="10"/>
  <c r="I101" i="10"/>
  <c r="I97" i="10"/>
  <c r="I93" i="10"/>
  <c r="I89" i="10"/>
  <c r="I85" i="10"/>
  <c r="I81" i="10"/>
  <c r="I77" i="10"/>
  <c r="I73" i="10"/>
  <c r="I69" i="10"/>
  <c r="I65" i="10"/>
  <c r="I61" i="10"/>
  <c r="I57" i="10"/>
  <c r="I51" i="10"/>
  <c r="I43" i="10"/>
  <c r="I35" i="10"/>
  <c r="I27" i="10"/>
  <c r="I19" i="10"/>
  <c r="J174" i="10"/>
  <c r="J205" i="10"/>
  <c r="J237" i="10"/>
  <c r="J269" i="10"/>
  <c r="J333" i="10"/>
  <c r="J239" i="10"/>
  <c r="J183" i="10"/>
  <c r="J248" i="10"/>
  <c r="J312" i="10"/>
  <c r="I116" i="10"/>
  <c r="I114" i="10"/>
  <c r="I112" i="10"/>
  <c r="I110" i="10"/>
  <c r="I108" i="10"/>
  <c r="I106" i="10"/>
  <c r="I104" i="10"/>
  <c r="I102" i="10"/>
  <c r="I100" i="10"/>
  <c r="I98" i="10"/>
  <c r="I96" i="10"/>
  <c r="I94" i="10"/>
  <c r="I92" i="10"/>
  <c r="I90" i="10"/>
  <c r="I88" i="10"/>
  <c r="I86" i="10"/>
  <c r="I84" i="10"/>
  <c r="I82" i="10"/>
  <c r="I80" i="10"/>
  <c r="I78" i="10"/>
  <c r="I76" i="10"/>
  <c r="I74" i="10"/>
  <c r="I72" i="10"/>
  <c r="I70" i="10"/>
  <c r="I68" i="10"/>
  <c r="I66" i="10"/>
  <c r="I64" i="10"/>
  <c r="I62" i="10"/>
  <c r="I60" i="10"/>
  <c r="I58" i="10"/>
  <c r="I56" i="10"/>
  <c r="I53" i="10"/>
  <c r="I49" i="10"/>
  <c r="I45" i="10"/>
  <c r="I41" i="10"/>
  <c r="I37" i="10"/>
  <c r="I33" i="10"/>
  <c r="I29" i="10"/>
  <c r="I25" i="10"/>
  <c r="I21" i="10"/>
  <c r="I17" i="10"/>
  <c r="F3" i="10"/>
  <c r="J182" i="10"/>
  <c r="J198" i="10"/>
  <c r="J213" i="10"/>
  <c r="J229" i="10"/>
  <c r="J245" i="10"/>
  <c r="J261" i="10"/>
  <c r="J285" i="10"/>
  <c r="J317" i="10"/>
  <c r="J176" i="10"/>
  <c r="J207" i="10"/>
  <c r="J271" i="10"/>
  <c r="J335" i="10"/>
  <c r="J199" i="10"/>
  <c r="J232" i="10"/>
  <c r="J264" i="10"/>
  <c r="J296" i="10"/>
  <c r="J328" i="10"/>
  <c r="I54" i="10"/>
  <c r="I52" i="10"/>
  <c r="I50" i="10"/>
  <c r="I48" i="10"/>
  <c r="I46" i="10"/>
  <c r="I44" i="10"/>
  <c r="I42" i="10"/>
  <c r="I40" i="10"/>
  <c r="I38" i="10"/>
  <c r="I36" i="10"/>
  <c r="I34" i="10"/>
  <c r="I32" i="10"/>
  <c r="I30" i="10"/>
  <c r="I28" i="10"/>
  <c r="I26" i="10"/>
  <c r="I24" i="10"/>
  <c r="I22" i="10"/>
  <c r="I20" i="10"/>
  <c r="I18" i="10"/>
  <c r="I16" i="10"/>
  <c r="I14" i="10"/>
  <c r="F4" i="10"/>
  <c r="J178" i="10"/>
  <c r="J186" i="10"/>
  <c r="J194" i="10"/>
  <c r="J202" i="10"/>
  <c r="J209" i="10"/>
  <c r="J217" i="10"/>
  <c r="J225" i="10"/>
  <c r="J233" i="10"/>
  <c r="J241" i="10"/>
  <c r="J249" i="10"/>
  <c r="J257" i="10"/>
  <c r="J265" i="10"/>
  <c r="J277" i="10"/>
  <c r="J293" i="10"/>
  <c r="J309" i="10"/>
  <c r="J325" i="10"/>
  <c r="J341" i="10"/>
  <c r="J184" i="10"/>
  <c r="J200" i="10"/>
  <c r="J223" i="10"/>
  <c r="J255" i="10"/>
  <c r="J287" i="10"/>
  <c r="J319" i="10"/>
  <c r="J175" i="10"/>
  <c r="J191" i="10"/>
  <c r="J208" i="10"/>
  <c r="J224" i="10"/>
  <c r="J240" i="10"/>
  <c r="J256" i="10"/>
  <c r="J272" i="10"/>
  <c r="J288" i="10"/>
  <c r="J304" i="10"/>
  <c r="J320" i="10"/>
  <c r="J336" i="10"/>
  <c r="J273" i="10"/>
  <c r="J281" i="10"/>
  <c r="J289" i="10"/>
  <c r="J297" i="10"/>
  <c r="J305" i="10"/>
  <c r="J313" i="10"/>
  <c r="J321" i="10"/>
  <c r="J329" i="10"/>
  <c r="J337" i="10"/>
  <c r="J345" i="10"/>
  <c r="J180" i="10"/>
  <c r="J188" i="10"/>
  <c r="J196" i="10"/>
  <c r="J204" i="10"/>
  <c r="J215" i="10"/>
  <c r="J231" i="10"/>
  <c r="J247" i="10"/>
  <c r="J263" i="10"/>
  <c r="J279" i="10"/>
  <c r="J295" i="10"/>
  <c r="J311" i="10"/>
  <c r="J327" i="10"/>
  <c r="J343" i="10"/>
  <c r="J179" i="10"/>
  <c r="J187" i="10"/>
  <c r="J195" i="10"/>
  <c r="J203" i="10"/>
  <c r="J212" i="10"/>
  <c r="J220" i="10"/>
  <c r="J228" i="10"/>
  <c r="J236" i="10"/>
  <c r="J244" i="10"/>
  <c r="J252" i="10"/>
  <c r="J260" i="10"/>
  <c r="J268" i="10"/>
  <c r="J276" i="10"/>
  <c r="J284" i="10"/>
  <c r="J292" i="10"/>
  <c r="J300" i="10"/>
  <c r="J308" i="10"/>
  <c r="J316" i="10"/>
  <c r="J324" i="10"/>
  <c r="J332" i="10"/>
  <c r="J340" i="10"/>
  <c r="J211" i="10"/>
  <c r="J219" i="10"/>
  <c r="J227" i="10"/>
  <c r="J235" i="10"/>
  <c r="J243" i="10"/>
  <c r="J251" i="10"/>
  <c r="J259" i="10"/>
  <c r="J267" i="10"/>
  <c r="J275" i="10"/>
  <c r="J283" i="10"/>
  <c r="J291" i="10"/>
  <c r="J299" i="10"/>
  <c r="J307" i="10"/>
  <c r="J315" i="10"/>
  <c r="J323" i="10"/>
  <c r="J331" i="10"/>
  <c r="J339" i="10"/>
  <c r="J173" i="10"/>
  <c r="J177" i="10"/>
  <c r="J181" i="10"/>
  <c r="J185" i="10"/>
  <c r="J189" i="10"/>
  <c r="J193" i="10"/>
  <c r="J197" i="10"/>
  <c r="J201" i="10"/>
  <c r="J206" i="10"/>
  <c r="J210" i="10"/>
  <c r="J214" i="10"/>
  <c r="J218" i="10"/>
  <c r="J222" i="10"/>
  <c r="J226" i="10"/>
  <c r="J230" i="10"/>
  <c r="J234" i="10"/>
  <c r="J238" i="10"/>
  <c r="J242" i="10"/>
  <c r="J246" i="10"/>
  <c r="J250" i="10"/>
  <c r="J254" i="10"/>
  <c r="J258" i="10"/>
  <c r="J262" i="10"/>
  <c r="J266" i="10"/>
  <c r="J270" i="10"/>
  <c r="J274" i="10"/>
  <c r="J278" i="10"/>
  <c r="J282" i="10"/>
  <c r="J286" i="10"/>
  <c r="J290" i="10"/>
  <c r="J294" i="10"/>
  <c r="J298" i="10"/>
  <c r="J302" i="10"/>
  <c r="J306" i="10"/>
  <c r="J310" i="10"/>
  <c r="J314" i="10"/>
  <c r="J318" i="10"/>
  <c r="J322" i="10"/>
  <c r="J326" i="10"/>
  <c r="J330" i="10"/>
  <c r="J334" i="10"/>
  <c r="J338" i="10"/>
  <c r="K206" i="11"/>
  <c r="F207" i="11"/>
  <c r="G113" i="6" l="1"/>
  <c r="K113" i="6"/>
  <c r="F114" i="6"/>
  <c r="F98" i="24"/>
  <c r="E98" i="24" s="1"/>
  <c r="K103" i="3"/>
  <c r="G103" i="3"/>
  <c r="F104" i="3"/>
  <c r="G17" i="1"/>
  <c r="K17" i="1"/>
  <c r="F18" i="1"/>
  <c r="K133" i="7"/>
  <c r="F134" i="7"/>
  <c r="K122" i="22"/>
  <c r="F123" i="22"/>
  <c r="G122" i="22"/>
  <c r="F111" i="4"/>
  <c r="K110" i="4"/>
  <c r="G110" i="4"/>
  <c r="G163" i="19"/>
  <c r="F164" i="19"/>
  <c r="K163" i="19"/>
  <c r="K207" i="11"/>
  <c r="F208" i="11"/>
  <c r="F99" i="24" l="1"/>
  <c r="E99" i="24" s="1"/>
  <c r="K104" i="3"/>
  <c r="G104" i="3"/>
  <c r="F105" i="3"/>
  <c r="K18" i="1"/>
  <c r="G18" i="1"/>
  <c r="F19" i="1"/>
  <c r="F115" i="6"/>
  <c r="K114" i="6"/>
  <c r="G114" i="6"/>
  <c r="F135" i="7"/>
  <c r="K134" i="7"/>
  <c r="K111" i="4"/>
  <c r="F112" i="4"/>
  <c r="G111" i="4"/>
  <c r="F124" i="22"/>
  <c r="K123" i="22"/>
  <c r="G123" i="22"/>
  <c r="G164" i="19"/>
  <c r="F165" i="19"/>
  <c r="K164" i="19"/>
  <c r="K208" i="11"/>
  <c r="F209" i="11"/>
  <c r="G115" i="6" l="1"/>
  <c r="F116" i="6"/>
  <c r="K115" i="6"/>
  <c r="F100" i="24"/>
  <c r="E100" i="24" s="1"/>
  <c r="K105" i="3"/>
  <c r="G105" i="3"/>
  <c r="F106" i="3"/>
  <c r="O21" i="22"/>
  <c r="F125" i="22"/>
  <c r="K124" i="22"/>
  <c r="G124" i="22"/>
  <c r="G112" i="4"/>
  <c r="F113" i="4"/>
  <c r="K112" i="4"/>
  <c r="K19" i="1"/>
  <c r="F20" i="1"/>
  <c r="G19" i="1"/>
  <c r="K135" i="7"/>
  <c r="F136" i="7"/>
  <c r="G165" i="19"/>
  <c r="F166" i="19"/>
  <c r="K165" i="19"/>
  <c r="K209" i="11"/>
  <c r="F210" i="11"/>
  <c r="K116" i="6" l="1"/>
  <c r="F117" i="6"/>
  <c r="G116" i="6"/>
  <c r="F107" i="3"/>
  <c r="G106" i="3"/>
  <c r="F101" i="24"/>
  <c r="E101" i="24" s="1"/>
  <c r="K106" i="3"/>
  <c r="K125" i="22"/>
  <c r="E8" i="22" s="1"/>
  <c r="G125" i="22"/>
  <c r="D4" i="21"/>
  <c r="K20" i="1"/>
  <c r="F21" i="1"/>
  <c r="G20" i="1"/>
  <c r="G113" i="4"/>
  <c r="K113" i="4"/>
  <c r="F114" i="4"/>
  <c r="F137" i="7"/>
  <c r="K136" i="7"/>
  <c r="G166" i="19"/>
  <c r="F167" i="19"/>
  <c r="K166" i="19"/>
  <c r="K210" i="11"/>
  <c r="F211" i="11"/>
  <c r="K137" i="7" l="1"/>
  <c r="F138" i="7"/>
  <c r="K114" i="4"/>
  <c r="F115" i="4"/>
  <c r="G114" i="4"/>
  <c r="G117" i="6"/>
  <c r="F118" i="6"/>
  <c r="K117" i="6"/>
  <c r="G107" i="3"/>
  <c r="F108" i="3"/>
  <c r="K107" i="3"/>
  <c r="F102" i="24"/>
  <c r="E102" i="24" s="1"/>
  <c r="K21" i="1"/>
  <c r="F22" i="1"/>
  <c r="G21" i="1"/>
  <c r="G167" i="19"/>
  <c r="F168" i="19"/>
  <c r="K167" i="19"/>
  <c r="K211" i="11"/>
  <c r="F212" i="11"/>
  <c r="K138" i="7" l="1"/>
  <c r="F139" i="7"/>
  <c r="K118" i="6"/>
  <c r="G118" i="6"/>
  <c r="F119" i="6"/>
  <c r="F23" i="1"/>
  <c r="K22" i="1"/>
  <c r="G22" i="1"/>
  <c r="F109" i="3"/>
  <c r="G108" i="3"/>
  <c r="K108" i="3"/>
  <c r="F103" i="24"/>
  <c r="E103" i="24" s="1"/>
  <c r="F116" i="4"/>
  <c r="K115" i="4"/>
  <c r="G115" i="4"/>
  <c r="G168" i="19"/>
  <c r="F169" i="19"/>
  <c r="K168" i="19"/>
  <c r="K212" i="11"/>
  <c r="F213" i="11"/>
  <c r="K109" i="3" l="1"/>
  <c r="G109" i="3"/>
  <c r="F110" i="3"/>
  <c r="F104" i="24"/>
  <c r="E104" i="24" s="1"/>
  <c r="G119" i="6"/>
  <c r="F120" i="6"/>
  <c r="K119" i="6"/>
  <c r="F140" i="7"/>
  <c r="K139" i="7"/>
  <c r="K23" i="1"/>
  <c r="F24" i="1"/>
  <c r="G23" i="1"/>
  <c r="K116" i="4"/>
  <c r="G116" i="4"/>
  <c r="F117" i="4"/>
  <c r="G169" i="19"/>
  <c r="F170" i="19"/>
  <c r="K169" i="19"/>
  <c r="K213" i="11"/>
  <c r="F214" i="11"/>
  <c r="G24" i="1" l="1"/>
  <c r="K24" i="1"/>
  <c r="F25" i="1"/>
  <c r="G110" i="3"/>
  <c r="F111" i="3"/>
  <c r="K110" i="3"/>
  <c r="F105" i="24"/>
  <c r="E105" i="24" s="1"/>
  <c r="G117" i="4"/>
  <c r="F118" i="4"/>
  <c r="K117" i="4"/>
  <c r="K140" i="7"/>
  <c r="F141" i="7"/>
  <c r="K120" i="6"/>
  <c r="G120" i="6"/>
  <c r="F121" i="6"/>
  <c r="G170" i="19"/>
  <c r="F171" i="19"/>
  <c r="K170" i="19"/>
  <c r="K214" i="11"/>
  <c r="F215" i="11"/>
  <c r="K111" i="3" l="1"/>
  <c r="F112" i="3"/>
  <c r="G111" i="3"/>
  <c r="F106" i="24"/>
  <c r="E106" i="24" s="1"/>
  <c r="F142" i="7"/>
  <c r="K141" i="7"/>
  <c r="F119" i="4"/>
  <c r="K118" i="4"/>
  <c r="G118" i="4"/>
  <c r="K121" i="6"/>
  <c r="G121" i="6"/>
  <c r="F122" i="6"/>
  <c r="G25" i="1"/>
  <c r="F26" i="1"/>
  <c r="K25" i="1"/>
  <c r="F172" i="19"/>
  <c r="G172" i="19" s="1"/>
  <c r="K171" i="19"/>
  <c r="K215" i="11"/>
  <c r="F216" i="11"/>
  <c r="G119" i="4" l="1"/>
  <c r="K119" i="4"/>
  <c r="F120" i="4"/>
  <c r="K26" i="1"/>
  <c r="F27" i="1"/>
  <c r="G26" i="1"/>
  <c r="G122" i="6"/>
  <c r="F123" i="6"/>
  <c r="K122" i="6"/>
  <c r="F143" i="7"/>
  <c r="K142" i="7"/>
  <c r="F113" i="3"/>
  <c r="K112" i="3"/>
  <c r="G112" i="3"/>
  <c r="F107" i="24"/>
  <c r="E107" i="24" s="1"/>
  <c r="F173" i="19"/>
  <c r="G173" i="19" s="1"/>
  <c r="K172" i="19"/>
  <c r="K216" i="11"/>
  <c r="F217" i="11"/>
  <c r="F144" i="7" l="1"/>
  <c r="K143" i="7"/>
  <c r="G113" i="3"/>
  <c r="K113" i="3"/>
  <c r="F114" i="3"/>
  <c r="F108" i="24"/>
  <c r="E108" i="24" s="1"/>
  <c r="F28" i="1"/>
  <c r="K27" i="1"/>
  <c r="G27" i="1"/>
  <c r="G123" i="6"/>
  <c r="F124" i="6"/>
  <c r="K123" i="6"/>
  <c r="K120" i="4"/>
  <c r="F121" i="4"/>
  <c r="G120" i="4"/>
  <c r="F174" i="19"/>
  <c r="G174" i="19" s="1"/>
  <c r="K173" i="19"/>
  <c r="K217" i="11"/>
  <c r="F218" i="11"/>
  <c r="K28" i="1" l="1"/>
  <c r="F29" i="1"/>
  <c r="G28" i="1"/>
  <c r="G124" i="6"/>
  <c r="F125" i="6"/>
  <c r="K124" i="6"/>
  <c r="F115" i="3"/>
  <c r="K114" i="3"/>
  <c r="G114" i="3"/>
  <c r="F109" i="24"/>
  <c r="E109" i="24" s="1"/>
  <c r="F122" i="4"/>
  <c r="K121" i="4"/>
  <c r="G121" i="4"/>
  <c r="F145" i="7"/>
  <c r="K144" i="7"/>
  <c r="F175" i="19"/>
  <c r="G175" i="19" s="1"/>
  <c r="K174" i="19"/>
  <c r="K218" i="11"/>
  <c r="F219" i="11"/>
  <c r="F146" i="7" l="1"/>
  <c r="K145" i="7"/>
  <c r="F123" i="4"/>
  <c r="K122" i="4"/>
  <c r="G122" i="4"/>
  <c r="G115" i="3"/>
  <c r="F116" i="3"/>
  <c r="K115" i="3"/>
  <c r="F110" i="24"/>
  <c r="E110" i="24" s="1"/>
  <c r="F126" i="6"/>
  <c r="K125" i="6"/>
  <c r="G125" i="6"/>
  <c r="G29" i="1"/>
  <c r="K29" i="1"/>
  <c r="F30" i="1"/>
  <c r="F9" i="21"/>
  <c r="F176" i="19"/>
  <c r="G176" i="19" s="1"/>
  <c r="K175" i="19"/>
  <c r="F220" i="11"/>
  <c r="G219" i="11"/>
  <c r="K219" i="11"/>
  <c r="K126" i="6" l="1"/>
  <c r="F127" i="6"/>
  <c r="G126" i="6"/>
  <c r="K146" i="7"/>
  <c r="F147" i="7"/>
  <c r="F117" i="3"/>
  <c r="K116" i="3"/>
  <c r="G116" i="3"/>
  <c r="F111" i="24"/>
  <c r="E111" i="24" s="1"/>
  <c r="K30" i="1"/>
  <c r="F31" i="1"/>
  <c r="G30" i="1"/>
  <c r="K123" i="4"/>
  <c r="F124" i="4"/>
  <c r="G123" i="4"/>
  <c r="F177" i="19"/>
  <c r="G177" i="19" s="1"/>
  <c r="K176" i="19"/>
  <c r="F221" i="11"/>
  <c r="K220" i="11"/>
  <c r="G124" i="4" l="1"/>
  <c r="K124" i="4"/>
  <c r="F125" i="4"/>
  <c r="K31" i="1"/>
  <c r="F32" i="1"/>
  <c r="G31" i="1"/>
  <c r="F128" i="6"/>
  <c r="K127" i="6"/>
  <c r="G127" i="6"/>
  <c r="F118" i="3"/>
  <c r="K117" i="3"/>
  <c r="G117" i="3"/>
  <c r="F112" i="24"/>
  <c r="E112" i="24" s="1"/>
  <c r="F148" i="7"/>
  <c r="K147" i="7"/>
  <c r="F178" i="19"/>
  <c r="G178" i="19" s="1"/>
  <c r="K177" i="19"/>
  <c r="F222" i="11"/>
  <c r="K221" i="11"/>
  <c r="F129" i="6" l="1"/>
  <c r="K128" i="6"/>
  <c r="G128" i="6"/>
  <c r="F149" i="7"/>
  <c r="K148" i="7"/>
  <c r="G32" i="1"/>
  <c r="K32" i="1"/>
  <c r="F33" i="1"/>
  <c r="F119" i="3"/>
  <c r="K118" i="3"/>
  <c r="G118" i="3"/>
  <c r="F113" i="24"/>
  <c r="E113" i="24" s="1"/>
  <c r="F126" i="4"/>
  <c r="K125" i="4"/>
  <c r="G125" i="4"/>
  <c r="F179" i="19"/>
  <c r="G179" i="19" s="1"/>
  <c r="K178" i="19"/>
  <c r="K222" i="11"/>
  <c r="F223" i="11"/>
  <c r="G222" i="11"/>
  <c r="K129" i="6" l="1"/>
  <c r="G129" i="6"/>
  <c r="F130" i="6"/>
  <c r="F150" i="7"/>
  <c r="K149" i="7"/>
  <c r="K119" i="3"/>
  <c r="G119" i="3"/>
  <c r="F120" i="3"/>
  <c r="F114" i="24"/>
  <c r="E114" i="24" s="1"/>
  <c r="K126" i="4"/>
  <c r="G126" i="4"/>
  <c r="F127" i="4"/>
  <c r="K33" i="1"/>
  <c r="G33" i="1"/>
  <c r="F34" i="1"/>
  <c r="F180" i="19"/>
  <c r="G180" i="19" s="1"/>
  <c r="K179" i="19"/>
  <c r="G223" i="11"/>
  <c r="K223" i="11"/>
  <c r="D9" i="21"/>
  <c r="K130" i="6" l="1"/>
  <c r="F131" i="6"/>
  <c r="G130" i="6"/>
  <c r="N6" i="8"/>
  <c r="M6" i="8"/>
  <c r="G127" i="4"/>
  <c r="K127" i="4"/>
  <c r="F128" i="4"/>
  <c r="K150" i="7"/>
  <c r="F151" i="7"/>
  <c r="F35" i="1"/>
  <c r="E59" i="15" s="1"/>
  <c r="K34" i="1"/>
  <c r="G34" i="1"/>
  <c r="G120" i="3"/>
  <c r="F121" i="3"/>
  <c r="K120" i="3"/>
  <c r="F115" i="24"/>
  <c r="E115" i="24" s="1"/>
  <c r="F181" i="19"/>
  <c r="G181" i="19" s="1"/>
  <c r="K180" i="19"/>
  <c r="G202" i="11"/>
  <c r="G203" i="11"/>
  <c r="G204" i="11"/>
  <c r="G205" i="11"/>
  <c r="G206" i="11"/>
  <c r="G207" i="11"/>
  <c r="G208" i="11"/>
  <c r="G209" i="11"/>
  <c r="G210" i="11"/>
  <c r="G211" i="11"/>
  <c r="G212" i="11"/>
  <c r="G213" i="11"/>
  <c r="G214" i="11"/>
  <c r="G215" i="11"/>
  <c r="G216" i="11"/>
  <c r="G217" i="11"/>
  <c r="G218" i="11"/>
  <c r="G220" i="11"/>
  <c r="G221" i="11"/>
  <c r="M165"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64" i="11"/>
  <c r="M163" i="11"/>
  <c r="M162" i="11"/>
  <c r="M161" i="11"/>
  <c r="M160" i="11"/>
  <c r="M159" i="11"/>
  <c r="M158" i="11"/>
  <c r="M157" i="11"/>
  <c r="M156" i="11"/>
  <c r="M155" i="11"/>
  <c r="M154" i="11"/>
  <c r="M153" i="11"/>
  <c r="M152" i="11"/>
  <c r="M151" i="11"/>
  <c r="M150" i="11"/>
  <c r="M149" i="11"/>
  <c r="M148" i="11"/>
  <c r="E4" i="6"/>
  <c r="P144" i="6"/>
  <c r="F4" i="21"/>
  <c r="G4" i="21" s="1"/>
  <c r="G39" i="7"/>
  <c r="G41" i="7"/>
  <c r="G43" i="7"/>
  <c r="G45" i="7"/>
  <c r="G47" i="7"/>
  <c r="G49" i="7"/>
  <c r="G51" i="7"/>
  <c r="G53" i="7"/>
  <c r="G55" i="7"/>
  <c r="G57" i="7"/>
  <c r="G59" i="7"/>
  <c r="G61" i="7"/>
  <c r="G63" i="7"/>
  <c r="G65" i="7"/>
  <c r="G67" i="7"/>
  <c r="G69" i="7"/>
  <c r="G71" i="7"/>
  <c r="G73" i="7"/>
  <c r="G75" i="7"/>
  <c r="G77" i="7"/>
  <c r="G79" i="7"/>
  <c r="G81" i="7"/>
  <c r="G83" i="7"/>
  <c r="G85" i="7"/>
  <c r="G87" i="7"/>
  <c r="G89" i="7"/>
  <c r="G91" i="7"/>
  <c r="G93" i="7"/>
  <c r="G95" i="7"/>
  <c r="G97" i="7"/>
  <c r="G99" i="7"/>
  <c r="G101" i="7"/>
  <c r="G103" i="7"/>
  <c r="G105" i="7"/>
  <c r="G107" i="7"/>
  <c r="G109" i="7"/>
  <c r="G111" i="7"/>
  <c r="G113" i="7"/>
  <c r="G115" i="7"/>
  <c r="G117" i="7"/>
  <c r="G119" i="7"/>
  <c r="G121" i="7"/>
  <c r="G123" i="7"/>
  <c r="G125" i="7"/>
  <c r="G127" i="7"/>
  <c r="G129" i="7"/>
  <c r="G131" i="7"/>
  <c r="G133" i="7"/>
  <c r="G135" i="7"/>
  <c r="G137" i="7"/>
  <c r="G139" i="7"/>
  <c r="G141" i="7"/>
  <c r="G143" i="7"/>
  <c r="G145" i="7"/>
  <c r="G147" i="7"/>
  <c r="G149" i="7"/>
  <c r="G151" i="7"/>
  <c r="G40" i="7"/>
  <c r="G42" i="7"/>
  <c r="G44" i="7"/>
  <c r="G46" i="7"/>
  <c r="G48" i="7"/>
  <c r="G50" i="7"/>
  <c r="G52" i="7"/>
  <c r="G54" i="7"/>
  <c r="G56" i="7"/>
  <c r="G58" i="7"/>
  <c r="G60" i="7"/>
  <c r="G62" i="7"/>
  <c r="G64" i="7"/>
  <c r="G66" i="7"/>
  <c r="G68" i="7"/>
  <c r="G70" i="7"/>
  <c r="G72" i="7"/>
  <c r="G74" i="7"/>
  <c r="G76" i="7"/>
  <c r="G78" i="7"/>
  <c r="G80" i="7"/>
  <c r="G82" i="7"/>
  <c r="G84" i="7"/>
  <c r="G86" i="7"/>
  <c r="G88" i="7"/>
  <c r="G90" i="7"/>
  <c r="G92" i="7"/>
  <c r="G94" i="7"/>
  <c r="G96" i="7"/>
  <c r="G98" i="7"/>
  <c r="G100" i="7"/>
  <c r="G102" i="7"/>
  <c r="G104" i="7"/>
  <c r="G106" i="7"/>
  <c r="G108" i="7"/>
  <c r="G110" i="7"/>
  <c r="G112" i="7"/>
  <c r="G114" i="7"/>
  <c r="G116" i="7"/>
  <c r="G118" i="7"/>
  <c r="G120" i="7"/>
  <c r="G122" i="7"/>
  <c r="G124" i="7"/>
  <c r="G126" i="7"/>
  <c r="G128" i="7"/>
  <c r="G130" i="7"/>
  <c r="G132" i="7"/>
  <c r="G134" i="7"/>
  <c r="G136" i="7"/>
  <c r="G138" i="7"/>
  <c r="G140" i="7"/>
  <c r="G142" i="7"/>
  <c r="G144" i="7"/>
  <c r="G146" i="7"/>
  <c r="G148" i="7"/>
  <c r="G150" i="7"/>
  <c r="E5" i="11"/>
  <c r="M146" i="11"/>
  <c r="M147" i="11"/>
  <c r="F13" i="17"/>
  <c r="F13" i="16"/>
  <c r="E37" i="15"/>
  <c r="E38" i="15"/>
  <c r="E39" i="15"/>
  <c r="E40" i="15"/>
  <c r="E41" i="15"/>
  <c r="E42" i="15"/>
  <c r="E43" i="15"/>
  <c r="E44" i="15"/>
  <c r="E45" i="15"/>
  <c r="E46" i="15"/>
  <c r="E47" i="15"/>
  <c r="E48" i="15"/>
  <c r="E49" i="15"/>
  <c r="E50" i="15"/>
  <c r="E51" i="15"/>
  <c r="E52" i="15"/>
  <c r="E53" i="15"/>
  <c r="E54" i="15"/>
  <c r="E55" i="15"/>
  <c r="E56" i="15"/>
  <c r="E57" i="15"/>
  <c r="E58" i="15"/>
  <c r="H9" i="21"/>
  <c r="G9" i="21"/>
  <c r="K151" i="7" l="1"/>
  <c r="F152" i="7"/>
  <c r="K131" i="6"/>
  <c r="G131" i="6"/>
  <c r="F132" i="6"/>
  <c r="F129" i="4"/>
  <c r="K128" i="4"/>
  <c r="G128" i="4"/>
  <c r="F14" i="16"/>
  <c r="F15" i="16" s="1"/>
  <c r="F16" i="16" s="1"/>
  <c r="F17" i="16" s="1"/>
  <c r="G121" i="3"/>
  <c r="F122" i="3"/>
  <c r="K121" i="3"/>
  <c r="F116" i="24"/>
  <c r="E116" i="24" s="1"/>
  <c r="F14" i="17"/>
  <c r="F15" i="17" s="1"/>
  <c r="F16" i="17" s="1"/>
  <c r="F17" i="17" s="1"/>
  <c r="F18" i="17" s="1"/>
  <c r="F19" i="17" s="1"/>
  <c r="F20" i="17" s="1"/>
  <c r="F21" i="17" s="1"/>
  <c r="F22" i="17" s="1"/>
  <c r="F23" i="17" s="1"/>
  <c r="F24" i="17" s="1"/>
  <c r="F25" i="17" s="1"/>
  <c r="F26" i="17" s="1"/>
  <c r="F27" i="17" s="1"/>
  <c r="F28" i="17" s="1"/>
  <c r="F29" i="17" s="1"/>
  <c r="F30" i="17" s="1"/>
  <c r="F31" i="17" s="1"/>
  <c r="F32" i="17" s="1"/>
  <c r="F33" i="17" s="1"/>
  <c r="K35" i="1"/>
  <c r="G35" i="1"/>
  <c r="F36" i="1"/>
  <c r="H59" i="15"/>
  <c r="H57" i="15"/>
  <c r="H55" i="15"/>
  <c r="H53" i="15"/>
  <c r="H51" i="15"/>
  <c r="H49" i="15"/>
  <c r="H47" i="15"/>
  <c r="H45" i="15"/>
  <c r="H43" i="15"/>
  <c r="H41" i="15"/>
  <c r="H39" i="15"/>
  <c r="H38" i="15"/>
  <c r="H37" i="15"/>
  <c r="H58" i="15"/>
  <c r="H56" i="15"/>
  <c r="H54" i="15"/>
  <c r="H52" i="15"/>
  <c r="H50" i="15"/>
  <c r="H48" i="15"/>
  <c r="H46" i="15"/>
  <c r="H44" i="15"/>
  <c r="H42" i="15"/>
  <c r="H40" i="15"/>
  <c r="E6" i="11"/>
  <c r="F182" i="19"/>
  <c r="G182" i="19" s="1"/>
  <c r="K181" i="19"/>
  <c r="E2" i="11"/>
  <c r="F7" i="11"/>
  <c r="E1" i="11"/>
  <c r="E7" i="11"/>
  <c r="F2" i="11"/>
  <c r="F153" i="7" l="1"/>
  <c r="K152" i="7"/>
  <c r="G152" i="7"/>
  <c r="F123" i="3"/>
  <c r="G122" i="3"/>
  <c r="K122" i="3"/>
  <c r="F117" i="24"/>
  <c r="F34" i="17"/>
  <c r="F35" i="17" s="1"/>
  <c r="F36" i="17" s="1"/>
  <c r="F37" i="17" s="1"/>
  <c r="F38" i="17" s="1"/>
  <c r="F39" i="17" s="1"/>
  <c r="F40" i="17" s="1"/>
  <c r="F41" i="17" s="1"/>
  <c r="F42" i="17" s="1"/>
  <c r="F43" i="17" s="1"/>
  <c r="F44" i="17" s="1"/>
  <c r="F45" i="17" s="1"/>
  <c r="F46" i="17" s="1"/>
  <c r="F47" i="17" s="1"/>
  <c r="F48" i="17" s="1"/>
  <c r="F49" i="17" s="1"/>
  <c r="F50" i="17" s="1"/>
  <c r="F51" i="17" s="1"/>
  <c r="F52" i="17" s="1"/>
  <c r="F53" i="17" s="1"/>
  <c r="F54" i="17" s="1"/>
  <c r="O11" i="17"/>
  <c r="K132" i="6"/>
  <c r="G132" i="6"/>
  <c r="F133" i="6"/>
  <c r="F18" i="16"/>
  <c r="F130" i="4"/>
  <c r="G129" i="4"/>
  <c r="K129" i="4"/>
  <c r="K36" i="1"/>
  <c r="G36" i="1"/>
  <c r="F37" i="1"/>
  <c r="E60" i="15"/>
  <c r="I57" i="15"/>
  <c r="I58" i="15"/>
  <c r="I59" i="15"/>
  <c r="F183" i="19"/>
  <c r="G183" i="19" s="1"/>
  <c r="K182" i="19"/>
  <c r="N124" i="11"/>
  <c r="I203" i="11"/>
  <c r="N135" i="11"/>
  <c r="J247" i="11"/>
  <c r="I208" i="11"/>
  <c r="O100" i="11"/>
  <c r="I138" i="11"/>
  <c r="N151" i="11"/>
  <c r="N58" i="11"/>
  <c r="O87" i="11"/>
  <c r="N142" i="11"/>
  <c r="O119" i="11"/>
  <c r="N26" i="11"/>
  <c r="N90" i="11"/>
  <c r="N109" i="11"/>
  <c r="N159" i="11"/>
  <c r="O125" i="11"/>
  <c r="O103" i="11"/>
  <c r="O71" i="11"/>
  <c r="N42" i="11"/>
  <c r="N74" i="11"/>
  <c r="N106" i="11"/>
  <c r="N137" i="11"/>
  <c r="N45" i="11"/>
  <c r="N95" i="11"/>
  <c r="O82" i="11"/>
  <c r="N163" i="11"/>
  <c r="N155" i="11"/>
  <c r="O141" i="11"/>
  <c r="O134" i="11"/>
  <c r="O111" i="11"/>
  <c r="O95" i="11"/>
  <c r="O79" i="11"/>
  <c r="N18" i="11"/>
  <c r="N34" i="11"/>
  <c r="N50" i="11"/>
  <c r="N66" i="11"/>
  <c r="N82" i="11"/>
  <c r="N98" i="11"/>
  <c r="N114" i="11"/>
  <c r="N126" i="11"/>
  <c r="N121" i="11"/>
  <c r="N77" i="11"/>
  <c r="F9" i="11"/>
  <c r="O144" i="11"/>
  <c r="O70" i="11"/>
  <c r="N136" i="11"/>
  <c r="N93" i="11"/>
  <c r="N61" i="11"/>
  <c r="N29" i="11"/>
  <c r="O84" i="11"/>
  <c r="O116" i="11"/>
  <c r="N123" i="11"/>
  <c r="O123" i="11"/>
  <c r="N75" i="11"/>
  <c r="N161" i="11"/>
  <c r="N157" i="11"/>
  <c r="N153" i="11"/>
  <c r="N149" i="11"/>
  <c r="N165" i="11"/>
  <c r="N146" i="11"/>
  <c r="O133" i="11"/>
  <c r="O142" i="11"/>
  <c r="O126" i="11"/>
  <c r="O115" i="11"/>
  <c r="O107" i="11"/>
  <c r="O99" i="11"/>
  <c r="O91" i="11"/>
  <c r="O83" i="11"/>
  <c r="O75" i="11"/>
  <c r="N15" i="11"/>
  <c r="N22" i="11"/>
  <c r="N30" i="11"/>
  <c r="N38" i="11"/>
  <c r="N46" i="11"/>
  <c r="N54" i="11"/>
  <c r="N62" i="11"/>
  <c r="N70" i="11"/>
  <c r="N78" i="11"/>
  <c r="N86" i="11"/>
  <c r="N94" i="11"/>
  <c r="N102" i="11"/>
  <c r="N110" i="11"/>
  <c r="N118" i="11"/>
  <c r="N134" i="11"/>
  <c r="N145" i="11"/>
  <c r="N129" i="11"/>
  <c r="N139" i="11"/>
  <c r="N117" i="11"/>
  <c r="N101" i="11"/>
  <c r="N85" i="11"/>
  <c r="N69" i="11"/>
  <c r="N53" i="11"/>
  <c r="N37" i="11"/>
  <c r="N21" i="11"/>
  <c r="O76" i="11"/>
  <c r="O92" i="11"/>
  <c r="O108" i="11"/>
  <c r="O128" i="11"/>
  <c r="O135" i="11"/>
  <c r="N132" i="11"/>
  <c r="N63" i="11"/>
  <c r="O114" i="11"/>
  <c r="N31" i="11"/>
  <c r="O102" i="11"/>
  <c r="N43" i="11"/>
  <c r="N107" i="11"/>
  <c r="I82" i="11"/>
  <c r="J343" i="11"/>
  <c r="J215" i="11"/>
  <c r="J221" i="11"/>
  <c r="I184" i="11"/>
  <c r="I18" i="11"/>
  <c r="I163" i="11"/>
  <c r="J333" i="11"/>
  <c r="J220" i="11"/>
  <c r="J211" i="11"/>
  <c r="J212" i="11"/>
  <c r="J254" i="11"/>
  <c r="I120" i="11"/>
  <c r="I50" i="11"/>
  <c r="J166" i="11"/>
  <c r="I131" i="11"/>
  <c r="I195" i="11"/>
  <c r="J342" i="11"/>
  <c r="J282" i="11"/>
  <c r="J205" i="11"/>
  <c r="F3" i="11"/>
  <c r="J217" i="11"/>
  <c r="J213" i="11"/>
  <c r="J209" i="11"/>
  <c r="J216" i="11"/>
  <c r="J364" i="11"/>
  <c r="I213" i="11"/>
  <c r="J224" i="11"/>
  <c r="J304" i="11"/>
  <c r="J299" i="11"/>
  <c r="I152" i="11"/>
  <c r="I98" i="11"/>
  <c r="I66" i="11"/>
  <c r="I34" i="11"/>
  <c r="J190" i="11"/>
  <c r="J195" i="11"/>
  <c r="I115" i="11"/>
  <c r="I147" i="11"/>
  <c r="I179" i="11"/>
  <c r="J279" i="11"/>
  <c r="J245" i="11"/>
  <c r="J292" i="11"/>
  <c r="J236" i="11"/>
  <c r="J346" i="11"/>
  <c r="J268" i="11"/>
  <c r="I59" i="11"/>
  <c r="J176" i="11"/>
  <c r="J210" i="11"/>
  <c r="J305" i="11"/>
  <c r="J348" i="11"/>
  <c r="J261" i="11"/>
  <c r="J363" i="11"/>
  <c r="I200" i="11"/>
  <c r="I168" i="11"/>
  <c r="I136" i="11"/>
  <c r="I106" i="11"/>
  <c r="I90" i="11"/>
  <c r="I74" i="11"/>
  <c r="I58" i="11"/>
  <c r="I42" i="11"/>
  <c r="I26" i="11"/>
  <c r="J174" i="11"/>
  <c r="J206" i="11"/>
  <c r="J179" i="11"/>
  <c r="I123" i="11"/>
  <c r="I139" i="11"/>
  <c r="I155" i="11"/>
  <c r="I171" i="11"/>
  <c r="I187" i="11"/>
  <c r="I222" i="11"/>
  <c r="J311" i="11"/>
  <c r="J229" i="11"/>
  <c r="J278" i="11"/>
  <c r="J269" i="11"/>
  <c r="J312" i="11"/>
  <c r="J356" i="11"/>
  <c r="J252" i="11"/>
  <c r="J314" i="11"/>
  <c r="I216" i="11"/>
  <c r="F4" i="11"/>
  <c r="I207" i="11"/>
  <c r="J313" i="11"/>
  <c r="I219" i="11"/>
  <c r="I91" i="11"/>
  <c r="I27" i="11"/>
  <c r="I174" i="11"/>
  <c r="I166" i="11"/>
  <c r="I77" i="11"/>
  <c r="J227" i="11"/>
  <c r="I73" i="11"/>
  <c r="J341" i="11"/>
  <c r="J352" i="11"/>
  <c r="J226" i="11"/>
  <c r="I170" i="11"/>
  <c r="I107" i="11"/>
  <c r="I75" i="11"/>
  <c r="I43" i="11"/>
  <c r="J172" i="11"/>
  <c r="J177" i="11"/>
  <c r="J173" i="11"/>
  <c r="I45" i="11"/>
  <c r="I110" i="11"/>
  <c r="J234" i="11"/>
  <c r="J181" i="11"/>
  <c r="I41" i="11"/>
  <c r="I105" i="11"/>
  <c r="J355" i="11"/>
  <c r="I202" i="11"/>
  <c r="I205" i="11"/>
  <c r="J337" i="11"/>
  <c r="J273" i="11"/>
  <c r="J231" i="11"/>
  <c r="J325" i="11"/>
  <c r="J284" i="11"/>
  <c r="J318" i="11"/>
  <c r="J238" i="11"/>
  <c r="J331" i="11"/>
  <c r="J267" i="11"/>
  <c r="I192" i="11"/>
  <c r="I176" i="11"/>
  <c r="I160" i="11"/>
  <c r="I144" i="11"/>
  <c r="I128" i="11"/>
  <c r="I112" i="11"/>
  <c r="I102" i="11"/>
  <c r="I94" i="11"/>
  <c r="I86" i="11"/>
  <c r="I78" i="11"/>
  <c r="I70" i="11"/>
  <c r="I62" i="11"/>
  <c r="I54" i="11"/>
  <c r="I46" i="11"/>
  <c r="I38" i="11"/>
  <c r="I30" i="11"/>
  <c r="I22" i="11"/>
  <c r="I14" i="11"/>
  <c r="J182" i="11"/>
  <c r="J198" i="11"/>
  <c r="J162" i="11"/>
  <c r="J171" i="11"/>
  <c r="J187" i="11"/>
  <c r="J201" i="11"/>
  <c r="I111" i="11"/>
  <c r="I119" i="11"/>
  <c r="I127" i="11"/>
  <c r="I135" i="11"/>
  <c r="I143" i="11"/>
  <c r="I151" i="11"/>
  <c r="I159" i="11"/>
  <c r="I167" i="11"/>
  <c r="I175" i="11"/>
  <c r="I183" i="11"/>
  <c r="I191" i="11"/>
  <c r="I199" i="11"/>
  <c r="J263" i="11"/>
  <c r="J295" i="11"/>
  <c r="J327" i="11"/>
  <c r="J359" i="11"/>
  <c r="J237" i="11"/>
  <c r="J253" i="11"/>
  <c r="J310" i="11"/>
  <c r="J260" i="11"/>
  <c r="J280" i="11"/>
  <c r="J301" i="11"/>
  <c r="J324" i="11"/>
  <c r="J344" i="11"/>
  <c r="J228" i="11"/>
  <c r="J244" i="11"/>
  <c r="J266" i="11"/>
  <c r="J298" i="11"/>
  <c r="J330" i="11"/>
  <c r="J362" i="11"/>
  <c r="I212" i="11"/>
  <c r="I204" i="11"/>
  <c r="J223" i="11"/>
  <c r="J251" i="11"/>
  <c r="J309" i="11"/>
  <c r="J270" i="11"/>
  <c r="J307" i="11"/>
  <c r="I186" i="11"/>
  <c r="I154" i="11"/>
  <c r="I122" i="11"/>
  <c r="I99" i="11"/>
  <c r="I83" i="11"/>
  <c r="I67" i="11"/>
  <c r="I51" i="11"/>
  <c r="I35" i="11"/>
  <c r="I19" i="11"/>
  <c r="J188" i="11"/>
  <c r="J165" i="11"/>
  <c r="J193" i="11"/>
  <c r="J203" i="11"/>
  <c r="J202" i="11"/>
  <c r="I29" i="11"/>
  <c r="I61" i="11"/>
  <c r="I93" i="11"/>
  <c r="I142" i="11"/>
  <c r="J259" i="11"/>
  <c r="J277" i="11"/>
  <c r="J329" i="11"/>
  <c r="J207" i="11"/>
  <c r="I25" i="11"/>
  <c r="I57" i="11"/>
  <c r="I89" i="11"/>
  <c r="I134" i="11"/>
  <c r="I198" i="11"/>
  <c r="J256" i="11"/>
  <c r="J297" i="11"/>
  <c r="I211" i="11"/>
  <c r="N111" i="11"/>
  <c r="N79" i="11"/>
  <c r="O140" i="11"/>
  <c r="O98" i="11"/>
  <c r="N14" i="11"/>
  <c r="N47" i="11"/>
  <c r="O118" i="11"/>
  <c r="O86" i="11"/>
  <c r="N27" i="11"/>
  <c r="N59" i="11"/>
  <c r="N91" i="11"/>
  <c r="N140" i="11"/>
  <c r="N164" i="11"/>
  <c r="N162" i="11"/>
  <c r="N160" i="11"/>
  <c r="N158" i="11"/>
  <c r="N156" i="11"/>
  <c r="N154" i="11"/>
  <c r="N152" i="11"/>
  <c r="N150" i="11"/>
  <c r="N148" i="11"/>
  <c r="N147" i="11"/>
  <c r="O145" i="11"/>
  <c r="O137" i="11"/>
  <c r="O129" i="11"/>
  <c r="O121" i="11"/>
  <c r="O138" i="11"/>
  <c r="O130" i="11"/>
  <c r="O122" i="11"/>
  <c r="O117" i="11"/>
  <c r="O113" i="11"/>
  <c r="O109" i="11"/>
  <c r="O105" i="11"/>
  <c r="O101" i="11"/>
  <c r="O97" i="11"/>
  <c r="O93" i="11"/>
  <c r="O89" i="11"/>
  <c r="O85" i="11"/>
  <c r="O81" i="11"/>
  <c r="O77" i="11"/>
  <c r="O73" i="11"/>
  <c r="F8" i="11"/>
  <c r="N16" i="11"/>
  <c r="N20" i="11"/>
  <c r="N24" i="11"/>
  <c r="N28" i="11"/>
  <c r="N32" i="11"/>
  <c r="N36" i="11"/>
  <c r="N40" i="11"/>
  <c r="N44" i="11"/>
  <c r="N48" i="11"/>
  <c r="N52" i="11"/>
  <c r="N56" i="11"/>
  <c r="N60" i="11"/>
  <c r="N64" i="11"/>
  <c r="N68" i="11"/>
  <c r="N72" i="11"/>
  <c r="N76" i="11"/>
  <c r="N80" i="11"/>
  <c r="N84" i="11"/>
  <c r="N88" i="11"/>
  <c r="N92" i="11"/>
  <c r="N96" i="11"/>
  <c r="N100" i="11"/>
  <c r="N104" i="11"/>
  <c r="N108" i="11"/>
  <c r="N112" i="11"/>
  <c r="N116" i="11"/>
  <c r="N120" i="11"/>
  <c r="N138" i="11"/>
  <c r="N130" i="11"/>
  <c r="N122" i="11"/>
  <c r="N141" i="11"/>
  <c r="N133" i="11"/>
  <c r="N125" i="11"/>
  <c r="N131" i="11"/>
  <c r="N128" i="11"/>
  <c r="N144" i="11"/>
  <c r="N113" i="11"/>
  <c r="N105" i="11"/>
  <c r="N97" i="11"/>
  <c r="N89" i="11"/>
  <c r="N81" i="11"/>
  <c r="N73" i="11"/>
  <c r="N65" i="11"/>
  <c r="N57" i="11"/>
  <c r="N49" i="11"/>
  <c r="N41" i="11"/>
  <c r="N33" i="11"/>
  <c r="N25" i="11"/>
  <c r="N17" i="11"/>
  <c r="O72" i="11"/>
  <c r="O80" i="11"/>
  <c r="O88" i="11"/>
  <c r="O96" i="11"/>
  <c r="O104" i="11"/>
  <c r="O112" i="11"/>
  <c r="O120" i="11"/>
  <c r="O136" i="11"/>
  <c r="O127" i="11"/>
  <c r="O143" i="11"/>
  <c r="N143" i="11"/>
  <c r="N119" i="11"/>
  <c r="N103" i="11"/>
  <c r="N87" i="11"/>
  <c r="N71" i="11"/>
  <c r="N55" i="11"/>
  <c r="N127" i="11"/>
  <c r="O131" i="11"/>
  <c r="O124" i="11"/>
  <c r="O106" i="11"/>
  <c r="O90" i="11"/>
  <c r="O74" i="11"/>
  <c r="N23" i="11"/>
  <c r="N39" i="11"/>
  <c r="O139" i="11"/>
  <c r="O132" i="11"/>
  <c r="O110" i="11"/>
  <c r="O94" i="11"/>
  <c r="O78" i="11"/>
  <c r="N19" i="11"/>
  <c r="N35" i="11"/>
  <c r="N51" i="11"/>
  <c r="N67" i="11"/>
  <c r="N83" i="11"/>
  <c r="N99" i="11"/>
  <c r="N115" i="11"/>
  <c r="J222" i="11"/>
  <c r="I221" i="11"/>
  <c r="I209" i="11"/>
  <c r="I217" i="11"/>
  <c r="J219" i="11"/>
  <c r="J353" i="11"/>
  <c r="J321" i="11"/>
  <c r="J289" i="11"/>
  <c r="J257" i="11"/>
  <c r="J239" i="11"/>
  <c r="J357" i="11"/>
  <c r="J336" i="11"/>
  <c r="J316" i="11"/>
  <c r="J293" i="11"/>
  <c r="J272" i="11"/>
  <c r="J350" i="11"/>
  <c r="J286" i="11"/>
  <c r="J246" i="11"/>
  <c r="J230" i="11"/>
  <c r="J347" i="11"/>
  <c r="J315" i="11"/>
  <c r="J283" i="11"/>
  <c r="I223" i="11"/>
  <c r="I196" i="11"/>
  <c r="I188" i="11"/>
  <c r="I180" i="11"/>
  <c r="I172" i="11"/>
  <c r="I164" i="11"/>
  <c r="I156" i="11"/>
  <c r="I148" i="11"/>
  <c r="I140" i="11"/>
  <c r="I132" i="11"/>
  <c r="I124" i="11"/>
  <c r="I116" i="11"/>
  <c r="I108" i="11"/>
  <c r="I104" i="11"/>
  <c r="I100" i="11"/>
  <c r="I96" i="11"/>
  <c r="I92" i="11"/>
  <c r="I88" i="11"/>
  <c r="I84" i="11"/>
  <c r="I80" i="11"/>
  <c r="I76" i="11"/>
  <c r="I72" i="11"/>
  <c r="I68" i="11"/>
  <c r="I64" i="11"/>
  <c r="I60" i="11"/>
  <c r="I56" i="11"/>
  <c r="I52" i="11"/>
  <c r="I48" i="11"/>
  <c r="I44" i="11"/>
  <c r="I40" i="11"/>
  <c r="I36" i="11"/>
  <c r="I32" i="11"/>
  <c r="I28" i="11"/>
  <c r="I24" i="11"/>
  <c r="I20" i="11"/>
  <c r="I16" i="11"/>
  <c r="J170" i="11"/>
  <c r="J178" i="11"/>
  <c r="J186" i="11"/>
  <c r="J194" i="11"/>
  <c r="J204" i="11"/>
  <c r="J208" i="11"/>
  <c r="J164" i="11"/>
  <c r="J168" i="11"/>
  <c r="J175" i="11"/>
  <c r="J183" i="11"/>
  <c r="J191" i="11"/>
  <c r="J199" i="11"/>
  <c r="I9" i="21"/>
  <c r="I109" i="11"/>
  <c r="I113" i="11"/>
  <c r="I117" i="11"/>
  <c r="I121" i="11"/>
  <c r="I125" i="11"/>
  <c r="I129" i="11"/>
  <c r="I133" i="11"/>
  <c r="I137" i="11"/>
  <c r="I141" i="11"/>
  <c r="I145" i="11"/>
  <c r="I149" i="11"/>
  <c r="I153" i="11"/>
  <c r="I157" i="11"/>
  <c r="I161" i="11"/>
  <c r="I165" i="11"/>
  <c r="I169" i="11"/>
  <c r="I173" i="11"/>
  <c r="I177" i="11"/>
  <c r="I181" i="11"/>
  <c r="I185" i="11"/>
  <c r="I189" i="11"/>
  <c r="I193" i="11"/>
  <c r="I197" i="11"/>
  <c r="I201" i="11"/>
  <c r="J255" i="11"/>
  <c r="J271" i="11"/>
  <c r="J287" i="11"/>
  <c r="J303" i="11"/>
  <c r="J319" i="11"/>
  <c r="J335" i="11"/>
  <c r="J351" i="11"/>
  <c r="J225" i="11"/>
  <c r="J233" i="11"/>
  <c r="J241" i="11"/>
  <c r="J249" i="11"/>
  <c r="J262" i="11"/>
  <c r="J294" i="11"/>
  <c r="J326" i="11"/>
  <c r="J358" i="11"/>
  <c r="J264" i="11"/>
  <c r="J276" i="11"/>
  <c r="J285" i="11"/>
  <c r="J296" i="11"/>
  <c r="J308" i="11"/>
  <c r="J317" i="11"/>
  <c r="J328" i="11"/>
  <c r="J340" i="11"/>
  <c r="J349" i="11"/>
  <c r="J360" i="11"/>
  <c r="J232" i="11"/>
  <c r="J240" i="11"/>
  <c r="J248" i="11"/>
  <c r="J258" i="11"/>
  <c r="J274" i="11"/>
  <c r="J290" i="11"/>
  <c r="J306" i="11"/>
  <c r="J322" i="11"/>
  <c r="J338" i="11"/>
  <c r="J354" i="11"/>
  <c r="I218" i="11"/>
  <c r="I214" i="11"/>
  <c r="I210" i="11"/>
  <c r="I206" i="11"/>
  <c r="I220" i="11"/>
  <c r="J214" i="11"/>
  <c r="I215" i="11"/>
  <c r="J345" i="11"/>
  <c r="J281" i="11"/>
  <c r="J235" i="11"/>
  <c r="J332" i="11"/>
  <c r="J288" i="11"/>
  <c r="J334" i="11"/>
  <c r="J242" i="11"/>
  <c r="J339" i="11"/>
  <c r="J275" i="11"/>
  <c r="I194" i="11"/>
  <c r="I178" i="11"/>
  <c r="I162" i="11"/>
  <c r="I146" i="11"/>
  <c r="I130" i="11"/>
  <c r="I114" i="11"/>
  <c r="I103" i="11"/>
  <c r="I95" i="11"/>
  <c r="I87" i="11"/>
  <c r="I79" i="11"/>
  <c r="I71" i="11"/>
  <c r="I63" i="11"/>
  <c r="I55" i="11"/>
  <c r="I47" i="11"/>
  <c r="I39" i="11"/>
  <c r="I31" i="11"/>
  <c r="I23" i="11"/>
  <c r="I15" i="11"/>
  <c r="J180" i="11"/>
  <c r="J196" i="11"/>
  <c r="J161" i="11"/>
  <c r="J169" i="11"/>
  <c r="J185" i="11"/>
  <c r="J200" i="11"/>
  <c r="J189" i="11"/>
  <c r="J163" i="11"/>
  <c r="J184" i="11"/>
  <c r="I21" i="11"/>
  <c r="I37" i="11"/>
  <c r="I53" i="11"/>
  <c r="I69" i="11"/>
  <c r="I85" i="11"/>
  <c r="I101" i="11"/>
  <c r="I126" i="11"/>
  <c r="I158" i="11"/>
  <c r="I190" i="11"/>
  <c r="J323" i="11"/>
  <c r="J302" i="11"/>
  <c r="J320" i="11"/>
  <c r="J265" i="11"/>
  <c r="J197" i="11"/>
  <c r="J167" i="11"/>
  <c r="J192" i="11"/>
  <c r="I17" i="11"/>
  <c r="I33" i="11"/>
  <c r="I49" i="11"/>
  <c r="I65" i="11"/>
  <c r="I81" i="11"/>
  <c r="I97" i="11"/>
  <c r="I118" i="11"/>
  <c r="I150" i="11"/>
  <c r="I182" i="11"/>
  <c r="J291" i="11"/>
  <c r="J250" i="11"/>
  <c r="J300" i="11"/>
  <c r="J243" i="11"/>
  <c r="J361" i="11"/>
  <c r="J218" i="11"/>
  <c r="F38" i="1" l="1"/>
  <c r="K37" i="1"/>
  <c r="G37" i="1"/>
  <c r="E61" i="15"/>
  <c r="K133" i="6"/>
  <c r="F134" i="6"/>
  <c r="G133" i="6"/>
  <c r="K153" i="7"/>
  <c r="F154" i="7"/>
  <c r="G153" i="7"/>
  <c r="F55" i="17"/>
  <c r="F131" i="4"/>
  <c r="K130" i="4"/>
  <c r="G130" i="4"/>
  <c r="L3" i="24"/>
  <c r="E117" i="24"/>
  <c r="F19" i="16"/>
  <c r="G123" i="3"/>
  <c r="F124" i="3"/>
  <c r="K123" i="3"/>
  <c r="F118" i="24"/>
  <c r="E118" i="24" s="1"/>
  <c r="H60" i="15"/>
  <c r="H61" i="15"/>
  <c r="F184" i="19"/>
  <c r="G184" i="19" s="1"/>
  <c r="K183" i="19"/>
  <c r="G106" i="22"/>
  <c r="E2" i="22" s="1"/>
  <c r="H4" i="21"/>
  <c r="E1" i="22"/>
  <c r="F20" i="16" l="1"/>
  <c r="F39" i="1"/>
  <c r="K38" i="1"/>
  <c r="G38" i="1"/>
  <c r="E62" i="15"/>
  <c r="F125" i="3"/>
  <c r="K124" i="3"/>
  <c r="G124" i="3"/>
  <c r="F119" i="24"/>
  <c r="E119" i="24" s="1"/>
  <c r="I61" i="15"/>
  <c r="I60" i="15"/>
  <c r="F135" i="6"/>
  <c r="G134" i="6"/>
  <c r="K134" i="6"/>
  <c r="K131" i="4"/>
  <c r="F132" i="4"/>
  <c r="G131" i="4"/>
  <c r="F56" i="17"/>
  <c r="F155" i="7"/>
  <c r="K154" i="7"/>
  <c r="O19" i="7"/>
  <c r="G154" i="7"/>
  <c r="F185" i="19"/>
  <c r="G185" i="19" s="1"/>
  <c r="K184" i="19"/>
  <c r="F2" i="22"/>
  <c r="J259" i="22" s="1"/>
  <c r="F126" i="3" l="1"/>
  <c r="G125" i="3"/>
  <c r="K125" i="3"/>
  <c r="F120" i="24"/>
  <c r="E120" i="24" s="1"/>
  <c r="G135" i="6"/>
  <c r="F136" i="6"/>
  <c r="K135" i="6"/>
  <c r="K39" i="1"/>
  <c r="G39" i="1"/>
  <c r="F40" i="1"/>
  <c r="E63" i="15"/>
  <c r="H62" i="15"/>
  <c r="F21" i="16"/>
  <c r="F133" i="4"/>
  <c r="K132" i="4"/>
  <c r="G132" i="4"/>
  <c r="F57" i="17"/>
  <c r="O12" i="17"/>
  <c r="K155" i="7"/>
  <c r="F156" i="7"/>
  <c r="O20" i="7"/>
  <c r="G155" i="7"/>
  <c r="F186" i="19"/>
  <c r="G186" i="19" s="1"/>
  <c r="K185" i="19"/>
  <c r="J230" i="22"/>
  <c r="J212" i="22"/>
  <c r="J229" i="22"/>
  <c r="J163" i="22"/>
  <c r="J127" i="22"/>
  <c r="J183" i="22"/>
  <c r="J243" i="22"/>
  <c r="J169" i="22"/>
  <c r="J153" i="22"/>
  <c r="J204" i="22"/>
  <c r="J207" i="22"/>
  <c r="J247" i="22"/>
  <c r="J238" i="22"/>
  <c r="J156" i="22"/>
  <c r="J264" i="22"/>
  <c r="J128" i="22"/>
  <c r="J265" i="22"/>
  <c r="J181" i="22"/>
  <c r="J176" i="22"/>
  <c r="J131" i="22"/>
  <c r="J260" i="22"/>
  <c r="J221" i="22"/>
  <c r="J178" i="22"/>
  <c r="J182" i="22"/>
  <c r="J220" i="22"/>
  <c r="J139" i="22"/>
  <c r="J224" i="22"/>
  <c r="J235" i="22"/>
  <c r="J143" i="22"/>
  <c r="J208" i="22"/>
  <c r="J236" i="22"/>
  <c r="J188" i="22"/>
  <c r="J201" i="22"/>
  <c r="J228" i="22"/>
  <c r="J164" i="22"/>
  <c r="J150" i="22"/>
  <c r="J148" i="22"/>
  <c r="J216" i="22"/>
  <c r="J242" i="22"/>
  <c r="J171" i="22"/>
  <c r="J225" i="22"/>
  <c r="J191" i="22"/>
  <c r="J206" i="22"/>
  <c r="J209" i="22"/>
  <c r="J237" i="22"/>
  <c r="J187" i="22"/>
  <c r="J200" i="22"/>
  <c r="J258" i="22"/>
  <c r="J133" i="22"/>
  <c r="J256" i="22"/>
  <c r="J263" i="22"/>
  <c r="J227" i="22"/>
  <c r="J129" i="22"/>
  <c r="J180" i="22"/>
  <c r="J149" i="22"/>
  <c r="J125" i="22"/>
  <c r="J142" i="22"/>
  <c r="J174" i="22"/>
  <c r="J218" i="22"/>
  <c r="J136" i="22"/>
  <c r="J137" i="22"/>
  <c r="J222" i="22"/>
  <c r="J185" i="22"/>
  <c r="J190" i="22"/>
  <c r="J233" i="22"/>
  <c r="J205" i="22"/>
  <c r="J146" i="22"/>
  <c r="J210" i="22"/>
  <c r="J251" i="22"/>
  <c r="J249" i="22"/>
  <c r="J240" i="22"/>
  <c r="J245" i="22"/>
  <c r="J186" i="22"/>
  <c r="J231" i="22"/>
  <c r="J199" i="22"/>
  <c r="J262" i="22"/>
  <c r="J130" i="22"/>
  <c r="J241" i="22"/>
  <c r="J162" i="22"/>
  <c r="J179" i="22"/>
  <c r="J126" i="22"/>
  <c r="J141" i="22"/>
  <c r="J184" i="22"/>
  <c r="J173" i="22"/>
  <c r="J219" i="22"/>
  <c r="J138" i="22"/>
  <c r="J168" i="22"/>
  <c r="J154" i="22"/>
  <c r="J234" i="22"/>
  <c r="J147" i="22"/>
  <c r="J250" i="22"/>
  <c r="J246" i="22"/>
  <c r="J155" i="22"/>
  <c r="J217" i="22"/>
  <c r="J140" i="22"/>
  <c r="J172" i="22"/>
  <c r="J170" i="22"/>
  <c r="J226" i="22"/>
  <c r="J223" i="22"/>
  <c r="J192" i="22"/>
  <c r="J189" i="22"/>
  <c r="J232" i="22"/>
  <c r="J144" i="22"/>
  <c r="J145" i="22"/>
  <c r="J252" i="22"/>
  <c r="J248" i="22"/>
  <c r="J239" i="22"/>
  <c r="J244" i="22"/>
  <c r="J157" i="22"/>
  <c r="J211" i="22"/>
  <c r="J167" i="22"/>
  <c r="J177" i="22"/>
  <c r="J202" i="22"/>
  <c r="J194" i="22"/>
  <c r="J197" i="22"/>
  <c r="J135" i="22"/>
  <c r="J116" i="22"/>
  <c r="J121" i="22"/>
  <c r="J112" i="22"/>
  <c r="J124" i="22"/>
  <c r="I125" i="22"/>
  <c r="J115" i="22"/>
  <c r="J80" i="22"/>
  <c r="J98" i="22"/>
  <c r="J78" i="22"/>
  <c r="J94" i="22"/>
  <c r="J104" i="22"/>
  <c r="J83" i="22"/>
  <c r="J91" i="22"/>
  <c r="J99" i="22"/>
  <c r="J106" i="22"/>
  <c r="F3" i="22"/>
  <c r="J76" i="22"/>
  <c r="J92" i="22"/>
  <c r="J82" i="22"/>
  <c r="J96" i="22"/>
  <c r="J77" i="22"/>
  <c r="J85" i="22"/>
  <c r="J93" i="22"/>
  <c r="J101" i="22"/>
  <c r="J108" i="22"/>
  <c r="I79" i="22"/>
  <c r="I105" i="22"/>
  <c r="I116" i="22"/>
  <c r="I73" i="22"/>
  <c r="I102" i="22"/>
  <c r="I82" i="22"/>
  <c r="I75" i="22"/>
  <c r="I83" i="22"/>
  <c r="I112" i="22"/>
  <c r="I108" i="22"/>
  <c r="I72" i="22"/>
  <c r="I84" i="22"/>
  <c r="I100" i="22"/>
  <c r="I117" i="22"/>
  <c r="I103" i="22"/>
  <c r="I99" i="22"/>
  <c r="I122" i="22"/>
  <c r="I74" i="22"/>
  <c r="I88" i="22"/>
  <c r="I104" i="22"/>
  <c r="I121" i="22"/>
  <c r="I101" i="22"/>
  <c r="I93" i="22"/>
  <c r="I120" i="22"/>
  <c r="I94" i="22"/>
  <c r="I71" i="22"/>
  <c r="I107" i="22"/>
  <c r="I4" i="21"/>
  <c r="I106" i="22"/>
  <c r="I124" i="22"/>
  <c r="I119" i="22"/>
  <c r="I90" i="22"/>
  <c r="I91" i="22"/>
  <c r="I76" i="22"/>
  <c r="I109" i="22"/>
  <c r="I81" i="22"/>
  <c r="I70" i="22"/>
  <c r="I96" i="22"/>
  <c r="I87" i="22"/>
  <c r="I110" i="22"/>
  <c r="I111" i="22"/>
  <c r="I123" i="22"/>
  <c r="J257" i="22"/>
  <c r="J132" i="22"/>
  <c r="J165" i="22"/>
  <c r="J158" i="22"/>
  <c r="J160" i="22"/>
  <c r="J261" i="22"/>
  <c r="J151" i="22"/>
  <c r="J254" i="22"/>
  <c r="J255" i="22"/>
  <c r="J193" i="22"/>
  <c r="J266" i="22"/>
  <c r="J195" i="22"/>
  <c r="J196" i="22"/>
  <c r="J198" i="22"/>
  <c r="J213" i="22"/>
  <c r="J152" i="22"/>
  <c r="J214" i="22"/>
  <c r="J215" i="22"/>
  <c r="J134" i="22"/>
  <c r="J111" i="22"/>
  <c r="J120" i="22"/>
  <c r="J122" i="22"/>
  <c r="J118" i="22"/>
  <c r="J123" i="22"/>
  <c r="J117" i="22"/>
  <c r="J119" i="22"/>
  <c r="J113" i="22"/>
  <c r="J90" i="22"/>
  <c r="J109" i="22"/>
  <c r="J86" i="22"/>
  <c r="J100" i="22"/>
  <c r="J79" i="22"/>
  <c r="J87" i="22"/>
  <c r="J95" i="22"/>
  <c r="J103" i="22"/>
  <c r="J110" i="22"/>
  <c r="F4" i="22"/>
  <c r="J84" i="22"/>
  <c r="J107" i="22"/>
  <c r="J88" i="22"/>
  <c r="J102" i="22"/>
  <c r="J81" i="22"/>
  <c r="J89" i="22"/>
  <c r="J97" i="22"/>
  <c r="J105" i="22"/>
  <c r="I69" i="22"/>
  <c r="I95" i="22"/>
  <c r="I85" i="22"/>
  <c r="I86" i="22"/>
  <c r="I115" i="22"/>
  <c r="I97" i="22"/>
  <c r="I118" i="22"/>
  <c r="I92" i="22"/>
  <c r="I89" i="22"/>
  <c r="I114" i="22"/>
  <c r="I80" i="22"/>
  <c r="I113" i="22"/>
  <c r="I77" i="22"/>
  <c r="I78" i="22"/>
  <c r="I98" i="22"/>
  <c r="J166" i="22"/>
  <c r="J159" i="22"/>
  <c r="J253" i="22"/>
  <c r="J203" i="22"/>
  <c r="J175" i="22"/>
  <c r="J161" i="22"/>
  <c r="J114" i="22"/>
  <c r="P4" i="8" l="1"/>
  <c r="F127" i="3"/>
  <c r="K126" i="3"/>
  <c r="G126" i="3"/>
  <c r="F121" i="24"/>
  <c r="E121" i="24" s="1"/>
  <c r="O21" i="7"/>
  <c r="K156" i="7"/>
  <c r="F157" i="7"/>
  <c r="G156" i="7"/>
  <c r="G133" i="4"/>
  <c r="F134" i="4"/>
  <c r="K133" i="4"/>
  <c r="G136" i="6"/>
  <c r="F137" i="6"/>
  <c r="K136" i="6"/>
  <c r="F22" i="16"/>
  <c r="K40" i="1"/>
  <c r="G40" i="1"/>
  <c r="F41" i="1"/>
  <c r="E64" i="15"/>
  <c r="F58" i="17"/>
  <c r="O13" i="17"/>
  <c r="I62" i="15"/>
  <c r="H63" i="15"/>
  <c r="F187" i="19"/>
  <c r="G187" i="19" s="1"/>
  <c r="K186" i="19"/>
  <c r="F158" i="7" l="1"/>
  <c r="K157" i="7"/>
  <c r="G157" i="7"/>
  <c r="F23" i="16"/>
  <c r="F59" i="17"/>
  <c r="O14" i="17"/>
  <c r="I63" i="15"/>
  <c r="H64" i="15"/>
  <c r="F42" i="1"/>
  <c r="K41" i="1"/>
  <c r="G41" i="1"/>
  <c r="E65" i="15"/>
  <c r="H65" i="15" s="1"/>
  <c r="K137" i="6"/>
  <c r="F138" i="6"/>
  <c r="G137" i="6"/>
  <c r="F128" i="3"/>
  <c r="K127" i="3"/>
  <c r="G127" i="3"/>
  <c r="F122" i="24"/>
  <c r="E122" i="24" s="1"/>
  <c r="G134" i="4"/>
  <c r="K134" i="4"/>
  <c r="F135" i="4"/>
  <c r="F188" i="19"/>
  <c r="G188" i="19" s="1"/>
  <c r="K187" i="19"/>
  <c r="I65" i="15" l="1"/>
  <c r="F136" i="4"/>
  <c r="K135" i="4"/>
  <c r="G135" i="4"/>
  <c r="F60" i="17"/>
  <c r="I64" i="15"/>
  <c r="F129" i="3"/>
  <c r="G128" i="3"/>
  <c r="K128" i="3"/>
  <c r="F123" i="24"/>
  <c r="E123" i="24" s="1"/>
  <c r="F159" i="7"/>
  <c r="K158" i="7"/>
  <c r="G158" i="7"/>
  <c r="G138" i="6"/>
  <c r="K138" i="6"/>
  <c r="F139" i="6"/>
  <c r="F24" i="16"/>
  <c r="F43" i="1"/>
  <c r="K42" i="1"/>
  <c r="G42" i="1"/>
  <c r="E66" i="15"/>
  <c r="H66" i="15"/>
  <c r="F189" i="19"/>
  <c r="G189" i="19" s="1"/>
  <c r="K188" i="19"/>
  <c r="F25" i="16" l="1"/>
  <c r="I66" i="15"/>
  <c r="F61" i="17"/>
  <c r="K139" i="6"/>
  <c r="G139" i="6"/>
  <c r="F140" i="6"/>
  <c r="K136" i="4"/>
  <c r="G136" i="4"/>
  <c r="F137" i="4"/>
  <c r="G43" i="1"/>
  <c r="F44" i="1"/>
  <c r="K43" i="1"/>
  <c r="E67" i="15"/>
  <c r="H67" i="15" s="1"/>
  <c r="F160" i="7"/>
  <c r="K159" i="7"/>
  <c r="G159" i="7"/>
  <c r="G129" i="3"/>
  <c r="K129" i="3"/>
  <c r="F130" i="3"/>
  <c r="F124" i="24"/>
  <c r="E124" i="24" s="1"/>
  <c r="K189" i="19"/>
  <c r="E5" i="19" s="1"/>
  <c r="D3" i="21"/>
  <c r="I67" i="15" l="1"/>
  <c r="K140" i="6"/>
  <c r="F141" i="6"/>
  <c r="G140" i="6"/>
  <c r="F26" i="16"/>
  <c r="F138" i="4"/>
  <c r="G137" i="4"/>
  <c r="K137" i="4"/>
  <c r="G130" i="3"/>
  <c r="F131" i="3"/>
  <c r="K130" i="3"/>
  <c r="O9" i="3"/>
  <c r="F125" i="24"/>
  <c r="E125" i="24" s="1"/>
  <c r="K160" i="7"/>
  <c r="F161" i="7"/>
  <c r="G160" i="7"/>
  <c r="F62" i="17"/>
  <c r="E68" i="15"/>
  <c r="G44" i="1"/>
  <c r="F45" i="1"/>
  <c r="K44" i="1"/>
  <c r="O12" i="1"/>
  <c r="G171" i="19"/>
  <c r="P59" i="19"/>
  <c r="P60" i="19" s="1"/>
  <c r="P61" i="19" s="1"/>
  <c r="P62" i="19" s="1"/>
  <c r="P63" i="19" s="1"/>
  <c r="P64" i="19" s="1"/>
  <c r="P65" i="19" s="1"/>
  <c r="P66" i="19" s="1"/>
  <c r="P67" i="19" s="1"/>
  <c r="P68" i="19" s="1"/>
  <c r="P69" i="19" s="1"/>
  <c r="P70" i="19" s="1"/>
  <c r="P71" i="19" s="1"/>
  <c r="P72" i="19" s="1"/>
  <c r="P73" i="19" s="1"/>
  <c r="P74" i="19" s="1"/>
  <c r="P75" i="19" s="1"/>
  <c r="P76" i="19" s="1"/>
  <c r="P77" i="19" s="1"/>
  <c r="P78" i="19" s="1"/>
  <c r="P79" i="19" s="1"/>
  <c r="P80" i="19" s="1"/>
  <c r="P81" i="19" s="1"/>
  <c r="P82" i="19" s="1"/>
  <c r="P83" i="19" s="1"/>
  <c r="P84" i="19" s="1"/>
  <c r="P85" i="19" s="1"/>
  <c r="P86" i="19" s="1"/>
  <c r="P87" i="19" s="1"/>
  <c r="P88" i="19" s="1"/>
  <c r="P89" i="19" s="1"/>
  <c r="P90" i="19" s="1"/>
  <c r="P91" i="19" s="1"/>
  <c r="P92" i="19" s="1"/>
  <c r="P93" i="19" s="1"/>
  <c r="P94" i="19" s="1"/>
  <c r="P95" i="19" s="1"/>
  <c r="P96" i="19" s="1"/>
  <c r="P97" i="19" s="1"/>
  <c r="P98" i="19" s="1"/>
  <c r="P99" i="19" s="1"/>
  <c r="P100" i="19" s="1"/>
  <c r="P101" i="19" s="1"/>
  <c r="P102" i="19" s="1"/>
  <c r="P103" i="19" s="1"/>
  <c r="P104" i="19" s="1"/>
  <c r="P105" i="19" s="1"/>
  <c r="P106" i="19" s="1"/>
  <c r="P107" i="19" s="1"/>
  <c r="P108" i="19" s="1"/>
  <c r="P109" i="19" s="1"/>
  <c r="P110" i="19" s="1"/>
  <c r="P111" i="19" s="1"/>
  <c r="P112" i="19" s="1"/>
  <c r="P113" i="19" s="1"/>
  <c r="P114" i="19" s="1"/>
  <c r="P115" i="19" s="1"/>
  <c r="P116" i="19" s="1"/>
  <c r="P117" i="19" s="1"/>
  <c r="P118" i="19" s="1"/>
  <c r="P119" i="19" s="1"/>
  <c r="P120" i="19" s="1"/>
  <c r="P121" i="19" s="1"/>
  <c r="P122" i="19" s="1"/>
  <c r="P123" i="19" s="1"/>
  <c r="P124" i="19" s="1"/>
  <c r="P125" i="19" s="1"/>
  <c r="P126" i="19" s="1"/>
  <c r="P127" i="19" s="1"/>
  <c r="P128" i="19" s="1"/>
  <c r="P129" i="19" s="1"/>
  <c r="P130" i="19" s="1"/>
  <c r="P131" i="19" s="1"/>
  <c r="P132" i="19" s="1"/>
  <c r="P133" i="19" s="1"/>
  <c r="P134" i="19" s="1"/>
  <c r="P135" i="19" s="1"/>
  <c r="P136" i="19" s="1"/>
  <c r="P137" i="19" s="1"/>
  <c r="P138" i="19" s="1"/>
  <c r="P139" i="19" s="1"/>
  <c r="P140" i="19" s="1"/>
  <c r="P141" i="19" s="1"/>
  <c r="P142" i="19" s="1"/>
  <c r="P143" i="19" s="1"/>
  <c r="P144" i="19" s="1"/>
  <c r="P145" i="19" s="1"/>
  <c r="P146" i="19" s="1"/>
  <c r="P147" i="19" s="1"/>
  <c r="P148" i="19" s="1"/>
  <c r="P149" i="19" s="1"/>
  <c r="P150" i="19" s="1"/>
  <c r="P151" i="19" s="1"/>
  <c r="P152" i="19" s="1"/>
  <c r="P153" i="19" s="1"/>
  <c r="P154" i="19" s="1"/>
  <c r="P155" i="19" s="1"/>
  <c r="P156" i="19" s="1"/>
  <c r="P157" i="19" s="1"/>
  <c r="P158" i="19" s="1"/>
  <c r="P159" i="19" s="1"/>
  <c r="P160" i="19" s="1"/>
  <c r="P161" i="19" s="1"/>
  <c r="P162" i="19" s="1"/>
  <c r="P163" i="19" s="1"/>
  <c r="P164" i="19" s="1"/>
  <c r="P165" i="19" s="1"/>
  <c r="P166" i="19" s="1"/>
  <c r="P167" i="19" s="1"/>
  <c r="P168" i="19" s="1"/>
  <c r="P169" i="19" s="1"/>
  <c r="P170" i="19" s="1"/>
  <c r="P171" i="19" s="1"/>
  <c r="P172" i="19" s="1"/>
  <c r="P173" i="19" s="1"/>
  <c r="P174" i="19" s="1"/>
  <c r="P175" i="19" s="1"/>
  <c r="P176" i="19" s="1"/>
  <c r="P177" i="19" s="1"/>
  <c r="P178" i="19" s="1"/>
  <c r="P179" i="19" s="1"/>
  <c r="P180" i="19" s="1"/>
  <c r="P181" i="19" s="1"/>
  <c r="P182" i="19" s="1"/>
  <c r="P183" i="19" s="1"/>
  <c r="P184" i="19" s="1"/>
  <c r="P185" i="19" s="1"/>
  <c r="P186" i="19" s="1"/>
  <c r="P187" i="19" s="1"/>
  <c r="P188" i="19" s="1"/>
  <c r="P189" i="19" s="1"/>
  <c r="N59" i="19"/>
  <c r="N60" i="19" s="1"/>
  <c r="N61" i="19"/>
  <c r="N62" i="19" s="1"/>
  <c r="N63" i="19" s="1"/>
  <c r="N64" i="19" s="1"/>
  <c r="N65" i="19" s="1"/>
  <c r="N66" i="19" s="1"/>
  <c r="N67" i="19" s="1"/>
  <c r="N68" i="19" s="1"/>
  <c r="N69" i="19" s="1"/>
  <c r="N70" i="19" s="1"/>
  <c r="N71" i="19" s="1"/>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H3" i="21"/>
  <c r="H68" i="15" l="1"/>
  <c r="F162" i="7"/>
  <c r="K161" i="7"/>
  <c r="G161" i="7"/>
  <c r="F142" i="6"/>
  <c r="K141" i="6"/>
  <c r="G141" i="6"/>
  <c r="F46" i="1"/>
  <c r="K45" i="1"/>
  <c r="G45" i="1"/>
  <c r="E69" i="15"/>
  <c r="H69" i="15"/>
  <c r="G4" i="8"/>
  <c r="I4" i="8"/>
  <c r="K138" i="4"/>
  <c r="F139" i="4"/>
  <c r="G138" i="4"/>
  <c r="F63" i="17"/>
  <c r="K131" i="3"/>
  <c r="G131" i="3"/>
  <c r="F132" i="3"/>
  <c r="F126" i="24"/>
  <c r="E126" i="24" s="1"/>
  <c r="F27" i="16"/>
  <c r="E2" i="19"/>
  <c r="E1" i="19"/>
  <c r="F2" i="19"/>
  <c r="N94" i="19"/>
  <c r="N95" i="19" s="1"/>
  <c r="N96" i="19" s="1"/>
  <c r="N97" i="19" s="1"/>
  <c r="N98" i="19" s="1"/>
  <c r="N99" i="19" s="1"/>
  <c r="N100" i="19" s="1"/>
  <c r="N101" i="19" s="1"/>
  <c r="N102" i="19" s="1"/>
  <c r="N103" i="19" s="1"/>
  <c r="N104" i="19" s="1"/>
  <c r="N105" i="19" s="1"/>
  <c r="N106" i="19" s="1"/>
  <c r="N107" i="19" s="1"/>
  <c r="T8" i="19"/>
  <c r="I68" i="15" l="1"/>
  <c r="K142" i="6"/>
  <c r="F143" i="6"/>
  <c r="G142" i="6"/>
  <c r="K162" i="7"/>
  <c r="F163" i="7"/>
  <c r="G162" i="7"/>
  <c r="F64" i="17"/>
  <c r="K139" i="4"/>
  <c r="F140" i="4"/>
  <c r="G139" i="4"/>
  <c r="H70" i="15"/>
  <c r="I70" i="15" s="1"/>
  <c r="F133" i="3"/>
  <c r="K132" i="3"/>
  <c r="G132" i="3"/>
  <c r="F127" i="24"/>
  <c r="E127" i="24" s="1"/>
  <c r="F47" i="1"/>
  <c r="K46" i="1"/>
  <c r="G46" i="1"/>
  <c r="E70" i="15"/>
  <c r="I69" i="15"/>
  <c r="F28" i="16"/>
  <c r="J272" i="19"/>
  <c r="J244" i="19"/>
  <c r="J281" i="19"/>
  <c r="J215" i="19"/>
  <c r="J328" i="19"/>
  <c r="J264" i="19"/>
  <c r="J210" i="19"/>
  <c r="J248" i="19"/>
  <c r="J287" i="19"/>
  <c r="J261" i="19"/>
  <c r="J259" i="19"/>
  <c r="J223" i="19"/>
  <c r="I189" i="19"/>
  <c r="J170" i="19"/>
  <c r="J164" i="19"/>
  <c r="I171" i="19"/>
  <c r="I181" i="19"/>
  <c r="J180" i="19"/>
  <c r="J197" i="19"/>
  <c r="J308" i="19"/>
  <c r="J211" i="19"/>
  <c r="J228" i="19"/>
  <c r="J235" i="19"/>
  <c r="J285" i="19"/>
  <c r="J286" i="19"/>
  <c r="J258" i="19"/>
  <c r="J239" i="19"/>
  <c r="J300" i="19"/>
  <c r="J282" i="19"/>
  <c r="J263" i="19"/>
  <c r="J314" i="19"/>
  <c r="J303" i="19"/>
  <c r="J222" i="19"/>
  <c r="J175" i="19"/>
  <c r="J198" i="19"/>
  <c r="I176" i="19"/>
  <c r="F3" i="19"/>
  <c r="I187" i="19"/>
  <c r="I178" i="19"/>
  <c r="J267" i="19"/>
  <c r="J283" i="19"/>
  <c r="J329" i="19"/>
  <c r="J273" i="19"/>
  <c r="J203" i="19"/>
  <c r="J185" i="19"/>
  <c r="J316" i="19"/>
  <c r="I126" i="19"/>
  <c r="I62" i="19"/>
  <c r="J280" i="19"/>
  <c r="J220" i="19"/>
  <c r="J305" i="19"/>
  <c r="J312" i="19"/>
  <c r="J179" i="19"/>
  <c r="J278" i="19"/>
  <c r="J307" i="19"/>
  <c r="J242" i="19"/>
  <c r="J306" i="19"/>
  <c r="J213" i="19"/>
  <c r="J249" i="19"/>
  <c r="J304" i="19"/>
  <c r="J226" i="19"/>
  <c r="J232" i="19"/>
  <c r="J204" i="19"/>
  <c r="J208" i="19"/>
  <c r="J231" i="19"/>
  <c r="J176" i="19"/>
  <c r="J318" i="19"/>
  <c r="J216" i="19"/>
  <c r="J187" i="19"/>
  <c r="J225" i="19"/>
  <c r="I170" i="19"/>
  <c r="I184" i="19"/>
  <c r="F4" i="19"/>
  <c r="J167" i="19"/>
  <c r="J172" i="19"/>
  <c r="J171" i="19"/>
  <c r="I179" i="19"/>
  <c r="I186" i="19"/>
  <c r="I177" i="19"/>
  <c r="J323" i="19"/>
  <c r="J262" i="19"/>
  <c r="J253" i="19"/>
  <c r="J297" i="19"/>
  <c r="J265" i="19"/>
  <c r="J184" i="19"/>
  <c r="J326" i="19"/>
  <c r="J311" i="19"/>
  <c r="J238" i="19"/>
  <c r="J178" i="19"/>
  <c r="J293" i="19"/>
  <c r="J313" i="19"/>
  <c r="J324" i="19"/>
  <c r="I158" i="19"/>
  <c r="I94" i="19"/>
  <c r="I182" i="19"/>
  <c r="J182" i="19"/>
  <c r="J186" i="19"/>
  <c r="J325" i="19"/>
  <c r="J221" i="19"/>
  <c r="J219" i="19"/>
  <c r="J194" i="19"/>
  <c r="J206" i="19"/>
  <c r="J289" i="19"/>
  <c r="J284" i="19"/>
  <c r="J217" i="19"/>
  <c r="J321" i="19"/>
  <c r="J310" i="19"/>
  <c r="J200" i="19"/>
  <c r="J299" i="19"/>
  <c r="J250" i="19"/>
  <c r="J295" i="19"/>
  <c r="J255" i="19"/>
  <c r="J268" i="19"/>
  <c r="J327" i="19"/>
  <c r="J240" i="19"/>
  <c r="J330" i="19"/>
  <c r="J290" i="19"/>
  <c r="J276" i="19"/>
  <c r="J209" i="19"/>
  <c r="J192" i="19"/>
  <c r="J166" i="19"/>
  <c r="I142" i="19"/>
  <c r="I110" i="19"/>
  <c r="I78" i="19"/>
  <c r="J301" i="19"/>
  <c r="I167" i="19"/>
  <c r="J294" i="19"/>
  <c r="J319" i="19"/>
  <c r="J199" i="19"/>
  <c r="J256" i="19"/>
  <c r="J237" i="19"/>
  <c r="J274" i="19"/>
  <c r="J291" i="19"/>
  <c r="J214" i="19"/>
  <c r="J195" i="19"/>
  <c r="J227" i="19"/>
  <c r="J296" i="19"/>
  <c r="J205" i="19"/>
  <c r="J269" i="19"/>
  <c r="J320" i="19"/>
  <c r="J292" i="19"/>
  <c r="J245" i="19"/>
  <c r="J247" i="19"/>
  <c r="J177" i="19"/>
  <c r="J270" i="19"/>
  <c r="J288" i="19"/>
  <c r="J271" i="19"/>
  <c r="J181" i="19"/>
  <c r="J229" i="19"/>
  <c r="J275" i="19"/>
  <c r="J202" i="19"/>
  <c r="J251" i="19"/>
  <c r="J246" i="19"/>
  <c r="J309" i="19"/>
  <c r="J260" i="19"/>
  <c r="J193" i="19"/>
  <c r="J230" i="19"/>
  <c r="I174" i="19"/>
  <c r="I166" i="19"/>
  <c r="I150" i="19"/>
  <c r="I134" i="19"/>
  <c r="I118" i="19"/>
  <c r="I102" i="19"/>
  <c r="I86" i="19"/>
  <c r="I70" i="19"/>
  <c r="J254" i="19"/>
  <c r="J257" i="19"/>
  <c r="J163" i="19"/>
  <c r="I159" i="19"/>
  <c r="J189" i="19"/>
  <c r="J218" i="19"/>
  <c r="J188" i="19"/>
  <c r="J191" i="19"/>
  <c r="J212" i="19"/>
  <c r="J315" i="19"/>
  <c r="J243" i="19"/>
  <c r="J201" i="19"/>
  <c r="J279" i="19"/>
  <c r="J169" i="19"/>
  <c r="I188" i="19"/>
  <c r="I162" i="19"/>
  <c r="I154" i="19"/>
  <c r="I146" i="19"/>
  <c r="I138" i="19"/>
  <c r="I130" i="19"/>
  <c r="I122" i="19"/>
  <c r="I114" i="19"/>
  <c r="I106" i="19"/>
  <c r="I98" i="19"/>
  <c r="I90" i="19"/>
  <c r="I82" i="19"/>
  <c r="I74" i="19"/>
  <c r="I66" i="19"/>
  <c r="I58" i="19"/>
  <c r="J224" i="19"/>
  <c r="J234" i="19"/>
  <c r="J317" i="19"/>
  <c r="J165" i="19"/>
  <c r="I180" i="19"/>
  <c r="I163" i="19"/>
  <c r="I155" i="19"/>
  <c r="J233" i="19"/>
  <c r="J322" i="19"/>
  <c r="J241" i="19"/>
  <c r="J207" i="19"/>
  <c r="J298" i="19"/>
  <c r="J196" i="19"/>
  <c r="J277" i="19"/>
  <c r="I183" i="19"/>
  <c r="J173" i="19"/>
  <c r="I172" i="19"/>
  <c r="I168" i="19"/>
  <c r="I164" i="19"/>
  <c r="I160" i="19"/>
  <c r="I156" i="19"/>
  <c r="I152" i="19"/>
  <c r="I148" i="19"/>
  <c r="I144" i="19"/>
  <c r="I140" i="19"/>
  <c r="I136" i="19"/>
  <c r="I132" i="19"/>
  <c r="I128" i="19"/>
  <c r="I124" i="19"/>
  <c r="I120" i="19"/>
  <c r="I116" i="19"/>
  <c r="I112" i="19"/>
  <c r="I108" i="19"/>
  <c r="I104" i="19"/>
  <c r="I100" i="19"/>
  <c r="I96" i="19"/>
  <c r="I92" i="19"/>
  <c r="I88" i="19"/>
  <c r="I84" i="19"/>
  <c r="I80" i="19"/>
  <c r="I76" i="19"/>
  <c r="I72" i="19"/>
  <c r="I68" i="19"/>
  <c r="I64" i="19"/>
  <c r="I60" i="19"/>
  <c r="J252" i="19"/>
  <c r="J236" i="19"/>
  <c r="J302" i="19"/>
  <c r="J190" i="19"/>
  <c r="J266" i="19"/>
  <c r="J183" i="19"/>
  <c r="I185" i="19"/>
  <c r="I175" i="19"/>
  <c r="J168" i="19"/>
  <c r="J174" i="19"/>
  <c r="I169" i="19"/>
  <c r="I165" i="19"/>
  <c r="I161" i="19"/>
  <c r="I157" i="19"/>
  <c r="I153" i="19"/>
  <c r="I173" i="19"/>
  <c r="I67" i="19"/>
  <c r="I149" i="19"/>
  <c r="I145" i="19"/>
  <c r="I141" i="19"/>
  <c r="I137" i="19"/>
  <c r="I133" i="19"/>
  <c r="I129" i="19"/>
  <c r="I125" i="19"/>
  <c r="I121" i="19"/>
  <c r="I117" i="19"/>
  <c r="I113" i="19"/>
  <c r="I109" i="19"/>
  <c r="I105" i="19"/>
  <c r="I101" i="19"/>
  <c r="I97" i="19"/>
  <c r="I93" i="19"/>
  <c r="I89" i="19"/>
  <c r="I85" i="19"/>
  <c r="I81" i="19"/>
  <c r="I77" i="19"/>
  <c r="I73" i="19"/>
  <c r="I69" i="19"/>
  <c r="I65" i="19"/>
  <c r="I61" i="19"/>
  <c r="I3" i="21"/>
  <c r="I151" i="19"/>
  <c r="I147" i="19"/>
  <c r="I143" i="19"/>
  <c r="I139" i="19"/>
  <c r="I135" i="19"/>
  <c r="I131" i="19"/>
  <c r="I127" i="19"/>
  <c r="I123" i="19"/>
  <c r="I119" i="19"/>
  <c r="I115" i="19"/>
  <c r="I111" i="19"/>
  <c r="I107" i="19"/>
  <c r="I103" i="19"/>
  <c r="I99" i="19"/>
  <c r="I95" i="19"/>
  <c r="I91" i="19"/>
  <c r="I87" i="19"/>
  <c r="I83" i="19"/>
  <c r="I79" i="19"/>
  <c r="I75" i="19"/>
  <c r="I71" i="19"/>
  <c r="I63" i="19"/>
  <c r="I59" i="19"/>
  <c r="N108" i="19"/>
  <c r="N109" i="19" s="1"/>
  <c r="N110" i="19" s="1"/>
  <c r="T10" i="19"/>
  <c r="T9" i="19"/>
  <c r="G47" i="1" l="1"/>
  <c r="K47" i="1"/>
  <c r="F48" i="1"/>
  <c r="E71" i="15"/>
  <c r="F141" i="4"/>
  <c r="K140" i="4"/>
  <c r="G140" i="4"/>
  <c r="K133" i="3"/>
  <c r="G133" i="3"/>
  <c r="F134" i="3"/>
  <c r="F128" i="24"/>
  <c r="E128" i="24" s="1"/>
  <c r="F29" i="16"/>
  <c r="F164" i="7"/>
  <c r="K163" i="7"/>
  <c r="G163" i="7"/>
  <c r="F65" i="17"/>
  <c r="H71" i="15"/>
  <c r="I71" i="15" s="1"/>
  <c r="K143" i="6"/>
  <c r="G143" i="6"/>
  <c r="F144" i="6"/>
  <c r="T11" i="19"/>
  <c r="N111" i="19"/>
  <c r="N112" i="19" s="1"/>
  <c r="N113" i="19" s="1"/>
  <c r="N114" i="19" s="1"/>
  <c r="N115" i="19" s="1"/>
  <c r="N116" i="19" s="1"/>
  <c r="N117" i="19" s="1"/>
  <c r="N118" i="19" s="1"/>
  <c r="N119" i="19" s="1"/>
  <c r="N120" i="19" s="1"/>
  <c r="N121" i="19" s="1"/>
  <c r="N122" i="19" s="1"/>
  <c r="N123" i="19" s="1"/>
  <c r="N124" i="19" s="1"/>
  <c r="N125" i="19" s="1"/>
  <c r="E5" i="6" l="1"/>
  <c r="F165" i="7"/>
  <c r="K164" i="7"/>
  <c r="G164" i="7"/>
  <c r="F30" i="16"/>
  <c r="G141" i="4"/>
  <c r="K141" i="4"/>
  <c r="F142" i="4"/>
  <c r="F66" i="17"/>
  <c r="K144" i="6"/>
  <c r="G144" i="6"/>
  <c r="C6" i="8"/>
  <c r="D6" i="8"/>
  <c r="K134" i="3"/>
  <c r="G134" i="3"/>
  <c r="F135" i="3"/>
  <c r="F129" i="24"/>
  <c r="E129" i="24" s="1"/>
  <c r="F49" i="1"/>
  <c r="K48" i="1"/>
  <c r="G48" i="1"/>
  <c r="E72" i="15"/>
  <c r="N126" i="19"/>
  <c r="N127" i="19" s="1"/>
  <c r="N128" i="19" s="1"/>
  <c r="N129" i="19" s="1"/>
  <c r="N130" i="19" s="1"/>
  <c r="T12" i="19"/>
  <c r="K49" i="1" l="1"/>
  <c r="F50" i="1"/>
  <c r="G49" i="1"/>
  <c r="E73" i="15"/>
  <c r="H73" i="15"/>
  <c r="I73" i="15" s="1"/>
  <c r="H72" i="15"/>
  <c r="F2" i="6"/>
  <c r="E2" i="6"/>
  <c r="L6" i="8" s="1"/>
  <c r="F136" i="3"/>
  <c r="G135" i="3"/>
  <c r="K135" i="3"/>
  <c r="F130" i="24"/>
  <c r="E130" i="24" s="1"/>
  <c r="F31" i="16"/>
  <c r="E1" i="6"/>
  <c r="F67" i="17"/>
  <c r="G142" i="4"/>
  <c r="K142" i="4"/>
  <c r="F143" i="4"/>
  <c r="F166" i="7"/>
  <c r="K165" i="7"/>
  <c r="G165" i="7"/>
  <c r="N131" i="19"/>
  <c r="N132" i="19" s="1"/>
  <c r="N133" i="19" s="1"/>
  <c r="T13" i="19"/>
  <c r="I144" i="6" l="1"/>
  <c r="F137" i="3"/>
  <c r="K136" i="3"/>
  <c r="G136" i="3"/>
  <c r="F131" i="24"/>
  <c r="E131" i="24" s="1"/>
  <c r="F68" i="17"/>
  <c r="I73" i="6"/>
  <c r="J94" i="6"/>
  <c r="I54" i="6"/>
  <c r="I21" i="6"/>
  <c r="J50" i="6"/>
  <c r="J70" i="6"/>
  <c r="I90" i="6"/>
  <c r="I115" i="6"/>
  <c r="J166" i="6"/>
  <c r="J240" i="6"/>
  <c r="J280" i="6"/>
  <c r="I121" i="6"/>
  <c r="J177" i="6"/>
  <c r="J217" i="6"/>
  <c r="J257" i="6"/>
  <c r="I116" i="6"/>
  <c r="J168" i="6"/>
  <c r="I30" i="6"/>
  <c r="I72" i="6"/>
  <c r="J93" i="6"/>
  <c r="I52" i="6"/>
  <c r="I20" i="6"/>
  <c r="J49" i="6"/>
  <c r="J69" i="6"/>
  <c r="I89" i="6"/>
  <c r="I114" i="6"/>
  <c r="J162" i="6"/>
  <c r="J236" i="6"/>
  <c r="J278" i="6"/>
  <c r="J120" i="6"/>
  <c r="J175" i="6"/>
  <c r="J215" i="6"/>
  <c r="J255" i="6"/>
  <c r="I113" i="6"/>
  <c r="J164" i="6"/>
  <c r="I32" i="6"/>
  <c r="F3" i="6"/>
  <c r="I76" i="6"/>
  <c r="J96" i="6"/>
  <c r="I23" i="6"/>
  <c r="J72" i="6"/>
  <c r="I120" i="6"/>
  <c r="J174" i="6"/>
  <c r="J284" i="6"/>
  <c r="I123" i="6"/>
  <c r="J181" i="6"/>
  <c r="J221" i="6"/>
  <c r="J261" i="6"/>
  <c r="J176" i="6"/>
  <c r="I36" i="6"/>
  <c r="J95" i="6"/>
  <c r="I56" i="6"/>
  <c r="J51" i="6"/>
  <c r="J71" i="6"/>
  <c r="I118" i="6"/>
  <c r="J242" i="6"/>
  <c r="J282" i="6"/>
  <c r="J142" i="6"/>
  <c r="J219" i="6"/>
  <c r="J259" i="6"/>
  <c r="J172" i="6"/>
  <c r="I38" i="6"/>
  <c r="I58" i="6"/>
  <c r="J52" i="6"/>
  <c r="I92" i="6"/>
  <c r="J244" i="6"/>
  <c r="J143" i="6"/>
  <c r="I119" i="6"/>
  <c r="I74" i="6"/>
  <c r="I22" i="6"/>
  <c r="I91" i="6"/>
  <c r="J170" i="6"/>
  <c r="I122" i="6"/>
  <c r="J179" i="6"/>
  <c r="I117" i="6"/>
  <c r="I57" i="6"/>
  <c r="J84" i="6"/>
  <c r="I9" i="6"/>
  <c r="I11" i="6"/>
  <c r="I37" i="6"/>
  <c r="J60" i="6"/>
  <c r="J80" i="6"/>
  <c r="I100" i="6"/>
  <c r="J135" i="6"/>
  <c r="J206" i="6"/>
  <c r="J260" i="6"/>
  <c r="J111" i="6"/>
  <c r="J131" i="6"/>
  <c r="J157" i="6"/>
  <c r="J197" i="6"/>
  <c r="J237" i="6"/>
  <c r="J277" i="6"/>
  <c r="J208" i="6"/>
  <c r="I55" i="6"/>
  <c r="J83" i="6"/>
  <c r="J103" i="6"/>
  <c r="I10" i="6"/>
  <c r="I35" i="6"/>
  <c r="J59" i="6"/>
  <c r="I45" i="6"/>
  <c r="J86" i="6"/>
  <c r="I50" i="6"/>
  <c r="I33" i="6"/>
  <c r="J66" i="6"/>
  <c r="I96" i="6"/>
  <c r="J248" i="6"/>
  <c r="J113" i="6"/>
  <c r="J193" i="6"/>
  <c r="J249" i="6"/>
  <c r="J128" i="6"/>
  <c r="J226" i="6"/>
  <c r="I77" i="6"/>
  <c r="I26" i="6"/>
  <c r="I18" i="6"/>
  <c r="J57" i="6"/>
  <c r="I83" i="6"/>
  <c r="I110" i="6"/>
  <c r="J186" i="6"/>
  <c r="J258" i="6"/>
  <c r="J114" i="6"/>
  <c r="J138" i="6"/>
  <c r="J187" i="6"/>
  <c r="J235" i="6"/>
  <c r="J283" i="6"/>
  <c r="J156" i="6"/>
  <c r="J54" i="6"/>
  <c r="J225" i="6"/>
  <c r="J89" i="6"/>
  <c r="J207" i="6"/>
  <c r="J58" i="6"/>
  <c r="J233" i="6"/>
  <c r="I12" i="6"/>
  <c r="J246" i="6"/>
  <c r="J154" i="6"/>
  <c r="I49" i="6"/>
  <c r="J88" i="6"/>
  <c r="I63" i="6"/>
  <c r="I41" i="6"/>
  <c r="J68" i="6"/>
  <c r="I98" i="6"/>
  <c r="J150" i="6"/>
  <c r="J252" i="6"/>
  <c r="J115" i="6"/>
  <c r="J145" i="6"/>
  <c r="J201" i="6"/>
  <c r="J253" i="6"/>
  <c r="I131" i="6"/>
  <c r="J238" i="6"/>
  <c r="I79" i="6"/>
  <c r="I34" i="6"/>
  <c r="I24" i="6"/>
  <c r="J61" i="6"/>
  <c r="I85" i="6"/>
  <c r="J122" i="6"/>
  <c r="J192" i="6"/>
  <c r="J262" i="6"/>
  <c r="J116" i="6"/>
  <c r="J144" i="6"/>
  <c r="J191" i="6"/>
  <c r="J239" i="6"/>
  <c r="I105" i="6"/>
  <c r="J180" i="6"/>
  <c r="I53" i="6"/>
  <c r="J90" i="6"/>
  <c r="I67" i="6"/>
  <c r="J44" i="6"/>
  <c r="J74" i="6"/>
  <c r="I102" i="6"/>
  <c r="J158" i="6"/>
  <c r="J256" i="6"/>
  <c r="J117" i="6"/>
  <c r="J149" i="6"/>
  <c r="J205" i="6"/>
  <c r="J265" i="6"/>
  <c r="J139" i="6"/>
  <c r="F4" i="6"/>
  <c r="I81" i="6"/>
  <c r="I44" i="6"/>
  <c r="I27" i="6"/>
  <c r="J63" i="6"/>
  <c r="I87" i="6"/>
  <c r="I126" i="6"/>
  <c r="J202" i="6"/>
  <c r="J266" i="6"/>
  <c r="J118" i="6"/>
  <c r="J147" i="6"/>
  <c r="J195" i="6"/>
  <c r="J243" i="6"/>
  <c r="I109" i="6"/>
  <c r="J190" i="6"/>
  <c r="J92" i="6"/>
  <c r="J46" i="6"/>
  <c r="J182" i="6"/>
  <c r="J119" i="6"/>
  <c r="J269" i="6"/>
  <c r="I42" i="6"/>
  <c r="I31" i="6"/>
  <c r="I93" i="6"/>
  <c r="J210" i="6"/>
  <c r="J151" i="6"/>
  <c r="J121" i="6"/>
  <c r="J78" i="6"/>
  <c r="J161" i="6"/>
  <c r="I46" i="6"/>
  <c r="I39" i="6"/>
  <c r="I95" i="6"/>
  <c r="J126" i="6"/>
  <c r="J203" i="6"/>
  <c r="I125" i="6"/>
  <c r="J272" i="6"/>
  <c r="I51" i="6"/>
  <c r="J224" i="6"/>
  <c r="J212" i="6"/>
  <c r="I19" i="6"/>
  <c r="J173" i="6"/>
  <c r="J77" i="6"/>
  <c r="J167" i="6"/>
  <c r="J76" i="6"/>
  <c r="J264" i="6"/>
  <c r="J153" i="6"/>
  <c r="J85" i="6"/>
  <c r="J65" i="6"/>
  <c r="J129" i="6"/>
  <c r="J270" i="6"/>
  <c r="J199" i="6"/>
  <c r="J247" i="6"/>
  <c r="J196" i="6"/>
  <c r="I65" i="6"/>
  <c r="J98" i="6"/>
  <c r="J48" i="6"/>
  <c r="I108" i="6"/>
  <c r="J268" i="6"/>
  <c r="J213" i="6"/>
  <c r="J273" i="6"/>
  <c r="I60" i="6"/>
  <c r="J67" i="6"/>
  <c r="J133" i="6"/>
  <c r="J155" i="6"/>
  <c r="J251" i="6"/>
  <c r="J204" i="6"/>
  <c r="J165" i="6"/>
  <c r="I43" i="6"/>
  <c r="J104" i="6"/>
  <c r="J159" i="6"/>
  <c r="J222" i="6"/>
  <c r="J194" i="6"/>
  <c r="I101" i="6"/>
  <c r="J271" i="6"/>
  <c r="I25" i="6"/>
  <c r="I66" i="6"/>
  <c r="J110" i="6"/>
  <c r="J141" i="6"/>
  <c r="I61" i="6"/>
  <c r="I75" i="6"/>
  <c r="I104" i="6"/>
  <c r="J209" i="6"/>
  <c r="I48" i="6"/>
  <c r="J124" i="6"/>
  <c r="I13" i="6"/>
  <c r="J125" i="6"/>
  <c r="J87" i="6"/>
  <c r="J274" i="6"/>
  <c r="J100" i="6"/>
  <c r="I112" i="6"/>
  <c r="J281" i="6"/>
  <c r="I97" i="6"/>
  <c r="I130" i="6"/>
  <c r="J127" i="6"/>
  <c r="J97" i="6"/>
  <c r="J108" i="6"/>
  <c r="I80" i="6"/>
  <c r="I132" i="6"/>
  <c r="I111" i="6"/>
  <c r="J79" i="6"/>
  <c r="J275" i="6"/>
  <c r="J188" i="6"/>
  <c r="J152" i="6"/>
  <c r="J218" i="6"/>
  <c r="I15" i="6"/>
  <c r="I82" i="6"/>
  <c r="I127" i="6"/>
  <c r="J160" i="6"/>
  <c r="J73" i="6"/>
  <c r="J263" i="6"/>
  <c r="I28" i="6"/>
  <c r="I86" i="6"/>
  <c r="J105" i="6"/>
  <c r="I107" i="6"/>
  <c r="J47" i="6"/>
  <c r="J132" i="6"/>
  <c r="J230" i="6"/>
  <c r="J228" i="6"/>
  <c r="J200" i="6"/>
  <c r="I103" i="6"/>
  <c r="I69" i="6"/>
  <c r="J198" i="6"/>
  <c r="I64" i="6"/>
  <c r="I128" i="6"/>
  <c r="I62" i="6"/>
  <c r="J223" i="6"/>
  <c r="J62" i="6"/>
  <c r="J241" i="6"/>
  <c r="J53" i="6"/>
  <c r="J227" i="6"/>
  <c r="I71" i="6"/>
  <c r="J102" i="6"/>
  <c r="I17" i="6"/>
  <c r="J56" i="6"/>
  <c r="I84" i="6"/>
  <c r="J123" i="6"/>
  <c r="J214" i="6"/>
  <c r="J276" i="6"/>
  <c r="I129" i="6"/>
  <c r="J169" i="6"/>
  <c r="J229" i="6"/>
  <c r="J285" i="6"/>
  <c r="J184" i="6"/>
  <c r="I59" i="6"/>
  <c r="J91" i="6"/>
  <c r="I68" i="6"/>
  <c r="J45" i="6"/>
  <c r="J75" i="6"/>
  <c r="I99" i="6"/>
  <c r="J232" i="6"/>
  <c r="J106" i="6"/>
  <c r="J130" i="6"/>
  <c r="J163" i="6"/>
  <c r="J211" i="6"/>
  <c r="J267" i="6"/>
  <c r="J134" i="6"/>
  <c r="J220" i="6"/>
  <c r="I78" i="6"/>
  <c r="J146" i="6"/>
  <c r="I88" i="6"/>
  <c r="J185" i="6"/>
  <c r="I14" i="6"/>
  <c r="J171" i="6"/>
  <c r="J82" i="6"/>
  <c r="I47" i="6"/>
  <c r="I29" i="6"/>
  <c r="J64" i="6"/>
  <c r="I94" i="6"/>
  <c r="J140" i="6"/>
  <c r="J234" i="6"/>
  <c r="J109" i="6"/>
  <c r="J137" i="6"/>
  <c r="J189" i="6"/>
  <c r="J245" i="6"/>
  <c r="I124" i="6"/>
  <c r="J216" i="6"/>
  <c r="I70" i="6"/>
  <c r="J101" i="6"/>
  <c r="I16" i="6"/>
  <c r="J55" i="6"/>
  <c r="J81" i="6"/>
  <c r="I106" i="6"/>
  <c r="J178" i="6"/>
  <c r="J254" i="6"/>
  <c r="J112" i="6"/>
  <c r="J136" i="6"/>
  <c r="J183" i="6"/>
  <c r="J231" i="6"/>
  <c r="J279" i="6"/>
  <c r="J148" i="6"/>
  <c r="I40" i="6"/>
  <c r="J107" i="6"/>
  <c r="J99" i="6"/>
  <c r="J250" i="6"/>
  <c r="J43" i="6"/>
  <c r="I133" i="6"/>
  <c r="I134" i="6"/>
  <c r="I135" i="6"/>
  <c r="I136" i="6"/>
  <c r="I137" i="6"/>
  <c r="I138" i="6"/>
  <c r="I139" i="6"/>
  <c r="I140" i="6"/>
  <c r="I141" i="6"/>
  <c r="I142" i="6"/>
  <c r="I143" i="6"/>
  <c r="F167" i="7"/>
  <c r="K166" i="7"/>
  <c r="O22" i="7"/>
  <c r="G166" i="7"/>
  <c r="I72" i="15"/>
  <c r="F51" i="1"/>
  <c r="K50" i="1"/>
  <c r="G50" i="1"/>
  <c r="E74" i="15"/>
  <c r="F144" i="4"/>
  <c r="K143" i="4"/>
  <c r="G143" i="4"/>
  <c r="F32" i="16"/>
  <c r="N134" i="19"/>
  <c r="T14" i="19"/>
  <c r="K167" i="7" l="1"/>
  <c r="F168" i="7"/>
  <c r="G167" i="7"/>
  <c r="F138" i="3"/>
  <c r="K137" i="3"/>
  <c r="G137" i="3"/>
  <c r="F132" i="24"/>
  <c r="F52" i="1"/>
  <c r="K51" i="1"/>
  <c r="G51" i="1"/>
  <c r="E75" i="15"/>
  <c r="F33" i="16"/>
  <c r="H74" i="15"/>
  <c r="F69" i="17"/>
  <c r="O15" i="17"/>
  <c r="K144" i="4"/>
  <c r="G144" i="4"/>
  <c r="F145" i="4"/>
  <c r="N135" i="19"/>
  <c r="N136" i="19" s="1"/>
  <c r="N137" i="19" s="1"/>
  <c r="N138" i="19" s="1"/>
  <c r="T15" i="19"/>
  <c r="H75" i="15" l="1"/>
  <c r="I75" i="15" s="1"/>
  <c r="F70" i="17"/>
  <c r="I74" i="15"/>
  <c r="E132" i="24"/>
  <c r="L4" i="24"/>
  <c r="F146" i="4"/>
  <c r="G145" i="4"/>
  <c r="K145" i="4"/>
  <c r="F34" i="16"/>
  <c r="F53" i="1"/>
  <c r="K52" i="1"/>
  <c r="G52" i="1"/>
  <c r="E76" i="15"/>
  <c r="G138" i="3"/>
  <c r="F139" i="3"/>
  <c r="K138" i="3"/>
  <c r="F133" i="24"/>
  <c r="E133" i="24" s="1"/>
  <c r="O23" i="7"/>
  <c r="F169" i="7"/>
  <c r="K168" i="7"/>
  <c r="G168" i="7"/>
  <c r="T16" i="19"/>
  <c r="N139" i="19"/>
  <c r="N140" i="19" s="1"/>
  <c r="N141" i="19" s="1"/>
  <c r="K139" i="3" l="1"/>
  <c r="F140" i="3"/>
  <c r="G139" i="3"/>
  <c r="F134" i="24"/>
  <c r="E134" i="24" s="1"/>
  <c r="G146" i="4"/>
  <c r="F147" i="4"/>
  <c r="K146" i="4"/>
  <c r="H77" i="15"/>
  <c r="H76" i="15"/>
  <c r="I76" i="15" s="1"/>
  <c r="F71" i="17"/>
  <c r="F170" i="7"/>
  <c r="K169" i="7"/>
  <c r="G169" i="7"/>
  <c r="F35" i="16"/>
  <c r="O11" i="16"/>
  <c r="G53" i="1"/>
  <c r="F54" i="1"/>
  <c r="K53" i="1"/>
  <c r="E77" i="15"/>
  <c r="N142" i="19"/>
  <c r="N143" i="19" s="1"/>
  <c r="N144" i="19" s="1"/>
  <c r="N145" i="19" s="1"/>
  <c r="N146" i="19" s="1"/>
  <c r="T17" i="19"/>
  <c r="E78" i="15" l="1"/>
  <c r="H78" i="15" s="1"/>
  <c r="I78" i="15" s="1"/>
  <c r="F55" i="1"/>
  <c r="K54" i="1"/>
  <c r="G54" i="1"/>
  <c r="O13" i="1"/>
  <c r="K147" i="4"/>
  <c r="G147" i="4"/>
  <c r="F148" i="4"/>
  <c r="F36" i="16"/>
  <c r="G140" i="3"/>
  <c r="F141" i="3"/>
  <c r="K140" i="3"/>
  <c r="F135" i="24"/>
  <c r="E135" i="24" s="1"/>
  <c r="K170" i="7"/>
  <c r="F171" i="7"/>
  <c r="O24" i="7"/>
  <c r="G170" i="7"/>
  <c r="I77" i="15"/>
  <c r="F72" i="17"/>
  <c r="T18" i="19"/>
  <c r="N147" i="19"/>
  <c r="N148" i="19" s="1"/>
  <c r="N149" i="19" s="1"/>
  <c r="N150" i="19" s="1"/>
  <c r="N151" i="19" s="1"/>
  <c r="N152" i="19" s="1"/>
  <c r="N153" i="19" s="1"/>
  <c r="K141" i="3" l="1"/>
  <c r="F142" i="3"/>
  <c r="G141" i="3"/>
  <c r="F136" i="24"/>
  <c r="E136" i="24" s="1"/>
  <c r="G3" i="8"/>
  <c r="I3" i="8"/>
  <c r="F37" i="16"/>
  <c r="K55" i="1"/>
  <c r="F56" i="1"/>
  <c r="G55" i="1"/>
  <c r="E79" i="15"/>
  <c r="H79" i="15" s="1"/>
  <c r="I79" i="15" s="1"/>
  <c r="K171" i="7"/>
  <c r="F172" i="7"/>
  <c r="G171" i="7"/>
  <c r="G148" i="4"/>
  <c r="F149" i="4"/>
  <c r="K148" i="4"/>
  <c r="F73" i="17"/>
  <c r="O16" i="17"/>
  <c r="N154" i="19"/>
  <c r="N155" i="19" s="1"/>
  <c r="N156" i="19" s="1"/>
  <c r="N157" i="19" s="1"/>
  <c r="N158" i="19" s="1"/>
  <c r="N159" i="19" s="1"/>
  <c r="T19" i="19"/>
  <c r="O25" i="7" l="1"/>
  <c r="F173" i="7"/>
  <c r="K172" i="7"/>
  <c r="G172" i="7"/>
  <c r="G56" i="1"/>
  <c r="F57" i="1"/>
  <c r="K56" i="1"/>
  <c r="E80" i="15"/>
  <c r="K149" i="4"/>
  <c r="G149" i="4"/>
  <c r="F150" i="4"/>
  <c r="F38" i="16"/>
  <c r="K142" i="3"/>
  <c r="F143" i="3"/>
  <c r="G142" i="3"/>
  <c r="F137" i="24"/>
  <c r="E137" i="24" s="1"/>
  <c r="F74" i="17"/>
  <c r="H80" i="15"/>
  <c r="I80" i="15" s="1"/>
  <c r="N160" i="19"/>
  <c r="N161" i="19" s="1"/>
  <c r="N162" i="19" s="1"/>
  <c r="N163" i="19" s="1"/>
  <c r="N164" i="19" s="1"/>
  <c r="T20" i="19"/>
  <c r="F39" i="16" l="1"/>
  <c r="G57" i="1"/>
  <c r="K57" i="1"/>
  <c r="F58" i="1"/>
  <c r="E81" i="15"/>
  <c r="H81" i="15" s="1"/>
  <c r="I81" i="15" s="1"/>
  <c r="F75" i="17"/>
  <c r="O17" i="17"/>
  <c r="G150" i="4"/>
  <c r="F151" i="4"/>
  <c r="K150" i="4"/>
  <c r="G143" i="3"/>
  <c r="K143" i="3"/>
  <c r="F144" i="3"/>
  <c r="F138" i="24"/>
  <c r="E138" i="24" s="1"/>
  <c r="F174" i="7"/>
  <c r="K173" i="7"/>
  <c r="G173" i="7"/>
  <c r="N165" i="19"/>
  <c r="N166" i="19" s="1"/>
  <c r="N167" i="19" s="1"/>
  <c r="T21" i="19"/>
  <c r="F175" i="7" l="1"/>
  <c r="K174" i="7"/>
  <c r="O26" i="7"/>
  <c r="G174" i="7"/>
  <c r="F76" i="17"/>
  <c r="F59" i="1"/>
  <c r="K58" i="1"/>
  <c r="G58" i="1"/>
  <c r="E82" i="15"/>
  <c r="K151" i="4"/>
  <c r="F152" i="4"/>
  <c r="G151" i="4"/>
  <c r="P5" i="8"/>
  <c r="K144" i="3"/>
  <c r="G144" i="3"/>
  <c r="F145" i="3"/>
  <c r="F139" i="24"/>
  <c r="F40" i="16"/>
  <c r="H82" i="15"/>
  <c r="I82" i="15" s="1"/>
  <c r="N168" i="19"/>
  <c r="N169" i="19" s="1"/>
  <c r="N170" i="19" s="1"/>
  <c r="T22" i="19"/>
  <c r="G152" i="4" l="1"/>
  <c r="F153" i="4"/>
  <c r="K152" i="4"/>
  <c r="E139" i="24"/>
  <c r="L5" i="24"/>
  <c r="K175" i="7"/>
  <c r="F176" i="7"/>
  <c r="G175" i="7"/>
  <c r="F41" i="16"/>
  <c r="F146" i="3"/>
  <c r="K145" i="3"/>
  <c r="G145" i="3"/>
  <c r="F140" i="24"/>
  <c r="K59" i="1"/>
  <c r="G59" i="1"/>
  <c r="F60" i="1"/>
  <c r="E83" i="15"/>
  <c r="F77" i="17"/>
  <c r="T23" i="19"/>
  <c r="N171" i="19"/>
  <c r="N172" i="19" s="1"/>
  <c r="N173" i="19" s="1"/>
  <c r="K176" i="7" l="1"/>
  <c r="F177" i="7"/>
  <c r="G176" i="7"/>
  <c r="F147" i="3"/>
  <c r="K146" i="3"/>
  <c r="G146" i="3"/>
  <c r="F141" i="24"/>
  <c r="E141" i="24" s="1"/>
  <c r="K153" i="4"/>
  <c r="F154" i="4"/>
  <c r="G153" i="4"/>
  <c r="F78" i="17"/>
  <c r="H83" i="15"/>
  <c r="I83" i="15" s="1"/>
  <c r="F42" i="16"/>
  <c r="E84" i="15"/>
  <c r="F61" i="1"/>
  <c r="K60" i="1"/>
  <c r="G60" i="1"/>
  <c r="E140" i="24"/>
  <c r="L6" i="24"/>
  <c r="N174" i="19"/>
  <c r="N175" i="19" s="1"/>
  <c r="N176" i="19" s="1"/>
  <c r="T24" i="19"/>
  <c r="F148" i="3" l="1"/>
  <c r="K147" i="3"/>
  <c r="G147" i="3"/>
  <c r="F142" i="24"/>
  <c r="E142" i="24" s="1"/>
  <c r="E85" i="15"/>
  <c r="F62" i="1"/>
  <c r="K61" i="1"/>
  <c r="G61" i="1"/>
  <c r="F178" i="7"/>
  <c r="K177" i="7"/>
  <c r="G177" i="7"/>
  <c r="H85" i="15"/>
  <c r="I85" i="15" s="1"/>
  <c r="F43" i="16"/>
  <c r="K154" i="4"/>
  <c r="G154" i="4"/>
  <c r="F155" i="4"/>
  <c r="H84" i="15"/>
  <c r="I84" i="15" s="1"/>
  <c r="F79" i="17"/>
  <c r="N177" i="19"/>
  <c r="N178" i="19" s="1"/>
  <c r="N179" i="19" s="1"/>
  <c r="T25" i="19"/>
  <c r="F80" i="17" l="1"/>
  <c r="E86" i="15"/>
  <c r="K62" i="1"/>
  <c r="F63" i="1"/>
  <c r="G62" i="1"/>
  <c r="O27" i="7"/>
  <c r="K178" i="7"/>
  <c r="F179" i="7"/>
  <c r="G178" i="7"/>
  <c r="F149" i="3"/>
  <c r="K148" i="3"/>
  <c r="G148" i="3"/>
  <c r="F143" i="24"/>
  <c r="E143" i="24" s="1"/>
  <c r="H86" i="15"/>
  <c r="I86" i="15" s="1"/>
  <c r="F156" i="4"/>
  <c r="K155" i="4"/>
  <c r="G155" i="4"/>
  <c r="F44" i="16"/>
  <c r="N180" i="19"/>
  <c r="N181" i="19" s="1"/>
  <c r="N182" i="19" s="1"/>
  <c r="T26" i="19"/>
  <c r="F180" i="7" l="1"/>
  <c r="K179" i="7"/>
  <c r="G179" i="7"/>
  <c r="E87" i="15"/>
  <c r="K63" i="1"/>
  <c r="F64" i="1"/>
  <c r="G63" i="1"/>
  <c r="K156" i="4"/>
  <c r="F157" i="4"/>
  <c r="G156" i="4"/>
  <c r="F45" i="16"/>
  <c r="F150" i="3"/>
  <c r="K149" i="3"/>
  <c r="G149" i="3"/>
  <c r="F144" i="24"/>
  <c r="E144" i="24" s="1"/>
  <c r="F81" i="17"/>
  <c r="O18" i="17"/>
  <c r="N183" i="19"/>
  <c r="N184" i="19" s="1"/>
  <c r="N185" i="19" s="1"/>
  <c r="T27" i="19"/>
  <c r="H87" i="15" l="1"/>
  <c r="I87" i="15" s="1"/>
  <c r="F46" i="16"/>
  <c r="F181" i="7"/>
  <c r="K180" i="7"/>
  <c r="O28" i="7"/>
  <c r="G180" i="7"/>
  <c r="E88" i="15"/>
  <c r="K64" i="1"/>
  <c r="G64" i="1"/>
  <c r="F65" i="1"/>
  <c r="F82" i="17"/>
  <c r="F158" i="4"/>
  <c r="K157" i="4"/>
  <c r="G157" i="4"/>
  <c r="G150" i="3"/>
  <c r="F151" i="3"/>
  <c r="K150" i="3"/>
  <c r="F145" i="24"/>
  <c r="E145" i="24" s="1"/>
  <c r="N186" i="19"/>
  <c r="N187" i="19" s="1"/>
  <c r="N188" i="19" s="1"/>
  <c r="T28" i="19"/>
  <c r="F3" i="21" l="1"/>
  <c r="G3" i="21" s="1"/>
  <c r="F182" i="7"/>
  <c r="K181" i="7"/>
  <c r="G181" i="7"/>
  <c r="N189" i="19"/>
  <c r="T29" i="19"/>
  <c r="F159" i="4"/>
  <c r="K158" i="4"/>
  <c r="G158" i="4"/>
  <c r="F47" i="16"/>
  <c r="F83" i="17"/>
  <c r="E89" i="15"/>
  <c r="K65" i="1"/>
  <c r="F66" i="1"/>
  <c r="G65" i="1"/>
  <c r="H88" i="15"/>
  <c r="I88" i="15" s="1"/>
  <c r="K151" i="3"/>
  <c r="G151" i="3"/>
  <c r="F152" i="3"/>
  <c r="F146" i="24"/>
  <c r="E146" i="24" s="1"/>
  <c r="F48" i="16" l="1"/>
  <c r="G159" i="4"/>
  <c r="F160" i="4"/>
  <c r="K159" i="4"/>
  <c r="E90" i="15"/>
  <c r="K66" i="1"/>
  <c r="F67" i="1"/>
  <c r="G66" i="1"/>
  <c r="H89" i="15"/>
  <c r="I89" i="15" s="1"/>
  <c r="F183" i="7"/>
  <c r="K182" i="7"/>
  <c r="G182" i="7"/>
  <c r="K152" i="3"/>
  <c r="G152" i="3"/>
  <c r="F153" i="3"/>
  <c r="F147" i="24"/>
  <c r="E147" i="24" s="1"/>
  <c r="F84" i="17"/>
  <c r="K153" i="3" l="1"/>
  <c r="F154" i="3"/>
  <c r="G153" i="3"/>
  <c r="O10" i="3"/>
  <c r="F148" i="24"/>
  <c r="E148" i="24" s="1"/>
  <c r="H91" i="15"/>
  <c r="I91" i="15" s="1"/>
  <c r="F184" i="7"/>
  <c r="K183" i="7"/>
  <c r="G183" i="7"/>
  <c r="F85" i="17"/>
  <c r="F49" i="16"/>
  <c r="F161" i="4"/>
  <c r="K160" i="4"/>
  <c r="G160" i="4"/>
  <c r="H90" i="15"/>
  <c r="I90" i="15" s="1"/>
  <c r="E91" i="15"/>
  <c r="F68" i="1"/>
  <c r="K67" i="1"/>
  <c r="G67" i="1"/>
  <c r="F155" i="3" l="1"/>
  <c r="K154" i="3"/>
  <c r="G154" i="3"/>
  <c r="F149" i="24"/>
  <c r="E149" i="24" s="1"/>
  <c r="E92" i="15"/>
  <c r="F69" i="1"/>
  <c r="K68" i="1"/>
  <c r="G68" i="1"/>
  <c r="G184" i="7"/>
  <c r="F185" i="7"/>
  <c r="K184" i="7"/>
  <c r="F86" i="17"/>
  <c r="K161" i="4"/>
  <c r="G161" i="4"/>
  <c r="F162" i="4"/>
  <c r="F50" i="16"/>
  <c r="E93" i="15" l="1"/>
  <c r="H93" i="15" s="1"/>
  <c r="I93" i="15" s="1"/>
  <c r="K69" i="1"/>
  <c r="F70" i="1"/>
  <c r="G69" i="1"/>
  <c r="G155" i="3"/>
  <c r="F156" i="3"/>
  <c r="K155" i="3"/>
  <c r="F150" i="24"/>
  <c r="G185" i="7"/>
  <c r="F186" i="7"/>
  <c r="K185" i="7"/>
  <c r="K162" i="4"/>
  <c r="G162" i="4"/>
  <c r="F163" i="4"/>
  <c r="F51" i="16"/>
  <c r="H92" i="15"/>
  <c r="I92" i="15" s="1"/>
  <c r="F87" i="17"/>
  <c r="F88" i="17" l="1"/>
  <c r="F164" i="4"/>
  <c r="K163" i="4"/>
  <c r="G163" i="4"/>
  <c r="F187" i="7"/>
  <c r="K186" i="7"/>
  <c r="O29" i="7"/>
  <c r="G186" i="7"/>
  <c r="F157" i="3"/>
  <c r="K156" i="3"/>
  <c r="G156" i="3"/>
  <c r="F151" i="24"/>
  <c r="E151" i="24" s="1"/>
  <c r="F52" i="16"/>
  <c r="E94" i="15"/>
  <c r="K70" i="1"/>
  <c r="F71" i="1"/>
  <c r="G70" i="1"/>
  <c r="L7" i="24"/>
  <c r="E150" i="24"/>
  <c r="F158" i="3" l="1"/>
  <c r="K157" i="3"/>
  <c r="G157" i="3"/>
  <c r="F152" i="24"/>
  <c r="E152" i="24" s="1"/>
  <c r="H94" i="15"/>
  <c r="I94" i="15" s="1"/>
  <c r="F89" i="17"/>
  <c r="O19" i="17"/>
  <c r="E95" i="15"/>
  <c r="H95" i="15" s="1"/>
  <c r="I95" i="15" s="1"/>
  <c r="F72" i="1"/>
  <c r="K71" i="1"/>
  <c r="G71" i="1"/>
  <c r="K164" i="4"/>
  <c r="G164" i="4"/>
  <c r="F165" i="4"/>
  <c r="F53" i="16"/>
  <c r="K187" i="7"/>
  <c r="G187" i="7"/>
  <c r="F188" i="7"/>
  <c r="K188" i="7" l="1"/>
  <c r="F189" i="7"/>
  <c r="G188" i="7"/>
  <c r="E96" i="15"/>
  <c r="K72" i="1"/>
  <c r="F73" i="1"/>
  <c r="G72" i="1"/>
  <c r="F90" i="17"/>
  <c r="F54" i="16"/>
  <c r="F159" i="3"/>
  <c r="K158" i="3"/>
  <c r="G158" i="3"/>
  <c r="F153" i="24"/>
  <c r="K165" i="4"/>
  <c r="G165" i="4"/>
  <c r="F166" i="4"/>
  <c r="G166" i="4" l="1"/>
  <c r="F167" i="4"/>
  <c r="K166" i="4"/>
  <c r="E153" i="24"/>
  <c r="L8" i="24"/>
  <c r="F55" i="16"/>
  <c r="F91" i="17"/>
  <c r="F190" i="7"/>
  <c r="K189" i="7"/>
  <c r="G189" i="7"/>
  <c r="F160" i="3"/>
  <c r="K159" i="3"/>
  <c r="G159" i="3"/>
  <c r="F154" i="24"/>
  <c r="E154" i="24" s="1"/>
  <c r="E97" i="15"/>
  <c r="H97" i="15" s="1"/>
  <c r="I97" i="15" s="1"/>
  <c r="F74" i="1"/>
  <c r="K73" i="1"/>
  <c r="G73" i="1"/>
  <c r="H96" i="15"/>
  <c r="I96" i="15" s="1"/>
  <c r="F56" i="16" l="1"/>
  <c r="K74" i="1"/>
  <c r="F75" i="1"/>
  <c r="G74" i="1"/>
  <c r="K190" i="7"/>
  <c r="G190" i="7"/>
  <c r="F191" i="7"/>
  <c r="F92" i="17"/>
  <c r="G167" i="4"/>
  <c r="K167" i="4"/>
  <c r="F168" i="4"/>
  <c r="K160" i="3"/>
  <c r="G160" i="3"/>
  <c r="F161" i="3"/>
  <c r="F155" i="24"/>
  <c r="E155" i="24" s="1"/>
  <c r="G191" i="7" l="1"/>
  <c r="F192" i="7"/>
  <c r="K191" i="7"/>
  <c r="K161" i="3"/>
  <c r="G161" i="3"/>
  <c r="F162" i="3"/>
  <c r="F156" i="24"/>
  <c r="F57" i="16"/>
  <c r="G168" i="4"/>
  <c r="K168" i="4"/>
  <c r="F169" i="4"/>
  <c r="F93" i="17"/>
  <c r="F76" i="1"/>
  <c r="K75" i="1"/>
  <c r="G75" i="1"/>
  <c r="F94" i="17" l="1"/>
  <c r="F170" i="4"/>
  <c r="K169" i="4"/>
  <c r="G169" i="4"/>
  <c r="F163" i="3"/>
  <c r="G162" i="3"/>
  <c r="K162" i="3"/>
  <c r="F157" i="24"/>
  <c r="E157" i="24" s="1"/>
  <c r="E156" i="24"/>
  <c r="L9" i="24"/>
  <c r="F77" i="1"/>
  <c r="K76" i="1"/>
  <c r="G76" i="1"/>
  <c r="F193" i="7"/>
  <c r="K192" i="7"/>
  <c r="G192" i="7"/>
  <c r="O30" i="7"/>
  <c r="F58" i="16"/>
  <c r="F194" i="7" l="1"/>
  <c r="K193" i="7"/>
  <c r="G193" i="7"/>
  <c r="F95" i="17"/>
  <c r="O20" i="17"/>
  <c r="K170" i="4"/>
  <c r="F171" i="4"/>
  <c r="G170" i="4"/>
  <c r="F59" i="16"/>
  <c r="F164" i="3"/>
  <c r="K163" i="3"/>
  <c r="G163" i="3"/>
  <c r="F158" i="24"/>
  <c r="K77" i="1"/>
  <c r="F78" i="1"/>
  <c r="G77" i="1"/>
  <c r="F172" i="4" l="1"/>
  <c r="G171" i="4"/>
  <c r="K171" i="4"/>
  <c r="K78" i="1"/>
  <c r="F79" i="1"/>
  <c r="G78" i="1"/>
  <c r="F60" i="16"/>
  <c r="E158" i="24"/>
  <c r="L10" i="24"/>
  <c r="G194" i="7"/>
  <c r="K194" i="7"/>
  <c r="F195" i="7"/>
  <c r="F96" i="17"/>
  <c r="F165" i="3"/>
  <c r="K164" i="3"/>
  <c r="G164" i="3"/>
  <c r="F159" i="24"/>
  <c r="E159" i="24" s="1"/>
  <c r="F97" i="17" l="1"/>
  <c r="F166" i="3"/>
  <c r="K165" i="3"/>
  <c r="G165" i="3"/>
  <c r="F160" i="24"/>
  <c r="F196" i="7"/>
  <c r="K195" i="7"/>
  <c r="G195" i="7"/>
  <c r="F61" i="16"/>
  <c r="G172" i="4"/>
  <c r="F173" i="4"/>
  <c r="K172" i="4"/>
  <c r="K79" i="1"/>
  <c r="F80" i="1"/>
  <c r="G79" i="1"/>
  <c r="F197" i="7" l="1"/>
  <c r="K196" i="7"/>
  <c r="G196" i="7"/>
  <c r="F81" i="1"/>
  <c r="K80" i="1"/>
  <c r="G80" i="1"/>
  <c r="L11" i="24"/>
  <c r="E160" i="24"/>
  <c r="K173" i="4"/>
  <c r="F174" i="4"/>
  <c r="G173" i="4"/>
  <c r="F167" i="3"/>
  <c r="K166" i="3"/>
  <c r="G166" i="3"/>
  <c r="F161" i="24"/>
  <c r="E161" i="24" s="1"/>
  <c r="F62" i="16"/>
  <c r="F98" i="17"/>
  <c r="F175" i="4" l="1"/>
  <c r="G174" i="4"/>
  <c r="K174" i="4"/>
  <c r="K197" i="7"/>
  <c r="G197" i="7"/>
  <c r="F198" i="7"/>
  <c r="F82" i="1"/>
  <c r="K81" i="1"/>
  <c r="G81" i="1"/>
  <c r="F99" i="17"/>
  <c r="F63" i="16"/>
  <c r="F168" i="3"/>
  <c r="G167" i="3"/>
  <c r="K167" i="3"/>
  <c r="F162" i="24"/>
  <c r="E162" i="24" s="1"/>
  <c r="G175" i="4" l="1"/>
  <c r="F176" i="4"/>
  <c r="K175" i="4"/>
  <c r="F100" i="17"/>
  <c r="K168" i="3"/>
  <c r="G168" i="3"/>
  <c r="F169" i="3"/>
  <c r="F163" i="24"/>
  <c r="E163" i="24" s="1"/>
  <c r="F83" i="1"/>
  <c r="K82" i="1"/>
  <c r="G82" i="1"/>
  <c r="O31" i="7"/>
  <c r="G198" i="7"/>
  <c r="F199" i="7"/>
  <c r="K198" i="7"/>
  <c r="F64" i="16"/>
  <c r="F101" i="17" l="1"/>
  <c r="K83" i="1"/>
  <c r="F84" i="1"/>
  <c r="G83" i="1"/>
  <c r="F65" i="16"/>
  <c r="F170" i="3"/>
  <c r="K169" i="3"/>
  <c r="G169" i="3"/>
  <c r="F164" i="24"/>
  <c r="F200" i="7"/>
  <c r="K199" i="7"/>
  <c r="G199" i="7"/>
  <c r="F177" i="4"/>
  <c r="K176" i="4"/>
  <c r="G176" i="4"/>
  <c r="F178" i="4" l="1"/>
  <c r="G177" i="4"/>
  <c r="K177" i="4"/>
  <c r="F102" i="17"/>
  <c r="F66" i="16"/>
  <c r="F171" i="3"/>
  <c r="G170" i="3"/>
  <c r="K170" i="3"/>
  <c r="F165" i="24"/>
  <c r="E165" i="24" s="1"/>
  <c r="E164" i="24"/>
  <c r="L12" i="24"/>
  <c r="K200" i="7"/>
  <c r="G200" i="7"/>
  <c r="F201" i="7"/>
  <c r="F85" i="1"/>
  <c r="K84" i="1"/>
  <c r="G84" i="1"/>
  <c r="G171" i="3" l="1"/>
  <c r="K171" i="3"/>
  <c r="F172" i="3"/>
  <c r="F166" i="24"/>
  <c r="E166" i="24" s="1"/>
  <c r="F202" i="7"/>
  <c r="K201" i="7"/>
  <c r="G201" i="7"/>
  <c r="K85" i="1"/>
  <c r="F86" i="1"/>
  <c r="G85" i="1"/>
  <c r="F67" i="16"/>
  <c r="K178" i="4"/>
  <c r="G178" i="4"/>
  <c r="F179" i="4"/>
  <c r="F103" i="17"/>
  <c r="F87" i="1" l="1"/>
  <c r="K86" i="1"/>
  <c r="G86" i="1"/>
  <c r="F173" i="3"/>
  <c r="K172" i="3"/>
  <c r="G172" i="3"/>
  <c r="F167" i="24"/>
  <c r="E167" i="24" s="1"/>
  <c r="F104" i="17"/>
  <c r="F203" i="7"/>
  <c r="K202" i="7"/>
  <c r="G202" i="7"/>
  <c r="F68" i="16"/>
  <c r="K179" i="4"/>
  <c r="G179" i="4"/>
  <c r="F180" i="4"/>
  <c r="F105" i="17" l="1"/>
  <c r="F174" i="3"/>
  <c r="K173" i="3"/>
  <c r="G173" i="3"/>
  <c r="O11" i="3"/>
  <c r="F168" i="24"/>
  <c r="E168" i="24" s="1"/>
  <c r="F88" i="1"/>
  <c r="K87" i="1"/>
  <c r="G87" i="1"/>
  <c r="F69" i="16"/>
  <c r="K180" i="4"/>
  <c r="F181" i="4"/>
  <c r="G180" i="4"/>
  <c r="F204" i="7"/>
  <c r="K203" i="7"/>
  <c r="G203" i="7"/>
  <c r="F89" i="1" l="1"/>
  <c r="K88" i="1"/>
  <c r="G88" i="1"/>
  <c r="F106" i="17"/>
  <c r="G204" i="7"/>
  <c r="O32" i="7"/>
  <c r="F205" i="7"/>
  <c r="K204" i="7"/>
  <c r="F182" i="4"/>
  <c r="K181" i="4"/>
  <c r="G181" i="4"/>
  <c r="F175" i="3"/>
  <c r="G174" i="3"/>
  <c r="K174" i="3"/>
  <c r="F169" i="24"/>
  <c r="E169" i="24" s="1"/>
  <c r="F70" i="16"/>
  <c r="K182" i="4" l="1"/>
  <c r="G182" i="4"/>
  <c r="F183" i="4"/>
  <c r="F206" i="7"/>
  <c r="G205" i="7"/>
  <c r="K205" i="7"/>
  <c r="F90" i="1"/>
  <c r="K89" i="1"/>
  <c r="G89" i="1"/>
  <c r="F107" i="17"/>
  <c r="O21" i="17"/>
  <c r="F176" i="3"/>
  <c r="K175" i="3"/>
  <c r="G175" i="3"/>
  <c r="F170" i="24"/>
  <c r="E170" i="24" s="1"/>
  <c r="F71" i="16"/>
  <c r="F177" i="3" l="1"/>
  <c r="K176" i="3"/>
  <c r="G176" i="3"/>
  <c r="F171" i="24"/>
  <c r="E171" i="24" s="1"/>
  <c r="F207" i="7"/>
  <c r="K206" i="7"/>
  <c r="G206" i="7"/>
  <c r="K90" i="1"/>
  <c r="F91" i="1"/>
  <c r="G90" i="1"/>
  <c r="F72" i="16"/>
  <c r="F108" i="17"/>
  <c r="F184" i="4"/>
  <c r="K183" i="4"/>
  <c r="G183" i="4"/>
  <c r="M5" i="8"/>
  <c r="N5" i="8"/>
  <c r="F92" i="1" l="1"/>
  <c r="K91" i="1"/>
  <c r="G91" i="1"/>
  <c r="F178" i="3"/>
  <c r="K177" i="3"/>
  <c r="G177" i="3"/>
  <c r="F172" i="24"/>
  <c r="E172" i="24" s="1"/>
  <c r="K184" i="4"/>
  <c r="F185" i="4"/>
  <c r="G184" i="4"/>
  <c r="G207" i="7"/>
  <c r="O33" i="7"/>
  <c r="K207" i="7"/>
  <c r="F208" i="7"/>
  <c r="F109" i="17"/>
  <c r="F73" i="16"/>
  <c r="F110" i="17" l="1"/>
  <c r="O22" i="17"/>
  <c r="K178" i="3"/>
  <c r="G178" i="3"/>
  <c r="F179" i="3"/>
  <c r="F173" i="24"/>
  <c r="E173" i="24" s="1"/>
  <c r="F209" i="7"/>
  <c r="K208" i="7"/>
  <c r="G208" i="7"/>
  <c r="F74" i="16"/>
  <c r="F186" i="4"/>
  <c r="G185" i="4"/>
  <c r="K185" i="4"/>
  <c r="F93" i="1"/>
  <c r="K92" i="1"/>
  <c r="G92" i="1"/>
  <c r="F180" i="3" l="1"/>
  <c r="K179" i="3"/>
  <c r="G179" i="3"/>
  <c r="F174" i="24"/>
  <c r="E174" i="24" s="1"/>
  <c r="F75" i="16"/>
  <c r="F111" i="17"/>
  <c r="F94" i="1"/>
  <c r="K93" i="1"/>
  <c r="G93" i="1"/>
  <c r="F210" i="7"/>
  <c r="G209" i="7"/>
  <c r="K209" i="7"/>
  <c r="G186" i="4"/>
  <c r="F187" i="4"/>
  <c r="K186" i="4"/>
  <c r="G180" i="3" l="1"/>
  <c r="F181" i="3"/>
  <c r="K180" i="3"/>
  <c r="F175" i="24"/>
  <c r="E175" i="24" s="1"/>
  <c r="F95" i="1"/>
  <c r="K94" i="1"/>
  <c r="G94" i="1"/>
  <c r="F112" i="17"/>
  <c r="K187" i="4"/>
  <c r="G187" i="4"/>
  <c r="F188" i="4"/>
  <c r="G210" i="7"/>
  <c r="F211" i="7"/>
  <c r="K210" i="7"/>
  <c r="O34" i="7"/>
  <c r="F76" i="16"/>
  <c r="F212" i="7" l="1"/>
  <c r="G211" i="7"/>
  <c r="K211" i="7"/>
  <c r="K181" i="3"/>
  <c r="G181" i="3"/>
  <c r="F182" i="3"/>
  <c r="F176" i="24"/>
  <c r="F189" i="4"/>
  <c r="K188" i="4"/>
  <c r="G188" i="4"/>
  <c r="F96" i="1"/>
  <c r="K95" i="1"/>
  <c r="G95" i="1"/>
  <c r="F77" i="16"/>
  <c r="F113" i="17"/>
  <c r="O23" i="17"/>
  <c r="H116" i="17" l="1"/>
  <c r="H114" i="17"/>
  <c r="H115" i="17"/>
  <c r="F114" i="17"/>
  <c r="P3" i="8"/>
  <c r="F97" i="1"/>
  <c r="K96" i="1"/>
  <c r="G96" i="1"/>
  <c r="O14" i="1"/>
  <c r="K212" i="7"/>
  <c r="G212" i="7"/>
  <c r="F213" i="7"/>
  <c r="G189" i="4"/>
  <c r="F190" i="4"/>
  <c r="K189" i="4"/>
  <c r="E176" i="24"/>
  <c r="L13" i="24"/>
  <c r="F183" i="3"/>
  <c r="K182" i="3"/>
  <c r="G182" i="3"/>
  <c r="F177" i="24"/>
  <c r="E177" i="24" s="1"/>
  <c r="F78" i="16"/>
  <c r="F2" i="7"/>
  <c r="F79" i="16" l="1"/>
  <c r="F98" i="1"/>
  <c r="K97" i="1"/>
  <c r="G97" i="1"/>
  <c r="F191" i="4"/>
  <c r="K190" i="4"/>
  <c r="G190" i="4"/>
  <c r="F184" i="3"/>
  <c r="K183" i="3"/>
  <c r="G183" i="3"/>
  <c r="F178" i="24"/>
  <c r="K213" i="7"/>
  <c r="G213" i="7"/>
  <c r="O35" i="7"/>
  <c r="F214" i="7"/>
  <c r="E2" i="7"/>
  <c r="F115" i="17"/>
  <c r="J176" i="7" l="1"/>
  <c r="J190" i="7"/>
  <c r="J173" i="7"/>
  <c r="J183" i="7"/>
  <c r="J174" i="7"/>
  <c r="J191" i="7"/>
  <c r="J211" i="7"/>
  <c r="J188" i="7"/>
  <c r="J202" i="7"/>
  <c r="J180" i="7"/>
  <c r="J197" i="7"/>
  <c r="J198" i="7"/>
  <c r="J193" i="7"/>
  <c r="J208" i="7"/>
  <c r="J172" i="7"/>
  <c r="J186" i="7"/>
  <c r="J200" i="7"/>
  <c r="J182" i="7"/>
  <c r="J210" i="7"/>
  <c r="J203" i="7"/>
  <c r="J185" i="7"/>
  <c r="J189" i="7"/>
  <c r="J194" i="7"/>
  <c r="J175" i="7"/>
  <c r="J181" i="7"/>
  <c r="J195" i="7"/>
  <c r="J204" i="7"/>
  <c r="J196" i="7"/>
  <c r="J206" i="7"/>
  <c r="J179" i="7"/>
  <c r="J177" i="7"/>
  <c r="J201" i="7"/>
  <c r="J184" i="7"/>
  <c r="J178" i="7"/>
  <c r="J187" i="7"/>
  <c r="J212" i="7"/>
  <c r="J199" i="7"/>
  <c r="J207" i="7"/>
  <c r="J192" i="7"/>
  <c r="J205" i="7"/>
  <c r="I198" i="7"/>
  <c r="I168" i="7"/>
  <c r="I88" i="7"/>
  <c r="I123" i="7"/>
  <c r="I133" i="7"/>
  <c r="I109" i="7"/>
  <c r="I197" i="7"/>
  <c r="I128" i="7"/>
  <c r="I42" i="7"/>
  <c r="I50" i="7"/>
  <c r="I140" i="7"/>
  <c r="I195" i="7"/>
  <c r="I165" i="7"/>
  <c r="I103" i="7"/>
  <c r="I24" i="7"/>
  <c r="I33" i="7"/>
  <c r="I83" i="7"/>
  <c r="I58" i="7"/>
  <c r="L14" i="24"/>
  <c r="E178" i="24"/>
  <c r="I194" i="7"/>
  <c r="I174" i="7"/>
  <c r="I154" i="7"/>
  <c r="I72" i="7"/>
  <c r="I54" i="7"/>
  <c r="I57" i="7"/>
  <c r="I90" i="7"/>
  <c r="I49" i="7"/>
  <c r="I75" i="7"/>
  <c r="I68" i="7"/>
  <c r="I143" i="7"/>
  <c r="I76" i="7"/>
  <c r="I78" i="7"/>
  <c r="I131" i="7"/>
  <c r="I183" i="7"/>
  <c r="I163" i="7"/>
  <c r="I34" i="7"/>
  <c r="I137" i="7"/>
  <c r="I115" i="7"/>
  <c r="I151" i="7"/>
  <c r="I182" i="7"/>
  <c r="I152" i="7"/>
  <c r="I46" i="7"/>
  <c r="I188" i="7"/>
  <c r="I158" i="7"/>
  <c r="I105" i="7"/>
  <c r="I48" i="7"/>
  <c r="I77" i="7"/>
  <c r="I87" i="7"/>
  <c r="I120" i="7"/>
  <c r="I177" i="7"/>
  <c r="I71" i="7"/>
  <c r="I211" i="7"/>
  <c r="I206" i="7"/>
  <c r="I186" i="7"/>
  <c r="I166" i="7"/>
  <c r="I95" i="7"/>
  <c r="I145" i="7"/>
  <c r="I31" i="7"/>
  <c r="I61" i="7"/>
  <c r="I38" i="7"/>
  <c r="I82" i="7"/>
  <c r="I39" i="7"/>
  <c r="I110" i="7"/>
  <c r="I35" i="7"/>
  <c r="I23" i="7"/>
  <c r="I91" i="7"/>
  <c r="J209" i="7"/>
  <c r="I185" i="7"/>
  <c r="I155" i="7"/>
  <c r="I27" i="7"/>
  <c r="I121" i="7"/>
  <c r="I119" i="7"/>
  <c r="I56" i="7"/>
  <c r="I111" i="7"/>
  <c r="F215" i="7"/>
  <c r="K214" i="7"/>
  <c r="G214" i="7"/>
  <c r="I193" i="7"/>
  <c r="I104" i="7"/>
  <c r="I108" i="7"/>
  <c r="I129" i="7"/>
  <c r="I52" i="7"/>
  <c r="I96" i="7"/>
  <c r="G191" i="4"/>
  <c r="F192" i="4"/>
  <c r="K191" i="4"/>
  <c r="I202" i="7"/>
  <c r="I192" i="7"/>
  <c r="I172" i="7"/>
  <c r="I162" i="7"/>
  <c r="I26" i="7"/>
  <c r="I25" i="7"/>
  <c r="I94" i="7"/>
  <c r="I101" i="7"/>
  <c r="I63" i="7"/>
  <c r="I208" i="7"/>
  <c r="I178" i="7"/>
  <c r="I142" i="7"/>
  <c r="I66" i="7"/>
  <c r="I147" i="7"/>
  <c r="I141" i="7"/>
  <c r="I51" i="7"/>
  <c r="I212" i="7"/>
  <c r="I207" i="7"/>
  <c r="I146" i="7"/>
  <c r="I92" i="7"/>
  <c r="I116" i="7"/>
  <c r="I106" i="7"/>
  <c r="I127" i="7"/>
  <c r="I149" i="7"/>
  <c r="F80" i="16"/>
  <c r="I196" i="7"/>
  <c r="I176" i="7"/>
  <c r="I156" i="7"/>
  <c r="I43" i="7"/>
  <c r="I132" i="7"/>
  <c r="I204" i="7"/>
  <c r="I184" i="7"/>
  <c r="I164" i="7"/>
  <c r="I64" i="7"/>
  <c r="I79" i="7"/>
  <c r="I53" i="7"/>
  <c r="I44" i="7"/>
  <c r="I30" i="7"/>
  <c r="I112" i="7"/>
  <c r="I136" i="7"/>
  <c r="I40" i="7"/>
  <c r="I201" i="7"/>
  <c r="I181" i="7"/>
  <c r="I161" i="7"/>
  <c r="I45" i="7"/>
  <c r="I160" i="7"/>
  <c r="I187" i="7"/>
  <c r="I167" i="7"/>
  <c r="I157" i="7"/>
  <c r="I55" i="7"/>
  <c r="I32" i="7"/>
  <c r="I125" i="7"/>
  <c r="I205" i="7"/>
  <c r="I175" i="7"/>
  <c r="I135" i="7"/>
  <c r="I28" i="7"/>
  <c r="I122" i="7"/>
  <c r="I203" i="7"/>
  <c r="I173" i="7"/>
  <c r="I153" i="7"/>
  <c r="I74" i="7"/>
  <c r="I150" i="7"/>
  <c r="I148" i="7"/>
  <c r="I98" i="7"/>
  <c r="I118" i="7"/>
  <c r="K184" i="3"/>
  <c r="F185" i="3"/>
  <c r="G184" i="3"/>
  <c r="F179" i="24"/>
  <c r="E179" i="24" s="1"/>
  <c r="I191" i="7"/>
  <c r="I171" i="7"/>
  <c r="I22" i="7"/>
  <c r="I97" i="7"/>
  <c r="I114" i="7"/>
  <c r="I70" i="7"/>
  <c r="I126" i="7"/>
  <c r="I36" i="7"/>
  <c r="I73" i="7"/>
  <c r="I84" i="7"/>
  <c r="F3" i="7"/>
  <c r="I19" i="7"/>
  <c r="F4" i="7"/>
  <c r="I138" i="7"/>
  <c r="I60" i="7"/>
  <c r="F116" i="17"/>
  <c r="O24" i="17"/>
  <c r="I210" i="7"/>
  <c r="I200" i="7"/>
  <c r="I190" i="7"/>
  <c r="I180" i="7"/>
  <c r="I170" i="7"/>
  <c r="I62" i="7"/>
  <c r="I86" i="7"/>
  <c r="I65" i="7"/>
  <c r="I134" i="7"/>
  <c r="I130" i="7"/>
  <c r="I59" i="7"/>
  <c r="I67" i="7"/>
  <c r="I93" i="7"/>
  <c r="I124" i="7"/>
  <c r="I41" i="7"/>
  <c r="I29" i="7"/>
  <c r="I69" i="7"/>
  <c r="I20" i="7"/>
  <c r="I80" i="7"/>
  <c r="F99" i="1"/>
  <c r="K98" i="1"/>
  <c r="G98" i="1"/>
  <c r="I209" i="7"/>
  <c r="I199" i="7"/>
  <c r="I189" i="7"/>
  <c r="I179" i="7"/>
  <c r="I169" i="7"/>
  <c r="I159" i="7"/>
  <c r="I102" i="7"/>
  <c r="I99" i="7"/>
  <c r="I85" i="7"/>
  <c r="I117" i="7"/>
  <c r="I21" i="7"/>
  <c r="I139" i="7"/>
  <c r="I107" i="7"/>
  <c r="I113" i="7"/>
  <c r="I144" i="7"/>
  <c r="I81" i="7"/>
  <c r="I47" i="7"/>
  <c r="I89" i="7"/>
  <c r="I37" i="7"/>
  <c r="I100" i="7"/>
  <c r="G185" i="3" l="1"/>
  <c r="F186" i="3"/>
  <c r="K185" i="3"/>
  <c r="F180" i="24"/>
  <c r="E180" i="24" s="1"/>
  <c r="H119" i="17"/>
  <c r="H118" i="17"/>
  <c r="H117" i="17"/>
  <c r="F117" i="17"/>
  <c r="F193" i="4"/>
  <c r="G192" i="4"/>
  <c r="K192" i="4"/>
  <c r="F216" i="7"/>
  <c r="K215" i="7"/>
  <c r="G215" i="7"/>
  <c r="F100" i="1"/>
  <c r="K99" i="1"/>
  <c r="G99" i="1"/>
  <c r="F81" i="16"/>
  <c r="F194" i="4" l="1"/>
  <c r="K193" i="4"/>
  <c r="G193" i="4"/>
  <c r="F217" i="7"/>
  <c r="K216" i="7"/>
  <c r="G216" i="7"/>
  <c r="O36" i="7"/>
  <c r="F101" i="1"/>
  <c r="K100" i="1"/>
  <c r="G100" i="1"/>
  <c r="F187" i="3"/>
  <c r="K186" i="3"/>
  <c r="G186" i="3"/>
  <c r="F181" i="24"/>
  <c r="E181" i="24" s="1"/>
  <c r="F82" i="16"/>
  <c r="O12" i="16"/>
  <c r="F118" i="17"/>
  <c r="F119" i="17" l="1"/>
  <c r="O25" i="17"/>
  <c r="F83" i="16"/>
  <c r="F188" i="3"/>
  <c r="K187" i="3"/>
  <c r="G187" i="3"/>
  <c r="O12" i="3"/>
  <c r="F182" i="24"/>
  <c r="E182" i="24" s="1"/>
  <c r="K101" i="1"/>
  <c r="F102" i="1"/>
  <c r="G101" i="1"/>
  <c r="K194" i="4"/>
  <c r="G194" i="4"/>
  <c r="F195" i="4"/>
  <c r="G217" i="7"/>
  <c r="F218" i="7"/>
  <c r="K217" i="7"/>
  <c r="F120" i="17" l="1"/>
  <c r="F219" i="7"/>
  <c r="K218" i="7"/>
  <c r="G218" i="7"/>
  <c r="G195" i="4"/>
  <c r="F196" i="4"/>
  <c r="K195" i="4"/>
  <c r="H121" i="17"/>
  <c r="H120" i="17"/>
  <c r="H122" i="17"/>
  <c r="G188" i="3"/>
  <c r="F189" i="3"/>
  <c r="K188" i="3"/>
  <c r="F183" i="24"/>
  <c r="E183" i="24" s="1"/>
  <c r="K102" i="1"/>
  <c r="F103" i="1"/>
  <c r="G102" i="1"/>
  <c r="F84" i="16"/>
  <c r="F220" i="7" l="1"/>
  <c r="K219" i="7"/>
  <c r="O37" i="7"/>
  <c r="G219" i="7"/>
  <c r="F85" i="16"/>
  <c r="F121" i="17"/>
  <c r="K103" i="1"/>
  <c r="F104" i="1"/>
  <c r="G103" i="1"/>
  <c r="F197" i="4"/>
  <c r="G196" i="4"/>
  <c r="K196" i="4"/>
  <c r="F190" i="3"/>
  <c r="K189" i="3"/>
  <c r="G189" i="3"/>
  <c r="F184" i="24"/>
  <c r="E184" i="24" s="1"/>
  <c r="F122" i="17" l="1"/>
  <c r="O26" i="17"/>
  <c r="F86" i="16"/>
  <c r="F105" i="1"/>
  <c r="K104" i="1"/>
  <c r="G104" i="1"/>
  <c r="G197" i="4"/>
  <c r="F198" i="4"/>
  <c r="K197" i="4"/>
  <c r="G220" i="7"/>
  <c r="K220" i="7"/>
  <c r="F221" i="7"/>
  <c r="G190" i="3"/>
  <c r="F191" i="3"/>
  <c r="K190" i="3"/>
  <c r="F185" i="24"/>
  <c r="E185" i="24" s="1"/>
  <c r="G105" i="1" l="1"/>
  <c r="F106" i="1"/>
  <c r="K105" i="1"/>
  <c r="F87" i="16"/>
  <c r="H123" i="17"/>
  <c r="H125" i="17"/>
  <c r="H124" i="17"/>
  <c r="F123" i="17"/>
  <c r="G198" i="4"/>
  <c r="K198" i="4"/>
  <c r="F199" i="4"/>
  <c r="F192" i="3"/>
  <c r="K191" i="3"/>
  <c r="G191" i="3"/>
  <c r="F186" i="24"/>
  <c r="E186" i="24" s="1"/>
  <c r="F222" i="7"/>
  <c r="G221" i="7"/>
  <c r="K221" i="7"/>
  <c r="F193" i="3" l="1"/>
  <c r="K192" i="3"/>
  <c r="G192" i="3"/>
  <c r="F187" i="24"/>
  <c r="E187" i="24" s="1"/>
  <c r="F107" i="1"/>
  <c r="K106" i="1"/>
  <c r="G106" i="1"/>
  <c r="F223" i="7"/>
  <c r="K222" i="7"/>
  <c r="G222" i="7"/>
  <c r="O38" i="7"/>
  <c r="F88" i="16"/>
  <c r="O13" i="16"/>
  <c r="F200" i="4"/>
  <c r="G199" i="4"/>
  <c r="K199" i="4"/>
  <c r="F124" i="17"/>
  <c r="K200" i="4" l="1"/>
  <c r="F201" i="4"/>
  <c r="G200" i="4"/>
  <c r="K193" i="3"/>
  <c r="F194" i="3"/>
  <c r="G193" i="3"/>
  <c r="F188" i="24"/>
  <c r="K223" i="7"/>
  <c r="G223" i="7"/>
  <c r="F224" i="7"/>
  <c r="F89" i="16"/>
  <c r="F108" i="1"/>
  <c r="K107" i="1"/>
  <c r="G107" i="1"/>
  <c r="F125" i="17"/>
  <c r="O27" i="17"/>
  <c r="F109" i="1" l="1"/>
  <c r="K108" i="1"/>
  <c r="G108" i="1"/>
  <c r="F225" i="7"/>
  <c r="K224" i="7"/>
  <c r="G224" i="7"/>
  <c r="K201" i="4"/>
  <c r="G201" i="4"/>
  <c r="F202" i="4"/>
  <c r="F126" i="17"/>
  <c r="F90" i="16"/>
  <c r="H128" i="17"/>
  <c r="H127" i="17"/>
  <c r="H126" i="17"/>
  <c r="L15" i="24"/>
  <c r="E188" i="24"/>
  <c r="G189" i="24"/>
  <c r="K194" i="3"/>
  <c r="F195" i="3"/>
  <c r="G194" i="3"/>
  <c r="F189" i="24"/>
  <c r="E189" i="24" s="1"/>
  <c r="F127" i="17" l="1"/>
  <c r="F226" i="7"/>
  <c r="K225" i="7"/>
  <c r="G225" i="7"/>
  <c r="O39" i="7"/>
  <c r="F91" i="16"/>
  <c r="F110" i="1"/>
  <c r="K109" i="1"/>
  <c r="G109" i="1"/>
  <c r="G202" i="4"/>
  <c r="F203" i="4"/>
  <c r="K202" i="4"/>
  <c r="G190" i="24"/>
  <c r="F196" i="3"/>
  <c r="K195" i="3"/>
  <c r="G195" i="3"/>
  <c r="F190" i="24"/>
  <c r="E190" i="24" s="1"/>
  <c r="G203" i="4" l="1"/>
  <c r="K203" i="4"/>
  <c r="E5" i="4" s="1"/>
  <c r="C5" i="8"/>
  <c r="D5" i="8"/>
  <c r="F111" i="1"/>
  <c r="K110" i="1"/>
  <c r="G110" i="1"/>
  <c r="F227" i="7"/>
  <c r="K226" i="7"/>
  <c r="G226" i="7"/>
  <c r="G191" i="24"/>
  <c r="F197" i="3"/>
  <c r="K196" i="3"/>
  <c r="G196" i="3"/>
  <c r="F191" i="24"/>
  <c r="E1" i="4"/>
  <c r="E2" i="4"/>
  <c r="F92" i="16"/>
  <c r="F128" i="17"/>
  <c r="O28" i="17"/>
  <c r="F129" i="17" l="1"/>
  <c r="F2" i="4"/>
  <c r="G192" i="24"/>
  <c r="F198" i="3"/>
  <c r="K197" i="3"/>
  <c r="G197" i="3"/>
  <c r="F192" i="24"/>
  <c r="E192" i="24" s="1"/>
  <c r="G227" i="7"/>
  <c r="F228" i="7"/>
  <c r="K227" i="7"/>
  <c r="F93" i="16"/>
  <c r="L16" i="24"/>
  <c r="E191" i="24"/>
  <c r="F112" i="1"/>
  <c r="K111" i="1"/>
  <c r="G111" i="1"/>
  <c r="H129" i="17"/>
  <c r="H130" i="17"/>
  <c r="H131" i="17"/>
  <c r="F113" i="1" l="1"/>
  <c r="K112" i="1"/>
  <c r="G112" i="1"/>
  <c r="J232" i="4"/>
  <c r="J197" i="4"/>
  <c r="J137" i="4"/>
  <c r="J145" i="4"/>
  <c r="J173" i="4"/>
  <c r="J78" i="4"/>
  <c r="J123" i="4"/>
  <c r="J132" i="4"/>
  <c r="J323" i="4"/>
  <c r="J223" i="4"/>
  <c r="J284" i="4"/>
  <c r="J224" i="4"/>
  <c r="J161" i="4"/>
  <c r="J203" i="4"/>
  <c r="J93" i="4"/>
  <c r="J110" i="4"/>
  <c r="J281" i="4"/>
  <c r="J322" i="4"/>
  <c r="J262" i="4"/>
  <c r="J140" i="4"/>
  <c r="J92" i="4"/>
  <c r="J75" i="4"/>
  <c r="J279" i="4"/>
  <c r="J340" i="4"/>
  <c r="J260" i="4"/>
  <c r="J192" i="4"/>
  <c r="J117" i="4"/>
  <c r="J201" i="4"/>
  <c r="J151" i="4"/>
  <c r="J187" i="4"/>
  <c r="I9" i="4"/>
  <c r="J237" i="4"/>
  <c r="J278" i="4"/>
  <c r="J115" i="4"/>
  <c r="J216" i="4"/>
  <c r="J99" i="4"/>
  <c r="J142" i="4"/>
  <c r="J72" i="4"/>
  <c r="J329" i="4"/>
  <c r="J309" i="4"/>
  <c r="J289" i="4"/>
  <c r="J269" i="4"/>
  <c r="J249" i="4"/>
  <c r="J229" i="4"/>
  <c r="J209" i="4"/>
  <c r="J330" i="4"/>
  <c r="J310" i="4"/>
  <c r="J290" i="4"/>
  <c r="J270" i="4"/>
  <c r="J250" i="4"/>
  <c r="J230" i="4"/>
  <c r="J210" i="4"/>
  <c r="J186" i="4"/>
  <c r="J127" i="4"/>
  <c r="J196" i="4"/>
  <c r="J176" i="4"/>
  <c r="J166" i="4"/>
  <c r="J146" i="4"/>
  <c r="J106" i="4"/>
  <c r="J86" i="4"/>
  <c r="J156" i="4"/>
  <c r="J116" i="4"/>
  <c r="J79" i="4"/>
  <c r="J105" i="4"/>
  <c r="J114" i="4"/>
  <c r="J325" i="4"/>
  <c r="J265" i="4"/>
  <c r="J205" i="4"/>
  <c r="J246" i="4"/>
  <c r="J184" i="4"/>
  <c r="J164" i="4"/>
  <c r="J94" i="4"/>
  <c r="J152" i="4"/>
  <c r="J77" i="4"/>
  <c r="J324" i="4"/>
  <c r="J194" i="4"/>
  <c r="J163" i="4"/>
  <c r="J103" i="4"/>
  <c r="J193" i="4"/>
  <c r="J339" i="4"/>
  <c r="J299" i="4"/>
  <c r="J219" i="4"/>
  <c r="J320" i="4"/>
  <c r="J240" i="4"/>
  <c r="J337" i="4"/>
  <c r="J277" i="4"/>
  <c r="J338" i="4"/>
  <c r="J258" i="4"/>
  <c r="J136" i="4"/>
  <c r="J190" i="4"/>
  <c r="J150" i="4"/>
  <c r="J73" i="4"/>
  <c r="J296" i="4"/>
  <c r="J89" i="4"/>
  <c r="J327" i="4"/>
  <c r="J307" i="4"/>
  <c r="J287" i="4"/>
  <c r="J267" i="4"/>
  <c r="J247" i="4"/>
  <c r="J227" i="4"/>
  <c r="J207" i="4"/>
  <c r="J328" i="4"/>
  <c r="J308" i="4"/>
  <c r="J288" i="4"/>
  <c r="J268" i="4"/>
  <c r="J248" i="4"/>
  <c r="J228" i="4"/>
  <c r="J208" i="4"/>
  <c r="J125" i="4"/>
  <c r="J195" i="4"/>
  <c r="J185" i="4"/>
  <c r="J175" i="4"/>
  <c r="J165" i="4"/>
  <c r="J95" i="4"/>
  <c r="J155" i="4"/>
  <c r="J68" i="4"/>
  <c r="F4" i="4"/>
  <c r="J285" i="4"/>
  <c r="J225" i="4"/>
  <c r="J306" i="4"/>
  <c r="J286" i="4"/>
  <c r="J226" i="4"/>
  <c r="J84" i="4"/>
  <c r="J112" i="4"/>
  <c r="J343" i="4"/>
  <c r="J283" i="4"/>
  <c r="J263" i="4"/>
  <c r="J344" i="4"/>
  <c r="J264" i="4"/>
  <c r="J204" i="4"/>
  <c r="J141" i="4"/>
  <c r="J143" i="4"/>
  <c r="J83" i="4"/>
  <c r="J130" i="4"/>
  <c r="J76" i="4"/>
  <c r="J321" i="4"/>
  <c r="J301" i="4"/>
  <c r="J241" i="4"/>
  <c r="J221" i="4"/>
  <c r="J302" i="4"/>
  <c r="J242" i="4"/>
  <c r="J180" i="4"/>
  <c r="J119" i="4"/>
  <c r="J202" i="4"/>
  <c r="J82" i="4"/>
  <c r="J259" i="4"/>
  <c r="J300" i="4"/>
  <c r="J220" i="4"/>
  <c r="J138" i="4"/>
  <c r="J91" i="4"/>
  <c r="J126" i="4"/>
  <c r="J317" i="4"/>
  <c r="J257" i="4"/>
  <c r="J318" i="4"/>
  <c r="J218" i="4"/>
  <c r="J154" i="4"/>
  <c r="J90" i="4"/>
  <c r="F3" i="4"/>
  <c r="J335" i="4"/>
  <c r="J295" i="4"/>
  <c r="J275" i="4"/>
  <c r="J235" i="4"/>
  <c r="J336" i="4"/>
  <c r="J276" i="4"/>
  <c r="J236" i="4"/>
  <c r="J153" i="4"/>
  <c r="J113" i="4"/>
  <c r="J179" i="4"/>
  <c r="J149" i="4"/>
  <c r="J162" i="4"/>
  <c r="J333" i="4"/>
  <c r="J313" i="4"/>
  <c r="J293" i="4"/>
  <c r="J273" i="4"/>
  <c r="J253" i="4"/>
  <c r="J233" i="4"/>
  <c r="J213" i="4"/>
  <c r="J334" i="4"/>
  <c r="J314" i="4"/>
  <c r="J294" i="4"/>
  <c r="J274" i="4"/>
  <c r="J254" i="4"/>
  <c r="J234" i="4"/>
  <c r="J214" i="4"/>
  <c r="J199" i="4"/>
  <c r="J172" i="4"/>
  <c r="J131" i="4"/>
  <c r="J111" i="4"/>
  <c r="J178" i="4"/>
  <c r="J168" i="4"/>
  <c r="J148" i="4"/>
  <c r="J108" i="4"/>
  <c r="J98" i="4"/>
  <c r="J88" i="4"/>
  <c r="J160" i="4"/>
  <c r="J139" i="4"/>
  <c r="J120" i="4"/>
  <c r="J81" i="4"/>
  <c r="J71" i="4"/>
  <c r="J331" i="4"/>
  <c r="J311" i="4"/>
  <c r="J291" i="4"/>
  <c r="J271" i="4"/>
  <c r="J251" i="4"/>
  <c r="J231" i="4"/>
  <c r="J211" i="4"/>
  <c r="J332" i="4"/>
  <c r="J312" i="4"/>
  <c r="J292" i="4"/>
  <c r="J272" i="4"/>
  <c r="J252" i="4"/>
  <c r="J212" i="4"/>
  <c r="J198" i="4"/>
  <c r="J188" i="4"/>
  <c r="J170" i="4"/>
  <c r="J129" i="4"/>
  <c r="J109" i="4"/>
  <c r="J177" i="4"/>
  <c r="J167" i="4"/>
  <c r="J147" i="4"/>
  <c r="J107" i="4"/>
  <c r="J97" i="4"/>
  <c r="J87" i="4"/>
  <c r="J158" i="4"/>
  <c r="J118" i="4"/>
  <c r="J80" i="4"/>
  <c r="J70" i="4"/>
  <c r="I10" i="4"/>
  <c r="J96" i="4"/>
  <c r="J135" i="4"/>
  <c r="J69" i="4"/>
  <c r="J85" i="4"/>
  <c r="J133" i="4"/>
  <c r="J305" i="4"/>
  <c r="J245" i="4"/>
  <c r="J326" i="4"/>
  <c r="J266" i="4"/>
  <c r="J206" i="4"/>
  <c r="J174" i="4"/>
  <c r="J144" i="4"/>
  <c r="J104" i="4"/>
  <c r="J171" i="4"/>
  <c r="J67" i="4"/>
  <c r="J303" i="4"/>
  <c r="J243" i="4"/>
  <c r="J304" i="4"/>
  <c r="J244" i="4"/>
  <c r="J182" i="4"/>
  <c r="J121" i="4"/>
  <c r="J183" i="4"/>
  <c r="J169" i="4"/>
  <c r="J341" i="4"/>
  <c r="J261" i="4"/>
  <c r="J342" i="4"/>
  <c r="J282" i="4"/>
  <c r="J222" i="4"/>
  <c r="J159" i="4"/>
  <c r="J102" i="4"/>
  <c r="J128" i="4"/>
  <c r="J319" i="4"/>
  <c r="J239" i="4"/>
  <c r="J280" i="4"/>
  <c r="J157" i="4"/>
  <c r="J191" i="4"/>
  <c r="J101" i="4"/>
  <c r="J74" i="4"/>
  <c r="I11" i="4"/>
  <c r="J297" i="4"/>
  <c r="J217" i="4"/>
  <c r="J298" i="4"/>
  <c r="J238" i="4"/>
  <c r="J100" i="4"/>
  <c r="J124" i="4"/>
  <c r="J315" i="4"/>
  <c r="J255" i="4"/>
  <c r="J215" i="4"/>
  <c r="J316" i="4"/>
  <c r="J256" i="4"/>
  <c r="J200" i="4"/>
  <c r="J134" i="4"/>
  <c r="J189" i="4"/>
  <c r="J181" i="4"/>
  <c r="J122"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F130" i="17"/>
  <c r="G193" i="24"/>
  <c r="G198" i="3"/>
  <c r="K198" i="3"/>
  <c r="F199" i="3"/>
  <c r="F193" i="24"/>
  <c r="E193" i="24" s="1"/>
  <c r="F94" i="16"/>
  <c r="L5" i="8"/>
  <c r="F1" i="17"/>
  <c r="F5" i="17"/>
  <c r="K129" i="17" s="1"/>
  <c r="O40" i="7"/>
  <c r="F6" i="21" s="1"/>
  <c r="G6" i="21" s="1"/>
  <c r="K228" i="7"/>
  <c r="G228" i="7"/>
  <c r="F229" i="7"/>
  <c r="I203" i="4"/>
  <c r="F114" i="1" l="1"/>
  <c r="K113" i="1"/>
  <c r="G113" i="1"/>
  <c r="K13" i="17"/>
  <c r="K30" i="17"/>
  <c r="K45" i="17"/>
  <c r="K27" i="17"/>
  <c r="K40" i="17"/>
  <c r="K15" i="17"/>
  <c r="K53" i="17"/>
  <c r="K34" i="17"/>
  <c r="K48" i="17"/>
  <c r="K36" i="17"/>
  <c r="K22" i="17"/>
  <c r="K39" i="17"/>
  <c r="K50" i="17"/>
  <c r="K41" i="17"/>
  <c r="K21" i="17"/>
  <c r="K47" i="17"/>
  <c r="K31" i="17"/>
  <c r="K12" i="17"/>
  <c r="K44" i="17"/>
  <c r="K23" i="17"/>
  <c r="K51" i="17"/>
  <c r="K24" i="17"/>
  <c r="K25" i="17"/>
  <c r="K28" i="17"/>
  <c r="K38" i="17"/>
  <c r="K32" i="17"/>
  <c r="K49" i="17"/>
  <c r="K35" i="17"/>
  <c r="K42" i="17"/>
  <c r="K46" i="17"/>
  <c r="K52" i="17"/>
  <c r="K18" i="17"/>
  <c r="K26" i="17"/>
  <c r="K16" i="17"/>
  <c r="K29" i="17"/>
  <c r="K17" i="17"/>
  <c r="K14" i="17"/>
  <c r="K37" i="17"/>
  <c r="K43" i="17"/>
  <c r="K20" i="17"/>
  <c r="K19" i="17"/>
  <c r="K3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O29" i="17"/>
  <c r="E11" i="21" s="1"/>
  <c r="H11" i="21" s="1"/>
  <c r="F131" i="17"/>
  <c r="K130" i="17"/>
  <c r="K229" i="7"/>
  <c r="E10" i="7" s="1"/>
  <c r="G229" i="7"/>
  <c r="D6" i="21"/>
  <c r="F95" i="16"/>
  <c r="G194" i="24"/>
  <c r="F200" i="3"/>
  <c r="K199" i="3"/>
  <c r="G199" i="3"/>
  <c r="F194" i="24"/>
  <c r="G25" i="17"/>
  <c r="G47" i="17"/>
  <c r="G67" i="17"/>
  <c r="G85" i="17"/>
  <c r="G105" i="17"/>
  <c r="G127" i="17"/>
  <c r="G27" i="17"/>
  <c r="G48" i="17"/>
  <c r="G68" i="17"/>
  <c r="G86" i="17"/>
  <c r="G106" i="17"/>
  <c r="G128" i="17"/>
  <c r="G31" i="17"/>
  <c r="G51" i="17"/>
  <c r="G89" i="17"/>
  <c r="G32" i="17"/>
  <c r="G52" i="17"/>
  <c r="G90" i="17"/>
  <c r="G35" i="17"/>
  <c r="G20" i="17"/>
  <c r="G94" i="17"/>
  <c r="G95" i="17"/>
  <c r="G58" i="17"/>
  <c r="G118" i="17"/>
  <c r="G97" i="17"/>
  <c r="G40" i="17"/>
  <c r="G98" i="17"/>
  <c r="G41" i="17"/>
  <c r="G121" i="17"/>
  <c r="G62" i="17"/>
  <c r="G122" i="17"/>
  <c r="G83" i="17"/>
  <c r="G24" i="17"/>
  <c r="G64" i="17"/>
  <c r="G124" i="17"/>
  <c r="G26" i="17"/>
  <c r="G103" i="17"/>
  <c r="G125" i="17"/>
  <c r="G23" i="17"/>
  <c r="G110" i="17"/>
  <c r="G29" i="17"/>
  <c r="G49" i="17"/>
  <c r="G69" i="17"/>
  <c r="G87" i="17"/>
  <c r="G107" i="17"/>
  <c r="G129" i="17"/>
  <c r="G30" i="17"/>
  <c r="G50" i="17"/>
  <c r="G70" i="17"/>
  <c r="G88" i="17"/>
  <c r="G109" i="17"/>
  <c r="G130" i="17"/>
  <c r="G13" i="17"/>
  <c r="G71" i="17"/>
  <c r="G111" i="17"/>
  <c r="G72" i="17"/>
  <c r="G75" i="17"/>
  <c r="G56" i="17"/>
  <c r="G37" i="17"/>
  <c r="G57" i="17"/>
  <c r="G77" i="17"/>
  <c r="G16" i="17"/>
  <c r="G78" i="17"/>
  <c r="G59" i="17"/>
  <c r="G19" i="17"/>
  <c r="G80" i="17"/>
  <c r="G61" i="17"/>
  <c r="G42" i="17"/>
  <c r="G43" i="17"/>
  <c r="G84" i="17"/>
  <c r="G45" i="17"/>
  <c r="G66" i="17"/>
  <c r="G112" i="17"/>
  <c r="G17" i="17"/>
  <c r="G55" i="17"/>
  <c r="G115" i="17"/>
  <c r="G36" i="17"/>
  <c r="G76" i="17"/>
  <c r="G12" i="17"/>
  <c r="G117" i="17"/>
  <c r="G38" i="17"/>
  <c r="G96" i="17"/>
  <c r="G39" i="17"/>
  <c r="G79" i="17"/>
  <c r="G119" i="17"/>
  <c r="G60" i="17"/>
  <c r="G120" i="17"/>
  <c r="G21" i="17"/>
  <c r="G81" i="17"/>
  <c r="G22" i="17"/>
  <c r="G100" i="17"/>
  <c r="G101" i="17"/>
  <c r="G65" i="17"/>
  <c r="G126" i="17"/>
  <c r="G14" i="17"/>
  <c r="G33" i="17"/>
  <c r="G53" i="17"/>
  <c r="G73" i="17"/>
  <c r="G91" i="17"/>
  <c r="G113" i="17"/>
  <c r="G15" i="17"/>
  <c r="G34" i="17"/>
  <c r="G54" i="17"/>
  <c r="G74" i="17"/>
  <c r="G92" i="17"/>
  <c r="G114" i="17"/>
  <c r="G93" i="17"/>
  <c r="G116" i="17"/>
  <c r="G18" i="17"/>
  <c r="G99" i="17"/>
  <c r="G82" i="17"/>
  <c r="G28" i="17"/>
  <c r="G63" i="17"/>
  <c r="G123" i="17"/>
  <c r="G44" i="17"/>
  <c r="G102" i="17"/>
  <c r="G108" i="17"/>
  <c r="G46" i="17"/>
  <c r="G104" i="17"/>
  <c r="E194" i="24" l="1"/>
  <c r="L17" i="24"/>
  <c r="F96" i="16"/>
  <c r="E5" i="7"/>
  <c r="E1" i="7"/>
  <c r="K114" i="1"/>
  <c r="F115" i="1"/>
  <c r="G114" i="1"/>
  <c r="E5" i="17"/>
  <c r="F5" i="7"/>
  <c r="I229" i="7" s="1"/>
  <c r="G195" i="24"/>
  <c r="K200" i="3"/>
  <c r="F201" i="3"/>
  <c r="G200" i="3"/>
  <c r="O13" i="3"/>
  <c r="F195" i="24"/>
  <c r="E195" i="24" s="1"/>
  <c r="K131" i="17"/>
  <c r="D11" i="21"/>
  <c r="G131" i="17"/>
  <c r="F97" i="16" l="1"/>
  <c r="I214" i="7"/>
  <c r="J363" i="7"/>
  <c r="J222" i="7"/>
  <c r="J302" i="7"/>
  <c r="J242" i="7"/>
  <c r="J321" i="7"/>
  <c r="J261" i="7"/>
  <c r="J340" i="7"/>
  <c r="J300" i="7"/>
  <c r="J240" i="7"/>
  <c r="J319" i="7"/>
  <c r="J239" i="7"/>
  <c r="J298" i="7"/>
  <c r="J219" i="7"/>
  <c r="J297" i="7"/>
  <c r="J237" i="7"/>
  <c r="J276" i="7"/>
  <c r="J355" i="7"/>
  <c r="J275" i="7"/>
  <c r="J354" i="7"/>
  <c r="J254" i="7"/>
  <c r="J313" i="7"/>
  <c r="J233" i="7"/>
  <c r="J332" i="7"/>
  <c r="J272" i="7"/>
  <c r="J351" i="7"/>
  <c r="J271" i="7"/>
  <c r="J330" i="7"/>
  <c r="J270" i="7"/>
  <c r="J349" i="7"/>
  <c r="J249" i="7"/>
  <c r="J284" i="7"/>
  <c r="J283" i="7"/>
  <c r="J362" i="7"/>
  <c r="J282" i="7"/>
  <c r="J223" i="7"/>
  <c r="J301" i="7"/>
  <c r="J220" i="7"/>
  <c r="J280" i="7"/>
  <c r="J359" i="7"/>
  <c r="J299" i="7"/>
  <c r="J218" i="7"/>
  <c r="J278" i="7"/>
  <c r="J357" i="7"/>
  <c r="J277" i="7"/>
  <c r="J256" i="7"/>
  <c r="J295" i="7"/>
  <c r="J213" i="7"/>
  <c r="J314" i="7"/>
  <c r="J234" i="7"/>
  <c r="J333" i="7"/>
  <c r="J253" i="7"/>
  <c r="J312" i="7"/>
  <c r="J252" i="7"/>
  <c r="J331" i="7"/>
  <c r="J251" i="7"/>
  <c r="J310" i="7"/>
  <c r="J369" i="7"/>
  <c r="J289" i="7"/>
  <c r="J322" i="7"/>
  <c r="J341" i="7"/>
  <c r="J241" i="7"/>
  <c r="J360" i="7"/>
  <c r="J320" i="7"/>
  <c r="J260" i="7"/>
  <c r="J339" i="7"/>
  <c r="J259" i="7"/>
  <c r="J338" i="7"/>
  <c r="J258" i="7"/>
  <c r="J337" i="7"/>
  <c r="J257" i="7"/>
  <c r="J356" i="7"/>
  <c r="J316" i="7"/>
  <c r="J236" i="7"/>
  <c r="J335" i="7"/>
  <c r="J255" i="7"/>
  <c r="J294" i="7"/>
  <c r="J215" i="7"/>
  <c r="I215" i="7" s="1"/>
  <c r="J293" i="7"/>
  <c r="J352" i="7"/>
  <c r="J232" i="7"/>
  <c r="J311" i="7"/>
  <c r="J231" i="7"/>
  <c r="J370" i="7"/>
  <c r="J290" i="7"/>
  <c r="J230" i="7"/>
  <c r="J309" i="7"/>
  <c r="J228" i="7"/>
  <c r="J368" i="7"/>
  <c r="J348" i="7"/>
  <c r="J328" i="7"/>
  <c r="J308" i="7"/>
  <c r="J288" i="7"/>
  <c r="J268" i="7"/>
  <c r="J248" i="7"/>
  <c r="J229" i="7"/>
  <c r="J367" i="7"/>
  <c r="J347" i="7"/>
  <c r="J327" i="7"/>
  <c r="J307" i="7"/>
  <c r="J287" i="7"/>
  <c r="J267" i="7"/>
  <c r="J247" i="7"/>
  <c r="J226" i="7"/>
  <c r="J366" i="7"/>
  <c r="J346" i="7"/>
  <c r="J326" i="7"/>
  <c r="J306" i="7"/>
  <c r="J286" i="7"/>
  <c r="J266" i="7"/>
  <c r="J246" i="7"/>
  <c r="J227" i="7"/>
  <c r="J365" i="7"/>
  <c r="J345" i="7"/>
  <c r="J325" i="7"/>
  <c r="J305" i="7"/>
  <c r="J285" i="7"/>
  <c r="J265" i="7"/>
  <c r="J245" i="7"/>
  <c r="J224" i="7"/>
  <c r="J364" i="7"/>
  <c r="J344" i="7"/>
  <c r="J324" i="7"/>
  <c r="J304" i="7"/>
  <c r="J264" i="7"/>
  <c r="J244" i="7"/>
  <c r="J225" i="7"/>
  <c r="J343" i="7"/>
  <c r="J323" i="7"/>
  <c r="J303" i="7"/>
  <c r="J263" i="7"/>
  <c r="J243" i="7"/>
  <c r="J342" i="7"/>
  <c r="J262" i="7"/>
  <c r="J361" i="7"/>
  <c r="J281" i="7"/>
  <c r="J221" i="7"/>
  <c r="J279" i="7"/>
  <c r="J358" i="7"/>
  <c r="J318" i="7"/>
  <c r="J238" i="7"/>
  <c r="J317" i="7"/>
  <c r="J216" i="7"/>
  <c r="J336" i="7"/>
  <c r="J296" i="7"/>
  <c r="J217" i="7"/>
  <c r="J315" i="7"/>
  <c r="J235" i="7"/>
  <c r="J334" i="7"/>
  <c r="J274" i="7"/>
  <c r="J353" i="7"/>
  <c r="J273" i="7"/>
  <c r="J292" i="7"/>
  <c r="J214" i="7"/>
  <c r="J291" i="7"/>
  <c r="J350" i="7"/>
  <c r="J250" i="7"/>
  <c r="J329" i="7"/>
  <c r="J269" i="7"/>
  <c r="F2" i="17"/>
  <c r="E2" i="17"/>
  <c r="E1" i="17"/>
  <c r="G196" i="24"/>
  <c r="K201" i="3"/>
  <c r="G201" i="3"/>
  <c r="F202" i="3"/>
  <c r="F196" i="24"/>
  <c r="E196" i="24" s="1"/>
  <c r="I6" i="21"/>
  <c r="F6" i="7"/>
  <c r="F7" i="7"/>
  <c r="I213" i="7"/>
  <c r="I216" i="7"/>
  <c r="I217" i="7"/>
  <c r="I218" i="7"/>
  <c r="I219" i="7"/>
  <c r="I220" i="7"/>
  <c r="I221" i="7"/>
  <c r="I222" i="7"/>
  <c r="I223" i="7"/>
  <c r="I224" i="7"/>
  <c r="I225" i="7"/>
  <c r="I226" i="7"/>
  <c r="I227" i="7"/>
  <c r="I228" i="7"/>
  <c r="F116" i="1"/>
  <c r="K115" i="1"/>
  <c r="G115" i="1"/>
  <c r="I11" i="21" l="1"/>
  <c r="F3" i="17"/>
  <c r="F4" i="17"/>
  <c r="J132" i="17"/>
  <c r="J206" i="17"/>
  <c r="J269" i="17"/>
  <c r="J234" i="17"/>
  <c r="J224" i="17"/>
  <c r="J229" i="17"/>
  <c r="J176" i="17"/>
  <c r="J223" i="17"/>
  <c r="J225" i="17"/>
  <c r="J116" i="17"/>
  <c r="J120" i="17"/>
  <c r="J108" i="17"/>
  <c r="J178" i="17"/>
  <c r="J214" i="17"/>
  <c r="J241" i="17"/>
  <c r="J200" i="17"/>
  <c r="J220" i="17"/>
  <c r="J118" i="17"/>
  <c r="J153" i="17"/>
  <c r="J233" i="17"/>
  <c r="J181" i="17"/>
  <c r="J154" i="17"/>
  <c r="J175" i="17"/>
  <c r="J136" i="17"/>
  <c r="J129" i="17"/>
  <c r="J171" i="17"/>
  <c r="J190" i="17"/>
  <c r="J260" i="17"/>
  <c r="J231" i="17"/>
  <c r="J138" i="17"/>
  <c r="J262" i="17"/>
  <c r="J199" i="17"/>
  <c r="J107" i="17"/>
  <c r="J267" i="17"/>
  <c r="J156" i="17"/>
  <c r="J249" i="17"/>
  <c r="J266" i="17"/>
  <c r="J236" i="17"/>
  <c r="J177" i="17"/>
  <c r="J148" i="17"/>
  <c r="J145" i="17"/>
  <c r="J168" i="17"/>
  <c r="J253" i="17"/>
  <c r="J240" i="17"/>
  <c r="J185" i="17"/>
  <c r="J126" i="17"/>
  <c r="J254" i="17"/>
  <c r="J187" i="17"/>
  <c r="J159" i="17"/>
  <c r="J149" i="17"/>
  <c r="J123" i="17"/>
  <c r="J128" i="17"/>
  <c r="J143" i="17"/>
  <c r="J173" i="17"/>
  <c r="J271" i="17"/>
  <c r="J144" i="17"/>
  <c r="J263" i="17"/>
  <c r="J212" i="17"/>
  <c r="J169" i="17"/>
  <c r="J167" i="17"/>
  <c r="J131" i="17"/>
  <c r="J114" i="17"/>
  <c r="J110" i="17"/>
  <c r="J203" i="17"/>
  <c r="J111" i="17"/>
  <c r="J150" i="17"/>
  <c r="J226" i="17"/>
  <c r="J227" i="17"/>
  <c r="J221" i="17"/>
  <c r="J109" i="17"/>
  <c r="J160" i="17"/>
  <c r="J265" i="17"/>
  <c r="J117" i="17"/>
  <c r="J256" i="17"/>
  <c r="J183" i="17"/>
  <c r="J230" i="17"/>
  <c r="J172" i="17"/>
  <c r="J232" i="17"/>
  <c r="J242" i="17"/>
  <c r="J147" i="17"/>
  <c r="J179" i="17"/>
  <c r="J133" i="17"/>
  <c r="J235" i="17"/>
  <c r="J251" i="17"/>
  <c r="J261" i="17"/>
  <c r="J163" i="17"/>
  <c r="J125" i="17"/>
  <c r="J207" i="17"/>
  <c r="J158" i="17"/>
  <c r="J192" i="17"/>
  <c r="J211" i="17"/>
  <c r="J246" i="17"/>
  <c r="J196" i="17"/>
  <c r="J180" i="17"/>
  <c r="J124" i="17"/>
  <c r="J209" i="17"/>
  <c r="J237" i="17"/>
  <c r="J164" i="17"/>
  <c r="J208" i="17"/>
  <c r="J119" i="17"/>
  <c r="J264" i="17"/>
  <c r="J139" i="17"/>
  <c r="J188" i="17"/>
  <c r="J213" i="17"/>
  <c r="J165" i="17"/>
  <c r="J259" i="17"/>
  <c r="J217" i="17"/>
  <c r="J222" i="17"/>
  <c r="J258" i="17"/>
  <c r="J257" i="17"/>
  <c r="J152" i="17"/>
  <c r="J194" i="17"/>
  <c r="J270" i="17"/>
  <c r="J250" i="17"/>
  <c r="J134" i="17"/>
  <c r="J272" i="17"/>
  <c r="J186" i="17"/>
  <c r="J113" i="17"/>
  <c r="J170" i="17"/>
  <c r="J140" i="17"/>
  <c r="J174" i="17"/>
  <c r="J137" i="17"/>
  <c r="J239" i="17"/>
  <c r="J184" i="17"/>
  <c r="J189" i="17"/>
  <c r="J135" i="17"/>
  <c r="J193" i="17"/>
  <c r="J245" i="17"/>
  <c r="J252" i="17"/>
  <c r="J219" i="17"/>
  <c r="J191" i="17"/>
  <c r="J121" i="17"/>
  <c r="J202" i="17"/>
  <c r="J146" i="17"/>
  <c r="J255" i="17"/>
  <c r="J162" i="17"/>
  <c r="J157" i="17"/>
  <c r="J155" i="17"/>
  <c r="J122" i="17"/>
  <c r="J141" i="17"/>
  <c r="J112" i="17"/>
  <c r="J247" i="17"/>
  <c r="J268" i="17"/>
  <c r="J218" i="17"/>
  <c r="J228" i="17"/>
  <c r="J195" i="17"/>
  <c r="J142" i="17"/>
  <c r="J216" i="17"/>
  <c r="J210" i="17"/>
  <c r="J238" i="17"/>
  <c r="J201" i="17"/>
  <c r="J244" i="17"/>
  <c r="J130" i="17"/>
  <c r="J197" i="17"/>
  <c r="J248" i="17"/>
  <c r="J127" i="17"/>
  <c r="J115" i="17"/>
  <c r="J198" i="17"/>
  <c r="J161" i="17"/>
  <c r="J215" i="17"/>
  <c r="J205" i="17"/>
  <c r="J243" i="17"/>
  <c r="J204" i="17"/>
  <c r="J151" i="17"/>
  <c r="J166" i="17"/>
  <c r="J182" i="17"/>
  <c r="I113" i="17"/>
  <c r="I112" i="17"/>
  <c r="I70" i="17"/>
  <c r="I103" i="17"/>
  <c r="I15" i="17"/>
  <c r="I18" i="17"/>
  <c r="I108" i="17"/>
  <c r="I100" i="17"/>
  <c r="I75" i="17"/>
  <c r="I72" i="17"/>
  <c r="I111" i="17"/>
  <c r="I45" i="17"/>
  <c r="I30" i="17"/>
  <c r="I129" i="17"/>
  <c r="I109" i="17"/>
  <c r="I98" i="17"/>
  <c r="I26" i="17"/>
  <c r="I74" i="17"/>
  <c r="I106" i="17"/>
  <c r="I58" i="17"/>
  <c r="I117" i="17"/>
  <c r="I46" i="17"/>
  <c r="I71" i="17"/>
  <c r="I29" i="17"/>
  <c r="I35" i="17"/>
  <c r="I52" i="17"/>
  <c r="I39" i="17"/>
  <c r="I48" i="17"/>
  <c r="I17" i="17"/>
  <c r="I104" i="17"/>
  <c r="I51" i="17"/>
  <c r="I88" i="17"/>
  <c r="I21" i="17"/>
  <c r="I118" i="17"/>
  <c r="I94" i="17"/>
  <c r="I49" i="17"/>
  <c r="I90" i="17"/>
  <c r="I78" i="17"/>
  <c r="I57" i="17"/>
  <c r="I56" i="17"/>
  <c r="I64" i="17"/>
  <c r="I130" i="17"/>
  <c r="I96" i="17"/>
  <c r="I31" i="17"/>
  <c r="I91" i="17"/>
  <c r="I69" i="17"/>
  <c r="I125" i="17"/>
  <c r="I105" i="17"/>
  <c r="I83" i="17"/>
  <c r="I115" i="17"/>
  <c r="I54" i="17"/>
  <c r="I43" i="17"/>
  <c r="I85" i="17"/>
  <c r="I25" i="17"/>
  <c r="I19" i="17"/>
  <c r="I84" i="17"/>
  <c r="I13" i="17"/>
  <c r="I82" i="17"/>
  <c r="I23" i="17"/>
  <c r="I123" i="17"/>
  <c r="I38" i="17"/>
  <c r="I81" i="17"/>
  <c r="I120" i="17"/>
  <c r="I110" i="17"/>
  <c r="I24" i="17"/>
  <c r="I99" i="17"/>
  <c r="I86" i="17"/>
  <c r="I79" i="17"/>
  <c r="I77" i="17"/>
  <c r="I37" i="17"/>
  <c r="I61" i="17"/>
  <c r="I122" i="17"/>
  <c r="I32" i="17"/>
  <c r="I40" i="17"/>
  <c r="I47" i="17"/>
  <c r="I102" i="17"/>
  <c r="I27" i="17"/>
  <c r="I44" i="17"/>
  <c r="I107" i="17"/>
  <c r="I87" i="17"/>
  <c r="I12" i="17"/>
  <c r="I101" i="17"/>
  <c r="I20" i="17"/>
  <c r="I42" i="17"/>
  <c r="I63" i="17"/>
  <c r="I128" i="17"/>
  <c r="I116" i="17"/>
  <c r="I126" i="17"/>
  <c r="I34" i="17"/>
  <c r="I73" i="17"/>
  <c r="I114" i="17"/>
  <c r="I92" i="17"/>
  <c r="I124" i="17"/>
  <c r="I89" i="17"/>
  <c r="I121" i="17"/>
  <c r="I16" i="17"/>
  <c r="I50" i="17"/>
  <c r="I65" i="17"/>
  <c r="I22" i="17"/>
  <c r="I76" i="17"/>
  <c r="I59" i="17"/>
  <c r="I66" i="17"/>
  <c r="I41" i="17"/>
  <c r="I33" i="17"/>
  <c r="I14" i="17"/>
  <c r="I97" i="17"/>
  <c r="I28" i="17"/>
  <c r="I60" i="17"/>
  <c r="I119" i="17"/>
  <c r="I62" i="17"/>
  <c r="I93" i="17"/>
  <c r="I55" i="17"/>
  <c r="I127" i="17"/>
  <c r="I95" i="17"/>
  <c r="I53" i="17"/>
  <c r="I68" i="17"/>
  <c r="I67" i="17"/>
  <c r="I36" i="17"/>
  <c r="I80" i="17"/>
  <c r="I131" i="17"/>
  <c r="F98" i="16"/>
  <c r="F117" i="1"/>
  <c r="K116" i="1"/>
  <c r="G116" i="1"/>
  <c r="O15" i="1"/>
  <c r="G197" i="24"/>
  <c r="F203" i="3"/>
  <c r="K202" i="3"/>
  <c r="G202" i="3"/>
  <c r="F197" i="24"/>
  <c r="F99" i="16" l="1"/>
  <c r="E197" i="24"/>
  <c r="L18" i="24"/>
  <c r="G198" i="24"/>
  <c r="K203" i="3"/>
  <c r="F204" i="3"/>
  <c r="G203" i="3"/>
  <c r="F198" i="24"/>
  <c r="E198" i="24" s="1"/>
  <c r="K117" i="1"/>
  <c r="F118" i="1"/>
  <c r="G117" i="1"/>
  <c r="F100" i="16" l="1"/>
  <c r="O14" i="16"/>
  <c r="K118" i="1"/>
  <c r="F119" i="1"/>
  <c r="G118" i="1"/>
  <c r="G199" i="24"/>
  <c r="G204" i="3"/>
  <c r="F205" i="3"/>
  <c r="K204" i="3"/>
  <c r="F199" i="24"/>
  <c r="E199" i="24" s="1"/>
  <c r="G200" i="24" l="1"/>
  <c r="F206" i="3"/>
  <c r="K205" i="3"/>
  <c r="G205" i="3"/>
  <c r="F200" i="24"/>
  <c r="F101" i="16"/>
  <c r="F120" i="1"/>
  <c r="K119" i="1"/>
  <c r="G119" i="1"/>
  <c r="O16" i="1"/>
  <c r="E200" i="24" l="1"/>
  <c r="L19" i="24"/>
  <c r="F102" i="16"/>
  <c r="G201" i="24"/>
  <c r="F207" i="3"/>
  <c r="K206" i="3"/>
  <c r="G206" i="3"/>
  <c r="F201" i="24"/>
  <c r="E201" i="24" s="1"/>
  <c r="F121" i="1"/>
  <c r="K120" i="1"/>
  <c r="G120" i="1"/>
  <c r="O17" i="1"/>
  <c r="F103" i="16" l="1"/>
  <c r="F122" i="1"/>
  <c r="K121" i="1"/>
  <c r="G121" i="1"/>
  <c r="G202" i="24"/>
  <c r="F208" i="3"/>
  <c r="K207" i="3"/>
  <c r="G207" i="3"/>
  <c r="F202" i="24"/>
  <c r="E202" i="24" s="1"/>
  <c r="F123" i="1" l="1"/>
  <c r="K122" i="1"/>
  <c r="G122" i="1"/>
  <c r="F104" i="16"/>
  <c r="G203" i="24"/>
  <c r="G208" i="3"/>
  <c r="K208" i="3"/>
  <c r="F209" i="3"/>
  <c r="F203" i="24"/>
  <c r="F105" i="16" l="1"/>
  <c r="E203" i="24"/>
  <c r="L20" i="24"/>
  <c r="G204" i="24"/>
  <c r="F210" i="3"/>
  <c r="K209" i="3"/>
  <c r="G209" i="3"/>
  <c r="F204" i="24"/>
  <c r="E204" i="24" s="1"/>
  <c r="K123" i="1"/>
  <c r="F124" i="1"/>
  <c r="G123" i="1"/>
  <c r="F125" i="1" l="1"/>
  <c r="K124" i="1"/>
  <c r="G124" i="1"/>
  <c r="F106" i="16"/>
  <c r="O15" i="16"/>
  <c r="G205" i="24"/>
  <c r="G210" i="3"/>
  <c r="K210" i="3"/>
  <c r="F211" i="3"/>
  <c r="O14" i="3"/>
  <c r="F205" i="24"/>
  <c r="E205" i="24" s="1"/>
  <c r="F107" i="16" l="1"/>
  <c r="G206" i="24"/>
  <c r="K211" i="3"/>
  <c r="G211" i="3"/>
  <c r="F212" i="3"/>
  <c r="F206" i="24"/>
  <c r="F126" i="1"/>
  <c r="K125" i="1"/>
  <c r="G125" i="1"/>
  <c r="G207" i="24" l="1"/>
  <c r="G212" i="3"/>
  <c r="F213" i="3"/>
  <c r="K212" i="3"/>
  <c r="F207" i="24"/>
  <c r="E207" i="24" s="1"/>
  <c r="F108" i="16"/>
  <c r="F127" i="1"/>
  <c r="K126" i="1"/>
  <c r="G126" i="1"/>
  <c r="E206" i="24"/>
  <c r="L21" i="24"/>
  <c r="K127" i="1" l="1"/>
  <c r="F128" i="1"/>
  <c r="G127" i="1"/>
  <c r="F109" i="16"/>
  <c r="O16" i="16"/>
  <c r="G208" i="24"/>
  <c r="K213" i="3"/>
  <c r="F214" i="3"/>
  <c r="G213" i="3"/>
  <c r="F208" i="24"/>
  <c r="E208" i="24" s="1"/>
  <c r="F129" i="1" l="1"/>
  <c r="K128" i="1"/>
  <c r="G128" i="1"/>
  <c r="G209" i="24"/>
  <c r="F215" i="3"/>
  <c r="K214" i="3"/>
  <c r="G214" i="3"/>
  <c r="O15" i="3"/>
  <c r="F209" i="24"/>
  <c r="F110" i="16"/>
  <c r="G210" i="24" l="1"/>
  <c r="F216" i="3"/>
  <c r="K215" i="3"/>
  <c r="G215" i="3"/>
  <c r="F210" i="24"/>
  <c r="E210" i="24" s="1"/>
  <c r="F111" i="16"/>
  <c r="E209" i="24"/>
  <c r="L22" i="24"/>
  <c r="F130" i="1"/>
  <c r="K129" i="1"/>
  <c r="G129" i="1"/>
  <c r="F112" i="16" l="1"/>
  <c r="O17" i="16"/>
  <c r="K130" i="1"/>
  <c r="F131" i="1"/>
  <c r="G130" i="1"/>
  <c r="O18" i="1"/>
  <c r="G211" i="24"/>
  <c r="F217" i="3"/>
  <c r="K216" i="3"/>
  <c r="G216" i="3"/>
  <c r="F211" i="24"/>
  <c r="E211" i="24" s="1"/>
  <c r="O16" i="3" l="1"/>
  <c r="G212" i="24"/>
  <c r="F218" i="3"/>
  <c r="K217" i="3"/>
  <c r="G217" i="3"/>
  <c r="F212" i="24"/>
  <c r="H114" i="16"/>
  <c r="H113" i="16"/>
  <c r="H115" i="16"/>
  <c r="K131" i="1"/>
  <c r="F132" i="1"/>
  <c r="G131" i="1"/>
  <c r="F113" i="16"/>
  <c r="G213" i="24" l="1"/>
  <c r="G218" i="3"/>
  <c r="K218" i="3"/>
  <c r="E5" i="3" s="1"/>
  <c r="C4" i="8"/>
  <c r="D4" i="8"/>
  <c r="F213" i="24"/>
  <c r="E213" i="24" s="1"/>
  <c r="M4" i="8"/>
  <c r="N4" i="8"/>
  <c r="F133" i="1"/>
  <c r="K132" i="1"/>
  <c r="G132" i="1"/>
  <c r="E212" i="24"/>
  <c r="L23" i="24"/>
  <c r="F114" i="16"/>
  <c r="E2" i="3"/>
  <c r="F134" i="1" l="1"/>
  <c r="K133" i="1"/>
  <c r="G133" i="1"/>
  <c r="F2" i="3"/>
  <c r="F115" i="16"/>
  <c r="O18" i="16"/>
  <c r="E1" i="3"/>
  <c r="J88" i="3" l="1"/>
  <c r="J109" i="3"/>
  <c r="J333" i="3"/>
  <c r="H328" i="24" s="1"/>
  <c r="J293" i="3"/>
  <c r="H288" i="24" s="1"/>
  <c r="J253" i="3"/>
  <c r="H248" i="24" s="1"/>
  <c r="J216" i="3"/>
  <c r="H211" i="24" s="1"/>
  <c r="J196" i="3"/>
  <c r="H191" i="24" s="1"/>
  <c r="J176" i="3"/>
  <c r="J284" i="3"/>
  <c r="H279" i="24" s="1"/>
  <c r="J278" i="3"/>
  <c r="H273" i="24" s="1"/>
  <c r="J242" i="3"/>
  <c r="H237" i="24" s="1"/>
  <c r="J191" i="3"/>
  <c r="H186" i="24" s="1"/>
  <c r="J171" i="3"/>
  <c r="J156" i="3"/>
  <c r="J126" i="3"/>
  <c r="J96" i="3"/>
  <c r="J147" i="3"/>
  <c r="J117" i="3"/>
  <c r="J85" i="3"/>
  <c r="F3" i="3"/>
  <c r="J249" i="3"/>
  <c r="H244" i="24" s="1"/>
  <c r="J194" i="3"/>
  <c r="H189" i="24" s="1"/>
  <c r="J276" i="3"/>
  <c r="H271" i="24" s="1"/>
  <c r="J358" i="3"/>
  <c r="H353" i="24" s="1"/>
  <c r="J270" i="3"/>
  <c r="H265" i="24" s="1"/>
  <c r="J124" i="3"/>
  <c r="J84" i="3"/>
  <c r="J125" i="3"/>
  <c r="J307" i="3"/>
  <c r="H302" i="24" s="1"/>
  <c r="J203" i="3"/>
  <c r="H198" i="24" s="1"/>
  <c r="J266" i="3"/>
  <c r="H261" i="24" s="1"/>
  <c r="J305" i="3"/>
  <c r="H300" i="24" s="1"/>
  <c r="J225" i="3"/>
  <c r="H220" i="24" s="1"/>
  <c r="J192" i="3"/>
  <c r="H187" i="24" s="1"/>
  <c r="J268" i="3"/>
  <c r="H263" i="24" s="1"/>
  <c r="J354" i="3"/>
  <c r="H349" i="24" s="1"/>
  <c r="J228" i="3"/>
  <c r="H223" i="24" s="1"/>
  <c r="J152" i="3"/>
  <c r="J122" i="3"/>
  <c r="J82" i="3"/>
  <c r="J123" i="3"/>
  <c r="J148" i="3"/>
  <c r="J149" i="3"/>
  <c r="J119" i="3"/>
  <c r="J335" i="3"/>
  <c r="H330" i="24" s="1"/>
  <c r="J275" i="3"/>
  <c r="H270" i="24" s="1"/>
  <c r="J244" i="3"/>
  <c r="H239" i="24" s="1"/>
  <c r="J282" i="3"/>
  <c r="H277" i="24" s="1"/>
  <c r="J87" i="3"/>
  <c r="J342" i="3"/>
  <c r="H337" i="24" s="1"/>
  <c r="J116" i="3"/>
  <c r="J86" i="3"/>
  <c r="J137" i="3"/>
  <c r="J107" i="3"/>
  <c r="I10" i="3"/>
  <c r="J291" i="3"/>
  <c r="H286" i="24" s="1"/>
  <c r="J231" i="3"/>
  <c r="H226" i="24" s="1"/>
  <c r="J320" i="3"/>
  <c r="H315" i="24" s="1"/>
  <c r="J207" i="3"/>
  <c r="H202" i="24" s="1"/>
  <c r="J340" i="3"/>
  <c r="H335" i="24" s="1"/>
  <c r="J238" i="3"/>
  <c r="H233" i="24" s="1"/>
  <c r="J169" i="3"/>
  <c r="J309" i="3"/>
  <c r="H304" i="24" s="1"/>
  <c r="J229" i="3"/>
  <c r="H224" i="24" s="1"/>
  <c r="J204" i="3"/>
  <c r="H199" i="24" s="1"/>
  <c r="J316" i="3"/>
  <c r="H311" i="24" s="1"/>
  <c r="J232" i="3"/>
  <c r="H227" i="24" s="1"/>
  <c r="J338" i="3"/>
  <c r="H333" i="24" s="1"/>
  <c r="J144" i="3"/>
  <c r="J104" i="3"/>
  <c r="J145" i="3"/>
  <c r="J105" i="3"/>
  <c r="J327" i="3"/>
  <c r="H322" i="24" s="1"/>
  <c r="J247" i="3"/>
  <c r="H242" i="24" s="1"/>
  <c r="J183" i="3"/>
  <c r="J306" i="3"/>
  <c r="H301" i="24" s="1"/>
  <c r="J265" i="3"/>
  <c r="H260" i="24" s="1"/>
  <c r="J182" i="3"/>
  <c r="J222" i="3"/>
  <c r="H217" i="24" s="1"/>
  <c r="J334" i="3"/>
  <c r="H329" i="24" s="1"/>
  <c r="J142" i="3"/>
  <c r="J102" i="3"/>
  <c r="J143" i="3"/>
  <c r="J103" i="3"/>
  <c r="J357" i="3"/>
  <c r="H352" i="24" s="1"/>
  <c r="J337" i="3"/>
  <c r="H332" i="24" s="1"/>
  <c r="J317" i="3"/>
  <c r="H312" i="24" s="1"/>
  <c r="J297" i="3"/>
  <c r="H292" i="24" s="1"/>
  <c r="J277" i="3"/>
  <c r="H272" i="24" s="1"/>
  <c r="J257" i="3"/>
  <c r="H252" i="24" s="1"/>
  <c r="J237" i="3"/>
  <c r="H232" i="24" s="1"/>
  <c r="J218" i="3"/>
  <c r="H213" i="24" s="1"/>
  <c r="J208" i="3"/>
  <c r="H203" i="24" s="1"/>
  <c r="J198" i="3"/>
  <c r="H193" i="24" s="1"/>
  <c r="J188" i="3"/>
  <c r="H183" i="24" s="1"/>
  <c r="J178" i="3"/>
  <c r="J168" i="3"/>
  <c r="J292" i="3"/>
  <c r="H287" i="24" s="1"/>
  <c r="J250" i="3"/>
  <c r="H245" i="24" s="1"/>
  <c r="J213" i="3"/>
  <c r="H208" i="24" s="1"/>
  <c r="J193" i="3"/>
  <c r="H188" i="24" s="1"/>
  <c r="J173" i="3"/>
  <c r="J346" i="3"/>
  <c r="H341" i="24" s="1"/>
  <c r="J324" i="3"/>
  <c r="H319" i="24" s="1"/>
  <c r="J248" i="3"/>
  <c r="H243" i="24" s="1"/>
  <c r="J215" i="3"/>
  <c r="H210" i="24" s="1"/>
  <c r="J195" i="3"/>
  <c r="H190" i="24" s="1"/>
  <c r="J175" i="3"/>
  <c r="J158" i="3"/>
  <c r="J118" i="3"/>
  <c r="J99" i="3"/>
  <c r="J355" i="3"/>
  <c r="H350" i="24" s="1"/>
  <c r="J315" i="3"/>
  <c r="H310" i="24" s="1"/>
  <c r="J295" i="3"/>
  <c r="H290" i="24" s="1"/>
  <c r="J255" i="3"/>
  <c r="H250" i="24" s="1"/>
  <c r="J288" i="3"/>
  <c r="H283" i="24" s="1"/>
  <c r="J322" i="3"/>
  <c r="H317" i="24" s="1"/>
  <c r="J353" i="3"/>
  <c r="H348" i="24" s="1"/>
  <c r="J313" i="3"/>
  <c r="H308" i="24" s="1"/>
  <c r="J273" i="3"/>
  <c r="H268" i="24" s="1"/>
  <c r="J233" i="3"/>
  <c r="H228" i="24" s="1"/>
  <c r="J206" i="3"/>
  <c r="H201" i="24" s="1"/>
  <c r="J186" i="3"/>
  <c r="J328" i="3"/>
  <c r="H323" i="24" s="1"/>
  <c r="J240" i="3"/>
  <c r="H235" i="24" s="1"/>
  <c r="J189" i="3"/>
  <c r="H184" i="24" s="1"/>
  <c r="J318" i="3"/>
  <c r="H313" i="24" s="1"/>
  <c r="J211" i="3"/>
  <c r="H206" i="24" s="1"/>
  <c r="J89" i="3"/>
  <c r="J146" i="3"/>
  <c r="J136" i="3"/>
  <c r="J106" i="3"/>
  <c r="J157" i="3"/>
  <c r="J127" i="3"/>
  <c r="J97" i="3"/>
  <c r="F4" i="3"/>
  <c r="J331" i="3"/>
  <c r="H326" i="24" s="1"/>
  <c r="J311" i="3"/>
  <c r="H306" i="24" s="1"/>
  <c r="J271" i="3"/>
  <c r="H266" i="24" s="1"/>
  <c r="J251" i="3"/>
  <c r="H246" i="24" s="1"/>
  <c r="J280" i="3"/>
  <c r="H275" i="24" s="1"/>
  <c r="J236" i="3"/>
  <c r="H231" i="24" s="1"/>
  <c r="J167" i="3"/>
  <c r="J274" i="3"/>
  <c r="H269" i="24" s="1"/>
  <c r="J349" i="3"/>
  <c r="H344" i="24" s="1"/>
  <c r="J329" i="3"/>
  <c r="H324" i="24" s="1"/>
  <c r="J269" i="3"/>
  <c r="H264" i="24" s="1"/>
  <c r="J214" i="3"/>
  <c r="H209" i="24" s="1"/>
  <c r="J174" i="3"/>
  <c r="J310" i="3"/>
  <c r="H305" i="24" s="1"/>
  <c r="J166" i="3"/>
  <c r="J134" i="3"/>
  <c r="J94" i="3"/>
  <c r="J115" i="3"/>
  <c r="J347" i="3"/>
  <c r="H342" i="24" s="1"/>
  <c r="J287" i="3"/>
  <c r="H282" i="24" s="1"/>
  <c r="J227" i="3"/>
  <c r="H222" i="24" s="1"/>
  <c r="J272" i="3"/>
  <c r="H267" i="24" s="1"/>
  <c r="J356" i="3"/>
  <c r="H351" i="24" s="1"/>
  <c r="J230" i="3"/>
  <c r="H225" i="24" s="1"/>
  <c r="J345" i="3"/>
  <c r="H340" i="24" s="1"/>
  <c r="J245" i="3"/>
  <c r="H240" i="24" s="1"/>
  <c r="J202" i="3"/>
  <c r="H197" i="24" s="1"/>
  <c r="J308" i="3"/>
  <c r="H303" i="24" s="1"/>
  <c r="J181" i="3"/>
  <c r="J264" i="3"/>
  <c r="H259" i="24" s="1"/>
  <c r="J162" i="3"/>
  <c r="J112" i="3"/>
  <c r="J153" i="3"/>
  <c r="J113" i="3"/>
  <c r="J343" i="3"/>
  <c r="H338" i="24" s="1"/>
  <c r="J323" i="3"/>
  <c r="H318" i="24" s="1"/>
  <c r="J303" i="3"/>
  <c r="H298" i="24" s="1"/>
  <c r="J283" i="3"/>
  <c r="H278" i="24" s="1"/>
  <c r="J263" i="3"/>
  <c r="H258" i="24" s="1"/>
  <c r="J243" i="3"/>
  <c r="H238" i="24" s="1"/>
  <c r="J223" i="3"/>
  <c r="H218" i="24" s="1"/>
  <c r="J304" i="3"/>
  <c r="H299" i="24" s="1"/>
  <c r="J262" i="3"/>
  <c r="H257" i="24" s="1"/>
  <c r="J199" i="3"/>
  <c r="H194" i="24" s="1"/>
  <c r="J179" i="3"/>
  <c r="J352" i="3"/>
  <c r="H347" i="24" s="1"/>
  <c r="J332" i="3"/>
  <c r="H327" i="24" s="1"/>
  <c r="J298" i="3"/>
  <c r="H293" i="24" s="1"/>
  <c r="J260" i="3"/>
  <c r="H255" i="24" s="1"/>
  <c r="J224" i="3"/>
  <c r="H219" i="24" s="1"/>
  <c r="J201" i="3"/>
  <c r="H196" i="24" s="1"/>
  <c r="J165" i="3"/>
  <c r="I9" i="3"/>
  <c r="J341" i="3"/>
  <c r="H336" i="24" s="1"/>
  <c r="J321" i="3"/>
  <c r="H316" i="24" s="1"/>
  <c r="J301" i="3"/>
  <c r="H296" i="24" s="1"/>
  <c r="J281" i="3"/>
  <c r="H276" i="24" s="1"/>
  <c r="J261" i="3"/>
  <c r="H256" i="24" s="1"/>
  <c r="J241" i="3"/>
  <c r="H236" i="24" s="1"/>
  <c r="J221" i="3"/>
  <c r="H216" i="24" s="1"/>
  <c r="J210" i="3"/>
  <c r="H205" i="24" s="1"/>
  <c r="J200" i="3"/>
  <c r="H195" i="24" s="1"/>
  <c r="J190" i="3"/>
  <c r="H185" i="24" s="1"/>
  <c r="J180" i="3"/>
  <c r="J170" i="3"/>
  <c r="J300" i="3"/>
  <c r="H295" i="24" s="1"/>
  <c r="J258" i="3"/>
  <c r="H253" i="24" s="1"/>
  <c r="J177" i="3"/>
  <c r="J350" i="3"/>
  <c r="H345" i="24" s="1"/>
  <c r="J330" i="3"/>
  <c r="H325" i="24" s="1"/>
  <c r="J294" i="3"/>
  <c r="H289" i="24" s="1"/>
  <c r="J256" i="3"/>
  <c r="H251" i="24" s="1"/>
  <c r="J220" i="3"/>
  <c r="H215" i="24" s="1"/>
  <c r="J164" i="3"/>
  <c r="J160" i="3"/>
  <c r="J150" i="3"/>
  <c r="J140" i="3"/>
  <c r="J130" i="3"/>
  <c r="J120" i="3"/>
  <c r="J110" i="3"/>
  <c r="J100" i="3"/>
  <c r="J90" i="3"/>
  <c r="J161" i="3"/>
  <c r="J151" i="3"/>
  <c r="J141" i="3"/>
  <c r="J131" i="3"/>
  <c r="J121" i="3"/>
  <c r="J111" i="3"/>
  <c r="J101" i="3"/>
  <c r="J91" i="3"/>
  <c r="J359" i="3"/>
  <c r="H354" i="24" s="1"/>
  <c r="J339" i="3"/>
  <c r="H334" i="24" s="1"/>
  <c r="J319" i="3"/>
  <c r="H314" i="24" s="1"/>
  <c r="J299" i="3"/>
  <c r="H294" i="24" s="1"/>
  <c r="J279" i="3"/>
  <c r="H274" i="24" s="1"/>
  <c r="J259" i="3"/>
  <c r="H254" i="24" s="1"/>
  <c r="J239" i="3"/>
  <c r="H234" i="24" s="1"/>
  <c r="J219" i="3"/>
  <c r="H214" i="24" s="1"/>
  <c r="J296" i="3"/>
  <c r="H291" i="24" s="1"/>
  <c r="J254" i="3"/>
  <c r="H249" i="24" s="1"/>
  <c r="J348" i="3"/>
  <c r="H343" i="24" s="1"/>
  <c r="J326" i="3"/>
  <c r="H321" i="24" s="1"/>
  <c r="J290" i="3"/>
  <c r="H285" i="24" s="1"/>
  <c r="J252" i="3"/>
  <c r="H247" i="24" s="1"/>
  <c r="J217" i="3"/>
  <c r="H212" i="24" s="1"/>
  <c r="J197" i="3"/>
  <c r="H192" i="24" s="1"/>
  <c r="J286" i="3"/>
  <c r="H281" i="24" s="1"/>
  <c r="J138" i="3"/>
  <c r="J128" i="3"/>
  <c r="J108" i="3"/>
  <c r="J98" i="3"/>
  <c r="J159" i="3"/>
  <c r="J139" i="3"/>
  <c r="J129" i="3"/>
  <c r="J235" i="3"/>
  <c r="H230" i="24" s="1"/>
  <c r="J344" i="3"/>
  <c r="H339" i="24" s="1"/>
  <c r="J246" i="3"/>
  <c r="H241" i="24" s="1"/>
  <c r="J163" i="3"/>
  <c r="J351" i="3"/>
  <c r="H346" i="24" s="1"/>
  <c r="J187" i="3"/>
  <c r="H182" i="24" s="1"/>
  <c r="J314" i="3"/>
  <c r="H309" i="24" s="1"/>
  <c r="J209" i="3"/>
  <c r="H204" i="24" s="1"/>
  <c r="J289" i="3"/>
  <c r="H284" i="24" s="1"/>
  <c r="J184" i="3"/>
  <c r="J185" i="3"/>
  <c r="J234" i="3"/>
  <c r="H229" i="24" s="1"/>
  <c r="J83" i="3"/>
  <c r="J154" i="3"/>
  <c r="J114" i="3"/>
  <c r="J155" i="3"/>
  <c r="J135" i="3"/>
  <c r="J95" i="3"/>
  <c r="J267" i="3"/>
  <c r="H262" i="24" s="1"/>
  <c r="J312" i="3"/>
  <c r="H307" i="24" s="1"/>
  <c r="J226" i="3"/>
  <c r="H221" i="24" s="1"/>
  <c r="J336" i="3"/>
  <c r="H331" i="24" s="1"/>
  <c r="J205" i="3"/>
  <c r="H200" i="24" s="1"/>
  <c r="J325" i="3"/>
  <c r="H320" i="24" s="1"/>
  <c r="J285" i="3"/>
  <c r="H280" i="24" s="1"/>
  <c r="J212" i="3"/>
  <c r="H207" i="24" s="1"/>
  <c r="J172" i="3"/>
  <c r="J302" i="3"/>
  <c r="H297" i="24" s="1"/>
  <c r="J132" i="3"/>
  <c r="J92" i="3"/>
  <c r="J133" i="3"/>
  <c r="J93"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H118" i="16"/>
  <c r="F204" i="15" s="1"/>
  <c r="H117" i="16"/>
  <c r="F203" i="15" s="1"/>
  <c r="H116" i="16"/>
  <c r="F135" i="1"/>
  <c r="K134" i="1"/>
  <c r="G134" i="1"/>
  <c r="O19" i="1"/>
  <c r="F116" i="16"/>
  <c r="L4" i="8"/>
  <c r="I218" i="3"/>
  <c r="F117" i="16" l="1"/>
  <c r="F202" i="15"/>
  <c r="F136" i="1"/>
  <c r="K135" i="1"/>
  <c r="G135" i="1"/>
  <c r="F118" i="16" l="1"/>
  <c r="O19" i="16"/>
  <c r="K136" i="1"/>
  <c r="F137" i="1"/>
  <c r="G136" i="1"/>
  <c r="O20" i="1"/>
  <c r="F138" i="1" l="1"/>
  <c r="K137" i="1"/>
  <c r="G137" i="1"/>
  <c r="O21" i="1"/>
  <c r="H119" i="16"/>
  <c r="H120" i="16"/>
  <c r="F206" i="15" s="1"/>
  <c r="H121" i="16"/>
  <c r="F207" i="15" s="1"/>
  <c r="F119" i="16"/>
  <c r="F205" i="15" l="1"/>
  <c r="F120" i="16"/>
  <c r="F139" i="1"/>
  <c r="K138" i="1"/>
  <c r="G138" i="1"/>
  <c r="F121" i="16" l="1"/>
  <c r="O20" i="16"/>
  <c r="F140" i="1"/>
  <c r="K139" i="1"/>
  <c r="G139" i="1"/>
  <c r="F141" i="1" l="1"/>
  <c r="K140" i="1"/>
  <c r="G140" i="1"/>
  <c r="O22" i="1"/>
  <c r="H124" i="16"/>
  <c r="F210" i="15" s="1"/>
  <c r="H123" i="16"/>
  <c r="F209" i="15" s="1"/>
  <c r="H122" i="16"/>
  <c r="F122" i="16"/>
  <c r="F123" i="16" l="1"/>
  <c r="F142" i="1"/>
  <c r="K141" i="1"/>
  <c r="G141" i="1"/>
  <c r="F208" i="15"/>
  <c r="F124" i="16" l="1"/>
  <c r="O21" i="16"/>
  <c r="F143" i="1"/>
  <c r="K142" i="1"/>
  <c r="G142" i="1"/>
  <c r="F144" i="1" l="1"/>
  <c r="K143" i="1"/>
  <c r="G143" i="1"/>
  <c r="O23" i="1"/>
  <c r="H126" i="16"/>
  <c r="F212" i="15" s="1"/>
  <c r="H127" i="16"/>
  <c r="F213" i="15" s="1"/>
  <c r="H125" i="16"/>
  <c r="F211" i="15" s="1"/>
  <c r="F125" i="16"/>
  <c r="F145" i="1" l="1"/>
  <c r="K144" i="1"/>
  <c r="G144" i="1"/>
  <c r="F126" i="16"/>
  <c r="F127" i="16" l="1"/>
  <c r="O22" i="16"/>
  <c r="F146" i="1"/>
  <c r="K145" i="1"/>
  <c r="G145" i="1"/>
  <c r="H129" i="16" l="1"/>
  <c r="F215" i="15" s="1"/>
  <c r="H128" i="16"/>
  <c r="F214" i="15" s="1"/>
  <c r="H130" i="16"/>
  <c r="F128" i="16"/>
  <c r="K146" i="1"/>
  <c r="F147" i="1"/>
  <c r="G146" i="1"/>
  <c r="K147" i="1" l="1"/>
  <c r="F148" i="1"/>
  <c r="G147" i="1"/>
  <c r="F129" i="16"/>
  <c r="F1" i="16"/>
  <c r="F216" i="15"/>
  <c r="E13" i="21" s="1"/>
  <c r="F5" i="16"/>
  <c r="K128" i="16" s="1"/>
  <c r="F149" i="1" l="1"/>
  <c r="K148" i="1"/>
  <c r="G148" i="1"/>
  <c r="K16" i="16"/>
  <c r="K13" i="16"/>
  <c r="K14" i="16"/>
  <c r="K15" i="16"/>
  <c r="K12"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0" i="16"/>
  <c r="K111" i="16"/>
  <c r="K112" i="16"/>
  <c r="K113" i="16"/>
  <c r="K114" i="16"/>
  <c r="K115" i="16"/>
  <c r="K116" i="16"/>
  <c r="K117" i="16"/>
  <c r="K118" i="16"/>
  <c r="K119" i="16"/>
  <c r="K120" i="16"/>
  <c r="K121" i="16"/>
  <c r="K122" i="16"/>
  <c r="K123" i="16"/>
  <c r="K124" i="16"/>
  <c r="K125" i="16"/>
  <c r="K126" i="16"/>
  <c r="K127" i="16"/>
  <c r="H13" i="21"/>
  <c r="G14" i="16"/>
  <c r="G90" i="16"/>
  <c r="G94" i="16"/>
  <c r="G92" i="16"/>
  <c r="G26" i="16"/>
  <c r="G56" i="16"/>
  <c r="G16" i="16"/>
  <c r="G87" i="16"/>
  <c r="G67" i="16"/>
  <c r="G47" i="16"/>
  <c r="G27" i="16"/>
  <c r="G125" i="16"/>
  <c r="G111" i="16"/>
  <c r="G106" i="16"/>
  <c r="G86" i="16"/>
  <c r="G88" i="16"/>
  <c r="G18" i="16"/>
  <c r="G12" i="16"/>
  <c r="G105" i="16"/>
  <c r="G65" i="16"/>
  <c r="G45" i="16"/>
  <c r="G25" i="16"/>
  <c r="G123" i="16"/>
  <c r="G48" i="16"/>
  <c r="G103" i="16"/>
  <c r="G63" i="16"/>
  <c r="G23" i="16"/>
  <c r="G121" i="16"/>
  <c r="G120" i="16"/>
  <c r="G82" i="16"/>
  <c r="G116" i="16"/>
  <c r="G77" i="16"/>
  <c r="G37" i="16"/>
  <c r="G118" i="16"/>
  <c r="G112" i="16"/>
  <c r="G113" i="16"/>
  <c r="G68" i="16"/>
  <c r="G33" i="16"/>
  <c r="G126" i="16"/>
  <c r="G100" i="16"/>
  <c r="G42" i="16"/>
  <c r="G24" i="16"/>
  <c r="G51" i="16"/>
  <c r="G107" i="16"/>
  <c r="G34" i="16"/>
  <c r="G109" i="16"/>
  <c r="G69" i="16"/>
  <c r="G49" i="16"/>
  <c r="G52" i="16"/>
  <c r="G85" i="16"/>
  <c r="G128" i="16"/>
  <c r="G83" i="16"/>
  <c r="G43" i="16"/>
  <c r="G79" i="16"/>
  <c r="G117" i="16"/>
  <c r="G38" i="16"/>
  <c r="G66" i="16"/>
  <c r="G76" i="16"/>
  <c r="G115" i="16"/>
  <c r="G108" i="16"/>
  <c r="G58" i="16"/>
  <c r="G95" i="16"/>
  <c r="G75" i="16"/>
  <c r="G35" i="16"/>
  <c r="G15" i="16"/>
  <c r="G73" i="16"/>
  <c r="G53" i="16"/>
  <c r="G110" i="16"/>
  <c r="G102" i="16"/>
  <c r="G29" i="16"/>
  <c r="G70" i="16"/>
  <c r="G78" i="16"/>
  <c r="G84" i="16"/>
  <c r="G130" i="16"/>
  <c r="G98" i="16"/>
  <c r="G46" i="16"/>
  <c r="G74" i="16"/>
  <c r="G114" i="16"/>
  <c r="G19" i="16"/>
  <c r="G30" i="16"/>
  <c r="G36" i="16"/>
  <c r="G97" i="16"/>
  <c r="G57" i="16"/>
  <c r="G17" i="16"/>
  <c r="G72" i="16"/>
  <c r="G55" i="16"/>
  <c r="G22" i="16"/>
  <c r="G50" i="16"/>
  <c r="G93" i="16"/>
  <c r="G13" i="16"/>
  <c r="G71" i="16"/>
  <c r="G96" i="16"/>
  <c r="G89" i="16"/>
  <c r="G127" i="16"/>
  <c r="G62" i="16"/>
  <c r="G80" i="16"/>
  <c r="G122" i="16"/>
  <c r="G44" i="16"/>
  <c r="G124" i="16"/>
  <c r="G101" i="16"/>
  <c r="G81" i="16"/>
  <c r="G61" i="16"/>
  <c r="G41" i="16"/>
  <c r="G21" i="16"/>
  <c r="G119" i="16"/>
  <c r="G40" i="16"/>
  <c r="G99" i="16"/>
  <c r="G59" i="16"/>
  <c r="G39" i="16"/>
  <c r="G54" i="16"/>
  <c r="G32" i="16"/>
  <c r="G104" i="16"/>
  <c r="G28" i="16"/>
  <c r="G64" i="16"/>
  <c r="G91" i="16"/>
  <c r="G31" i="16"/>
  <c r="G129" i="16"/>
  <c r="G60" i="16"/>
  <c r="G20" i="16"/>
  <c r="O23" i="16"/>
  <c r="E12" i="21" s="1"/>
  <c r="H12" i="21" s="1"/>
  <c r="F130" i="16"/>
  <c r="K129" i="16"/>
  <c r="F150" i="1" l="1"/>
  <c r="K149" i="1"/>
  <c r="G149" i="1"/>
  <c r="F2" i="16"/>
  <c r="E2" i="16"/>
  <c r="I58" i="16" s="1"/>
  <c r="E1" i="16"/>
  <c r="K130" i="16"/>
  <c r="E5" i="16" s="1"/>
  <c r="D12" i="21"/>
  <c r="I70" i="16" l="1"/>
  <c r="I40" i="16"/>
  <c r="I68" i="16"/>
  <c r="I90" i="16"/>
  <c r="I46" i="16"/>
  <c r="I43" i="16"/>
  <c r="I23" i="16"/>
  <c r="I124" i="16"/>
  <c r="I32" i="16"/>
  <c r="I119" i="16"/>
  <c r="I59" i="16"/>
  <c r="I17" i="16"/>
  <c r="I127" i="16"/>
  <c r="I47" i="16"/>
  <c r="I76" i="16"/>
  <c r="I26" i="16"/>
  <c r="I69" i="16"/>
  <c r="I25" i="16"/>
  <c r="I31" i="16"/>
  <c r="I57" i="16"/>
  <c r="I20" i="16"/>
  <c r="I91" i="16"/>
  <c r="I28" i="16"/>
  <c r="I30" i="16"/>
  <c r="I80" i="16"/>
  <c r="I106" i="16"/>
  <c r="I48" i="16"/>
  <c r="I44" i="16"/>
  <c r="I79" i="16"/>
  <c r="I99" i="16"/>
  <c r="I83" i="16"/>
  <c r="I107" i="16"/>
  <c r="I129" i="16"/>
  <c r="I35" i="16"/>
  <c r="I93" i="16"/>
  <c r="I100" i="16"/>
  <c r="I108" i="16"/>
  <c r="I13" i="16"/>
  <c r="I71" i="16"/>
  <c r="I110" i="16"/>
  <c r="I86" i="16"/>
  <c r="I81" i="16"/>
  <c r="I54" i="16"/>
  <c r="I16" i="16"/>
  <c r="I114" i="16"/>
  <c r="I72" i="16"/>
  <c r="I125" i="16"/>
  <c r="I45" i="16"/>
  <c r="I18" i="16"/>
  <c r="I102" i="16"/>
  <c r="I50" i="16"/>
  <c r="I62" i="16"/>
  <c r="I24" i="16"/>
  <c r="G150" i="1"/>
  <c r="F151" i="1"/>
  <c r="K150" i="1"/>
  <c r="O24" i="1"/>
  <c r="I104" i="16"/>
  <c r="I12" i="16"/>
  <c r="I75" i="16"/>
  <c r="I34" i="16"/>
  <c r="I113" i="16"/>
  <c r="I29" i="16"/>
  <c r="I37" i="16"/>
  <c r="I97" i="16"/>
  <c r="I56" i="16"/>
  <c r="I95" i="16"/>
  <c r="I105" i="16"/>
  <c r="I116" i="16"/>
  <c r="I19" i="16"/>
  <c r="I112" i="16"/>
  <c r="I61" i="16"/>
  <c r="I115" i="16"/>
  <c r="I12" i="21"/>
  <c r="F4" i="16"/>
  <c r="F3" i="16"/>
  <c r="J197" i="16"/>
  <c r="J238" i="16"/>
  <c r="J114" i="16"/>
  <c r="J208" i="16"/>
  <c r="J229" i="16"/>
  <c r="J167" i="16"/>
  <c r="J218" i="16"/>
  <c r="J152" i="16"/>
  <c r="J122" i="16"/>
  <c r="J126" i="16"/>
  <c r="J138" i="16"/>
  <c r="J118" i="16"/>
  <c r="J141" i="16"/>
  <c r="J255" i="16"/>
  <c r="J199" i="16"/>
  <c r="J258" i="16"/>
  <c r="J176" i="16"/>
  <c r="J192" i="16"/>
  <c r="J270" i="16"/>
  <c r="J153" i="16"/>
  <c r="J201" i="16"/>
  <c r="J216" i="16"/>
  <c r="J165" i="16"/>
  <c r="J195" i="16"/>
  <c r="J256" i="16"/>
  <c r="J200" i="16"/>
  <c r="J190" i="16"/>
  <c r="J196" i="16"/>
  <c r="J175" i="16"/>
  <c r="J183" i="16"/>
  <c r="J107" i="16"/>
  <c r="J171" i="16"/>
  <c r="J164" i="16"/>
  <c r="J226" i="16"/>
  <c r="J150" i="16"/>
  <c r="J206" i="16"/>
  <c r="J268" i="16"/>
  <c r="J127" i="16"/>
  <c r="J157" i="16"/>
  <c r="J160" i="16"/>
  <c r="J116" i="16"/>
  <c r="J204" i="16"/>
  <c r="J189" i="16"/>
  <c r="J202" i="16"/>
  <c r="J221" i="16"/>
  <c r="J217" i="16"/>
  <c r="J170" i="16"/>
  <c r="J236" i="16"/>
  <c r="J159" i="16"/>
  <c r="J129" i="16"/>
  <c r="J184" i="16"/>
  <c r="J161" i="16"/>
  <c r="J232" i="16"/>
  <c r="J198" i="16"/>
  <c r="J219" i="16"/>
  <c r="J123" i="16"/>
  <c r="J194" i="16"/>
  <c r="J257" i="16"/>
  <c r="J222" i="16"/>
  <c r="J109" i="16"/>
  <c r="J117" i="16"/>
  <c r="J151" i="16"/>
  <c r="J207" i="16"/>
  <c r="J259" i="16"/>
  <c r="J120" i="16"/>
  <c r="J265" i="16"/>
  <c r="J210" i="16"/>
  <c r="J186" i="16"/>
  <c r="J177" i="16"/>
  <c r="J148" i="16"/>
  <c r="J227" i="16"/>
  <c r="J132" i="16"/>
  <c r="J158" i="16"/>
  <c r="J262" i="16"/>
  <c r="J243" i="16"/>
  <c r="J111" i="16"/>
  <c r="J179" i="16"/>
  <c r="J146" i="16"/>
  <c r="J134" i="16"/>
  <c r="J154" i="16"/>
  <c r="J242" i="16"/>
  <c r="J140" i="16"/>
  <c r="J224" i="16"/>
  <c r="J253" i="16"/>
  <c r="J108" i="16"/>
  <c r="J174" i="16"/>
  <c r="J271" i="16"/>
  <c r="J209" i="16"/>
  <c r="J133" i="16"/>
  <c r="J172" i="16"/>
  <c r="J212" i="16"/>
  <c r="J110" i="16"/>
  <c r="J213" i="16"/>
  <c r="J131" i="16"/>
  <c r="J225" i="16"/>
  <c r="J250" i="16"/>
  <c r="J115" i="16"/>
  <c r="J124" i="16"/>
  <c r="J211" i="16"/>
  <c r="J267" i="16"/>
  <c r="J203" i="16"/>
  <c r="J228" i="16"/>
  <c r="J237" i="16"/>
  <c r="J168" i="16"/>
  <c r="J215" i="16"/>
  <c r="J269" i="16"/>
  <c r="J187" i="16"/>
  <c r="J181" i="16"/>
  <c r="J137" i="16"/>
  <c r="J240" i="16"/>
  <c r="J145" i="16"/>
  <c r="J162" i="16"/>
  <c r="J147" i="16"/>
  <c r="J241" i="16"/>
  <c r="J112" i="16"/>
  <c r="J193" i="16"/>
  <c r="J230" i="16"/>
  <c r="J125" i="16"/>
  <c r="J246" i="16"/>
  <c r="J251" i="16"/>
  <c r="J135" i="16"/>
  <c r="J163" i="16"/>
  <c r="J188" i="16"/>
  <c r="J182" i="16"/>
  <c r="J185" i="16"/>
  <c r="J249" i="16"/>
  <c r="J245" i="16"/>
  <c r="J254" i="16"/>
  <c r="J136" i="16"/>
  <c r="J149" i="16"/>
  <c r="J231" i="16"/>
  <c r="J121" i="16"/>
  <c r="J234" i="16"/>
  <c r="J220" i="16"/>
  <c r="J214" i="16"/>
  <c r="J239" i="16"/>
  <c r="J130" i="16"/>
  <c r="J142" i="16"/>
  <c r="J247" i="16"/>
  <c r="J248" i="16"/>
  <c r="J205" i="16"/>
  <c r="J180" i="16"/>
  <c r="J244" i="16"/>
  <c r="J106" i="16"/>
  <c r="J128" i="16"/>
  <c r="J191" i="16"/>
  <c r="J113" i="16"/>
  <c r="J260" i="16"/>
  <c r="J233" i="16"/>
  <c r="J235" i="16"/>
  <c r="J166" i="16"/>
  <c r="J155" i="16"/>
  <c r="J119" i="16"/>
  <c r="J173" i="16"/>
  <c r="J223" i="16"/>
  <c r="J178" i="16"/>
  <c r="J156" i="16"/>
  <c r="J144" i="16"/>
  <c r="J143" i="16"/>
  <c r="J169" i="16"/>
  <c r="J266" i="16"/>
  <c r="J263" i="16"/>
  <c r="J252" i="16"/>
  <c r="J261" i="16"/>
  <c r="J139" i="16"/>
  <c r="J264" i="16"/>
  <c r="I74" i="16"/>
  <c r="I67" i="16"/>
  <c r="I94" i="16"/>
  <c r="I121" i="16"/>
  <c r="I14" i="16"/>
  <c r="I41" i="16"/>
  <c r="I117" i="16"/>
  <c r="I38" i="16"/>
  <c r="I101" i="16"/>
  <c r="I84" i="16"/>
  <c r="I88" i="16"/>
  <c r="I39" i="16"/>
  <c r="I96" i="16"/>
  <c r="I130" i="16"/>
  <c r="I22" i="16"/>
  <c r="I120" i="16"/>
  <c r="I51" i="16"/>
  <c r="I33" i="16"/>
  <c r="I128" i="16"/>
  <c r="I92" i="16"/>
  <c r="I15" i="16"/>
  <c r="I73" i="16"/>
  <c r="I27" i="16"/>
  <c r="I64" i="16"/>
  <c r="I77" i="16"/>
  <c r="I60" i="16"/>
  <c r="I103" i="16"/>
  <c r="I82" i="16"/>
  <c r="I66" i="16"/>
  <c r="I78" i="16"/>
  <c r="I87" i="16"/>
  <c r="I123" i="16"/>
  <c r="I63" i="16"/>
  <c r="I85" i="16"/>
  <c r="I126" i="16"/>
  <c r="I53" i="16"/>
  <c r="I109" i="16"/>
  <c r="I65" i="16"/>
  <c r="I111" i="16"/>
  <c r="I21" i="16"/>
  <c r="I122" i="16"/>
  <c r="I52" i="16"/>
  <c r="I89" i="16"/>
  <c r="I49" i="16"/>
  <c r="I36" i="16"/>
  <c r="I118" i="16"/>
  <c r="I98" i="16"/>
  <c r="I55" i="16"/>
  <c r="I42" i="16"/>
  <c r="G151" i="1" l="1"/>
  <c r="F152" i="1"/>
  <c r="K151" i="1"/>
  <c r="E7" i="1"/>
  <c r="F153" i="1" l="1"/>
  <c r="K152" i="1"/>
  <c r="G152" i="1"/>
  <c r="F154" i="1" l="1"/>
  <c r="K153" i="1"/>
  <c r="G153" i="1"/>
  <c r="F155" i="1" l="1"/>
  <c r="K154" i="1"/>
  <c r="G154" i="1"/>
  <c r="F156" i="1" l="1"/>
  <c r="K155" i="1"/>
  <c r="G155" i="1"/>
  <c r="K156" i="1" l="1"/>
  <c r="G156" i="1"/>
  <c r="F157" i="1"/>
  <c r="O25" i="1"/>
  <c r="G157" i="1" l="1"/>
  <c r="F158" i="1"/>
  <c r="K157" i="1"/>
  <c r="F159" i="1" l="1"/>
  <c r="K158" i="1"/>
  <c r="G158" i="1"/>
  <c r="F160" i="1" l="1"/>
  <c r="K159" i="1"/>
  <c r="G159" i="1"/>
  <c r="F161" i="1" l="1"/>
  <c r="K160" i="1"/>
  <c r="G160" i="1"/>
  <c r="G161" i="1" l="1"/>
  <c r="F162" i="1"/>
  <c r="K161" i="1"/>
  <c r="G162" i="1" l="1"/>
  <c r="F163" i="1"/>
  <c r="K162" i="1"/>
  <c r="F164" i="1" l="1"/>
  <c r="K163" i="1"/>
  <c r="G163" i="1"/>
  <c r="O26" i="1"/>
  <c r="K164" i="1" l="1"/>
  <c r="F165" i="1"/>
  <c r="G164" i="1"/>
  <c r="F166" i="1" l="1"/>
  <c r="K165" i="1"/>
  <c r="G165" i="1"/>
  <c r="K166" i="1" l="1"/>
  <c r="F167" i="1"/>
  <c r="G166" i="1"/>
  <c r="F168" i="1" l="1"/>
  <c r="K167" i="1"/>
  <c r="G167" i="1"/>
  <c r="O27" i="1"/>
  <c r="F169" i="1" l="1"/>
  <c r="K168" i="1"/>
  <c r="G168" i="1"/>
  <c r="K169" i="1" l="1"/>
  <c r="F170" i="1"/>
  <c r="G169" i="1"/>
  <c r="K170" i="1" l="1"/>
  <c r="F171" i="1"/>
  <c r="G170" i="1"/>
  <c r="O28" i="1"/>
  <c r="F172" i="1" l="1"/>
  <c r="K171" i="1"/>
  <c r="G171" i="1"/>
  <c r="K172" i="1" l="1"/>
  <c r="F173" i="1"/>
  <c r="G172" i="1"/>
  <c r="K173" i="1" l="1"/>
  <c r="G173" i="1"/>
  <c r="F174" i="1"/>
  <c r="O29" i="1"/>
  <c r="F175" i="1" l="1"/>
  <c r="K174" i="1"/>
  <c r="G174" i="1"/>
  <c r="F176" i="1" l="1"/>
  <c r="K175" i="1"/>
  <c r="G175" i="1"/>
  <c r="F177" i="1" l="1"/>
  <c r="K176" i="1"/>
  <c r="G176" i="1"/>
  <c r="O30" i="1"/>
  <c r="F178" i="1" l="1"/>
  <c r="K177" i="1"/>
  <c r="G177" i="1"/>
  <c r="F179" i="1" l="1"/>
  <c r="K178" i="1"/>
  <c r="G178" i="1"/>
  <c r="G179" i="1" l="1"/>
  <c r="F180" i="1"/>
  <c r="K179" i="1"/>
  <c r="O31" i="1"/>
  <c r="F181" i="1" l="1"/>
  <c r="K180" i="1"/>
  <c r="G180" i="1"/>
  <c r="F182" i="1" l="1"/>
  <c r="K181" i="1"/>
  <c r="G181" i="1"/>
  <c r="G182" i="1" l="1"/>
  <c r="K182" i="1"/>
  <c r="F183" i="1"/>
  <c r="O32" i="1"/>
  <c r="K183" i="1" l="1"/>
  <c r="F184" i="1"/>
  <c r="G183" i="1"/>
  <c r="K184" i="1" l="1"/>
  <c r="F185" i="1"/>
  <c r="G184" i="1"/>
  <c r="F186" i="1" l="1"/>
  <c r="K185" i="1"/>
  <c r="G185" i="1"/>
  <c r="O33" i="1"/>
  <c r="F187" i="1" l="1"/>
  <c r="K186" i="1"/>
  <c r="G186" i="1"/>
  <c r="F188" i="1" l="1"/>
  <c r="K187" i="1"/>
  <c r="G187" i="1"/>
  <c r="N3" i="8"/>
  <c r="R6" i="8" s="1"/>
  <c r="M3" i="8"/>
  <c r="F189" i="1" l="1"/>
  <c r="G188" i="1"/>
  <c r="K188" i="1"/>
  <c r="O34" i="1"/>
  <c r="K189" i="1" l="1"/>
  <c r="F190" i="1"/>
  <c r="G189" i="1"/>
  <c r="F191" i="1" l="1"/>
  <c r="G190" i="1"/>
  <c r="K190" i="1"/>
  <c r="O35" i="1" l="1"/>
  <c r="K191" i="1"/>
  <c r="F192" i="1"/>
  <c r="G191" i="1"/>
  <c r="E2" i="1" l="1"/>
  <c r="G192" i="1"/>
  <c r="K192" i="1"/>
  <c r="E5" i="1" s="1"/>
  <c r="D3" i="8"/>
  <c r="E6" i="1" s="1"/>
  <c r="C3" i="8"/>
  <c r="R12" i="1"/>
  <c r="R13" i="1"/>
  <c r="I6" i="1"/>
  <c r="F2" i="1" l="1"/>
  <c r="E1" i="1"/>
  <c r="I38" i="1" l="1"/>
  <c r="I37" i="1"/>
  <c r="I40" i="1"/>
  <c r="I50" i="1"/>
  <c r="I57" i="1"/>
  <c r="J241" i="1"/>
  <c r="J150" i="1"/>
  <c r="J133" i="1"/>
  <c r="J16" i="1"/>
  <c r="J105" i="1"/>
  <c r="J49" i="1"/>
  <c r="J88" i="1"/>
  <c r="J163" i="1"/>
  <c r="J70" i="1"/>
  <c r="J288" i="1"/>
  <c r="J195" i="1"/>
  <c r="J242" i="1"/>
  <c r="J198" i="1"/>
  <c r="J319" i="1"/>
  <c r="J196" i="1"/>
  <c r="J321" i="1"/>
  <c r="J318" i="1"/>
  <c r="J139" i="1"/>
  <c r="J115" i="1"/>
  <c r="J94" i="1"/>
  <c r="J80" i="1"/>
  <c r="J216" i="1"/>
  <c r="J312" i="1"/>
  <c r="J234" i="1"/>
  <c r="J204" i="1"/>
  <c r="J268" i="1"/>
  <c r="J269" i="1"/>
  <c r="J302" i="1"/>
  <c r="J146" i="1"/>
  <c r="J54" i="1"/>
  <c r="J77" i="1"/>
  <c r="J36" i="1"/>
  <c r="J31" i="1"/>
  <c r="I65" i="1"/>
  <c r="I29" i="1"/>
  <c r="I42" i="1"/>
  <c r="I49" i="1"/>
  <c r="J250" i="1"/>
  <c r="J125" i="1"/>
  <c r="J177" i="1"/>
  <c r="J102" i="1"/>
  <c r="J41" i="1"/>
  <c r="J76" i="1"/>
  <c r="J169" i="1"/>
  <c r="J62" i="1"/>
  <c r="J306" i="1"/>
  <c r="J217" i="1"/>
  <c r="J201" i="1"/>
  <c r="J274" i="1"/>
  <c r="J245" i="1"/>
  <c r="J215" i="1"/>
  <c r="J187" i="1"/>
  <c r="J325" i="1"/>
  <c r="J129" i="1"/>
  <c r="J103" i="1"/>
  <c r="J82" i="1"/>
  <c r="J66" i="1"/>
  <c r="J179" i="1"/>
  <c r="I22" i="1"/>
  <c r="I43" i="1"/>
  <c r="I62" i="1"/>
  <c r="I63" i="1"/>
  <c r="I55" i="1"/>
  <c r="I25" i="1"/>
  <c r="J158" i="1"/>
  <c r="J164" i="1"/>
  <c r="J73" i="1"/>
  <c r="J157" i="1"/>
  <c r="J87" i="1"/>
  <c r="J17" i="1"/>
  <c r="J48" i="1"/>
  <c r="J124" i="1"/>
  <c r="J43" i="1"/>
  <c r="J235" i="1"/>
  <c r="J257" i="1"/>
  <c r="J190" i="1"/>
  <c r="J320" i="1"/>
  <c r="J327" i="1"/>
  <c r="J284" i="1"/>
  <c r="J271" i="1"/>
  <c r="J130" i="1"/>
  <c r="J46" i="1"/>
  <c r="J69" i="1"/>
  <c r="J30" i="1"/>
  <c r="J23" i="1"/>
  <c r="J222" i="1"/>
  <c r="J275" i="1"/>
  <c r="J298" i="1"/>
  <c r="J231" i="1"/>
  <c r="J277" i="1"/>
  <c r="J286" i="1"/>
  <c r="J273" i="1"/>
  <c r="J172" i="1"/>
  <c r="J159" i="1"/>
  <c r="J21" i="1"/>
  <c r="J128" i="1"/>
  <c r="I14" i="1"/>
  <c r="I35" i="1"/>
  <c r="I32" i="1"/>
  <c r="I34" i="1"/>
  <c r="I47" i="1"/>
  <c r="I66" i="1"/>
  <c r="I17" i="1"/>
  <c r="J153" i="1"/>
  <c r="J162" i="1"/>
  <c r="J58" i="1"/>
  <c r="J141" i="1"/>
  <c r="J83" i="1"/>
  <c r="J40" i="1"/>
  <c r="J114" i="1"/>
  <c r="J35" i="1"/>
  <c r="J228" i="1"/>
  <c r="J246" i="1"/>
  <c r="I13" i="1"/>
  <c r="I21" i="1"/>
  <c r="J144" i="1"/>
  <c r="J42" i="1"/>
  <c r="J92" i="1"/>
  <c r="J91" i="1"/>
  <c r="J96" i="1"/>
  <c r="J281" i="1"/>
  <c r="J200" i="1"/>
  <c r="J239" i="1"/>
  <c r="J230" i="1"/>
  <c r="J220" i="1"/>
  <c r="J116" i="1"/>
  <c r="J93" i="1"/>
  <c r="J173" i="1"/>
  <c r="J223" i="1"/>
  <c r="J280" i="1"/>
  <c r="J240" i="1"/>
  <c r="J307" i="1"/>
  <c r="J213" i="1"/>
  <c r="J299" i="1"/>
  <c r="J147" i="1"/>
  <c r="J99" i="1"/>
  <c r="J22" i="1"/>
  <c r="I12" i="1"/>
  <c r="J247" i="1"/>
  <c r="J132" i="1"/>
  <c r="J32" i="1"/>
  <c r="J75" i="1"/>
  <c r="J68" i="1"/>
  <c r="J84" i="1"/>
  <c r="J329" i="1"/>
  <c r="J283" i="1"/>
  <c r="J267" i="1"/>
  <c r="J180" i="1"/>
  <c r="J304" i="1"/>
  <c r="J174" i="1"/>
  <c r="J85" i="1"/>
  <c r="J140" i="1"/>
  <c r="J256" i="1"/>
  <c r="J290" i="1"/>
  <c r="J272" i="1"/>
  <c r="J219" i="1"/>
  <c r="J214" i="1"/>
  <c r="J249" i="1"/>
  <c r="J135" i="1"/>
  <c r="J171" i="1"/>
  <c r="J176" i="1"/>
  <c r="J67" i="1"/>
  <c r="J78" i="1"/>
  <c r="J309" i="1"/>
  <c r="J236" i="1"/>
  <c r="J148" i="1"/>
  <c r="J120" i="1"/>
  <c r="J238" i="1"/>
  <c r="J285" i="1"/>
  <c r="J109" i="1"/>
  <c r="J65" i="1"/>
  <c r="J308" i="1"/>
  <c r="J53" i="1"/>
  <c r="J57" i="1"/>
  <c r="J178" i="1"/>
  <c r="J232" i="1"/>
  <c r="J55" i="1"/>
  <c r="J210" i="1"/>
  <c r="J207" i="1"/>
  <c r="J38" i="1"/>
  <c r="J86" i="1"/>
  <c r="J18" i="1"/>
  <c r="J39" i="1"/>
  <c r="J265" i="1"/>
  <c r="I59" i="1"/>
  <c r="I39" i="1"/>
  <c r="J121" i="1"/>
  <c r="F3" i="1"/>
  <c r="J326" i="1"/>
  <c r="J193" i="1"/>
  <c r="J208" i="1"/>
  <c r="J122" i="1"/>
  <c r="J209" i="1"/>
  <c r="J291" i="1"/>
  <c r="J131" i="1"/>
  <c r="J106" i="1"/>
  <c r="J44" i="1"/>
  <c r="J292" i="1"/>
  <c r="J282" i="1"/>
  <c r="J72" i="1"/>
  <c r="J194" i="1"/>
  <c r="J123" i="1"/>
  <c r="J301" i="1"/>
  <c r="J89" i="1"/>
  <c r="I60" i="1"/>
  <c r="J229" i="1"/>
  <c r="J24" i="1"/>
  <c r="J56" i="1"/>
  <c r="J185" i="1"/>
  <c r="J183" i="1"/>
  <c r="J294" i="1"/>
  <c r="J61" i="1"/>
  <c r="J296" i="1"/>
  <c r="J205" i="1"/>
  <c r="J328" i="1"/>
  <c r="J221" i="1"/>
  <c r="J155" i="1"/>
  <c r="J79" i="1"/>
  <c r="I61" i="1"/>
  <c r="I24" i="1"/>
  <c r="I26" i="1"/>
  <c r="J252" i="1"/>
  <c r="J151" i="1"/>
  <c r="J167" i="1"/>
  <c r="J26" i="1"/>
  <c r="J51" i="1"/>
  <c r="J258" i="1"/>
  <c r="J224" i="1"/>
  <c r="J262" i="1"/>
  <c r="J29" i="1"/>
  <c r="J276" i="1"/>
  <c r="J279" i="1"/>
  <c r="J199" i="1"/>
  <c r="J37" i="1"/>
  <c r="I30" i="1"/>
  <c r="I16" i="1"/>
  <c r="I18" i="1"/>
  <c r="J253" i="1"/>
  <c r="J27" i="1"/>
  <c r="J289" i="1"/>
  <c r="J259" i="1"/>
  <c r="J323" i="1"/>
  <c r="J74" i="1"/>
  <c r="I54" i="1"/>
  <c r="I56" i="1"/>
  <c r="J137" i="1"/>
  <c r="J25" i="1"/>
  <c r="J243" i="1"/>
  <c r="J225" i="1"/>
  <c r="J251" i="1"/>
  <c r="J184" i="1"/>
  <c r="J60" i="1"/>
  <c r="J117" i="1"/>
  <c r="J297" i="1"/>
  <c r="J175" i="1"/>
  <c r="J192" i="1"/>
  <c r="J113" i="1"/>
  <c r="J303" i="1"/>
  <c r="J191" i="1"/>
  <c r="J332" i="1"/>
  <c r="J119" i="1"/>
  <c r="J331" i="1"/>
  <c r="J14" i="1"/>
  <c r="J202" i="1"/>
  <c r="J233" i="1"/>
  <c r="J170" i="1"/>
  <c r="J293" i="1"/>
  <c r="J322" i="1"/>
  <c r="J149" i="1"/>
  <c r="J270" i="1"/>
  <c r="J52" i="1"/>
  <c r="I28" i="1"/>
  <c r="J254" i="1"/>
  <c r="J152" i="1"/>
  <c r="J161" i="1"/>
  <c r="J64" i="1"/>
  <c r="J34" i="1"/>
  <c r="J59" i="1"/>
  <c r="J287" i="1"/>
  <c r="J314" i="1"/>
  <c r="J261" i="1"/>
  <c r="J255" i="1"/>
  <c r="J295" i="1"/>
  <c r="J95" i="1"/>
  <c r="J45" i="1"/>
  <c r="J98" i="1"/>
  <c r="J203" i="1"/>
  <c r="J317" i="1"/>
  <c r="J260" i="1"/>
  <c r="J324" i="1"/>
  <c r="J227" i="1"/>
  <c r="J110" i="1"/>
  <c r="J333" i="1"/>
  <c r="J127" i="1"/>
  <c r="J313" i="1"/>
  <c r="J12" i="1"/>
  <c r="J186" i="1"/>
  <c r="J118" i="1"/>
  <c r="J134" i="1"/>
  <c r="J278" i="1"/>
  <c r="J108" i="1"/>
  <c r="J264" i="1"/>
  <c r="J104" i="1"/>
  <c r="J107" i="1"/>
  <c r="J218" i="1"/>
  <c r="J188" i="1"/>
  <c r="J316" i="1"/>
  <c r="J47" i="1"/>
  <c r="J305" i="1"/>
  <c r="J166" i="1"/>
  <c r="J212" i="1"/>
  <c r="I20" i="1"/>
  <c r="J71" i="1"/>
  <c r="I58" i="1"/>
  <c r="J143" i="1"/>
  <c r="J33" i="1"/>
  <c r="J248" i="1"/>
  <c r="J211" i="1"/>
  <c r="J28" i="1"/>
  <c r="J182" i="1"/>
  <c r="J20" i="1"/>
  <c r="I52" i="1"/>
  <c r="J19" i="1"/>
  <c r="J13" i="1"/>
  <c r="J300" i="1"/>
  <c r="J165" i="1"/>
  <c r="J244" i="1"/>
  <c r="J154" i="1"/>
  <c r="J266" i="1"/>
  <c r="J90" i="1"/>
  <c r="J226" i="1"/>
  <c r="J330" i="1"/>
  <c r="J136" i="1"/>
  <c r="J315" i="1"/>
  <c r="J126" i="1"/>
  <c r="J63" i="1"/>
  <c r="J160" i="1"/>
  <c r="J81" i="1"/>
  <c r="J145" i="1"/>
  <c r="J156" i="1"/>
  <c r="J181" i="1"/>
  <c r="J142" i="1"/>
  <c r="J311" i="1"/>
  <c r="J197" i="1"/>
  <c r="J138" i="1"/>
  <c r="J310" i="1"/>
  <c r="J15" i="1"/>
  <c r="J111" i="1"/>
  <c r="I44" i="1"/>
  <c r="I51" i="1"/>
  <c r="I46" i="1"/>
  <c r="I64" i="1"/>
  <c r="I48" i="1"/>
  <c r="I31" i="1"/>
  <c r="J112" i="1"/>
  <c r="I36" i="1"/>
  <c r="I27" i="1"/>
  <c r="I53" i="1"/>
  <c r="I23" i="1"/>
  <c r="I41" i="1"/>
  <c r="F4" i="1"/>
  <c r="J263" i="1"/>
  <c r="I19" i="1"/>
  <c r="I45" i="1"/>
  <c r="I15" i="1"/>
  <c r="I33" i="1"/>
  <c r="J168" i="1"/>
  <c r="J50" i="1"/>
  <c r="J97" i="1"/>
  <c r="J101" i="1"/>
  <c r="J100" i="1"/>
  <c r="J206" i="1"/>
  <c r="J189" i="1"/>
  <c r="J237"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L3" i="8"/>
  <c r="I2" i="1"/>
  <c r="I3" i="1"/>
  <c r="I4" i="1" l="1"/>
  <c r="K4" i="1" s="1"/>
  <c r="I5" i="1"/>
  <c r="K5" i="1" s="1"/>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T9" i="4"/>
  <c r="I5" i="8"/>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T9" i="6"/>
  <c r="I6" i="8"/>
  <c r="R5" i="8"/>
  <c r="F21" i="2"/>
  <c r="E98" i="15"/>
  <c r="H98" i="15"/>
  <c r="F22" i="2"/>
  <c r="E99" i="15"/>
  <c r="H99" i="15"/>
  <c r="F23" i="2"/>
  <c r="E100" i="15"/>
  <c r="H100" i="15"/>
  <c r="F24" i="2"/>
  <c r="E101" i="15"/>
  <c r="H101" i="15"/>
  <c r="F25" i="2"/>
  <c r="E102" i="15"/>
  <c r="H102" i="15"/>
  <c r="F26" i="2"/>
  <c r="E103" i="15"/>
  <c r="H103" i="15"/>
  <c r="F27" i="2"/>
  <c r="E104" i="15"/>
  <c r="H104" i="15"/>
  <c r="F28" i="2"/>
  <c r="E105" i="15"/>
  <c r="H105" i="15"/>
  <c r="F29" i="2"/>
  <c r="E106" i="15"/>
  <c r="H106" i="15"/>
  <c r="F30" i="2"/>
  <c r="E107" i="15"/>
  <c r="H107" i="15"/>
  <c r="F31" i="2"/>
  <c r="E108" i="15"/>
  <c r="H108" i="15"/>
  <c r="F32" i="2"/>
  <c r="E109" i="15"/>
  <c r="H109" i="15"/>
  <c r="F33" i="2"/>
  <c r="E110" i="15"/>
  <c r="H110" i="15"/>
  <c r="F34" i="2"/>
  <c r="E111" i="15"/>
  <c r="H111" i="15"/>
  <c r="F35" i="2"/>
  <c r="E112" i="15"/>
  <c r="H112" i="15"/>
  <c r="F36" i="2"/>
  <c r="E113" i="15"/>
  <c r="H113" i="15"/>
  <c r="F37" i="2"/>
  <c r="E114" i="15"/>
  <c r="H114" i="15"/>
  <c r="F38" i="2"/>
  <c r="E115" i="15"/>
  <c r="H115" i="15"/>
  <c r="F39" i="2"/>
  <c r="E116" i="15"/>
  <c r="H116" i="15"/>
  <c r="F40" i="2"/>
  <c r="E117" i="15"/>
  <c r="H117" i="15"/>
  <c r="F41" i="2"/>
  <c r="E118" i="15"/>
  <c r="H118" i="15"/>
  <c r="F42" i="2"/>
  <c r="E119" i="15"/>
  <c r="H119" i="15"/>
  <c r="F43" i="2"/>
  <c r="E120" i="15"/>
  <c r="H120" i="15"/>
  <c r="F44" i="2"/>
  <c r="E121" i="15"/>
  <c r="H121" i="15"/>
  <c r="F45" i="2"/>
  <c r="E122" i="15"/>
  <c r="H122" i="15"/>
  <c r="F46" i="2"/>
  <c r="E123" i="15"/>
  <c r="H123" i="15"/>
  <c r="F47" i="2"/>
  <c r="E124" i="15"/>
  <c r="H124" i="15"/>
  <c r="F48" i="2"/>
  <c r="E125" i="15"/>
  <c r="H125" i="15"/>
  <c r="F49" i="2"/>
  <c r="E126" i="15"/>
  <c r="H126" i="15"/>
  <c r="F50" i="2"/>
  <c r="E127" i="15"/>
  <c r="H127" i="15"/>
  <c r="F51" i="2"/>
  <c r="E128" i="15"/>
  <c r="H128" i="15"/>
  <c r="F52" i="2"/>
  <c r="E129" i="15"/>
  <c r="H129" i="15"/>
  <c r="F53" i="2"/>
  <c r="E130" i="15"/>
  <c r="H130" i="15"/>
  <c r="F54" i="2"/>
  <c r="E131" i="15"/>
  <c r="H131" i="15"/>
  <c r="F55" i="2"/>
  <c r="E132" i="15"/>
  <c r="H132" i="15"/>
  <c r="F56" i="2"/>
  <c r="E133" i="15"/>
  <c r="H133" i="15"/>
  <c r="F57" i="2"/>
  <c r="E134" i="15"/>
  <c r="H134" i="15"/>
  <c r="F58" i="2"/>
  <c r="E135" i="15"/>
  <c r="H135" i="15"/>
  <c r="F59" i="2"/>
  <c r="E136" i="15"/>
  <c r="H136" i="15"/>
  <c r="F60" i="2"/>
  <c r="E137" i="15"/>
  <c r="H137" i="15"/>
  <c r="F61" i="2"/>
  <c r="E138" i="15"/>
  <c r="H138" i="15"/>
  <c r="F62" i="2"/>
  <c r="E139" i="15"/>
  <c r="H139" i="15"/>
  <c r="F63" i="2"/>
  <c r="E140" i="15"/>
  <c r="H140" i="15"/>
  <c r="F64" i="2"/>
  <c r="E141" i="15"/>
  <c r="H141" i="15"/>
  <c r="F65" i="2"/>
  <c r="E142" i="15"/>
  <c r="H142" i="15"/>
  <c r="F66" i="2"/>
  <c r="E143" i="15"/>
  <c r="H143" i="15"/>
  <c r="F67" i="2"/>
  <c r="E144" i="15"/>
  <c r="H144" i="15"/>
  <c r="F68" i="2"/>
  <c r="E145" i="15"/>
  <c r="H145" i="15"/>
  <c r="F69" i="2"/>
  <c r="E146" i="15"/>
  <c r="H146" i="15"/>
  <c r="F70" i="2"/>
  <c r="E147" i="15"/>
  <c r="H147" i="15"/>
  <c r="F71" i="2"/>
  <c r="E148" i="15"/>
  <c r="H148" i="15"/>
  <c r="F72" i="2"/>
  <c r="E149" i="15"/>
  <c r="H149" i="15"/>
  <c r="F73" i="2"/>
  <c r="E150" i="15"/>
  <c r="H150" i="15"/>
  <c r="F74" i="2"/>
  <c r="E151" i="15"/>
  <c r="H151" i="15"/>
  <c r="F75" i="2"/>
  <c r="E152" i="15"/>
  <c r="H152" i="15"/>
  <c r="F76" i="2"/>
  <c r="E153" i="15"/>
  <c r="H153" i="15"/>
  <c r="F77" i="2"/>
  <c r="E154" i="15"/>
  <c r="H154" i="15"/>
  <c r="F78" i="2"/>
  <c r="E155" i="15"/>
  <c r="H155" i="15"/>
  <c r="F79" i="2"/>
  <c r="E156" i="15"/>
  <c r="H156" i="15"/>
  <c r="F80" i="2"/>
  <c r="E157" i="15"/>
  <c r="H157" i="15"/>
  <c r="F81" i="2"/>
  <c r="E158" i="15"/>
  <c r="H158" i="15"/>
  <c r="F82" i="2"/>
  <c r="E159" i="15"/>
  <c r="H159" i="15"/>
  <c r="F83" i="2"/>
  <c r="E160" i="15"/>
  <c r="H160" i="15"/>
  <c r="F84" i="2"/>
  <c r="E161" i="15"/>
  <c r="H161" i="15"/>
  <c r="F85" i="2"/>
  <c r="E162" i="15"/>
  <c r="H162" i="15"/>
  <c r="F86" i="2"/>
  <c r="E163" i="15"/>
  <c r="H163" i="15"/>
  <c r="F87" i="2"/>
  <c r="E164" i="15"/>
  <c r="H164" i="15"/>
  <c r="F88" i="2"/>
  <c r="E165" i="15"/>
  <c r="H165" i="15"/>
  <c r="F89" i="2"/>
  <c r="E166" i="15"/>
  <c r="H166" i="15"/>
  <c r="F90" i="2"/>
  <c r="E167" i="15"/>
  <c r="H167" i="15"/>
  <c r="F91" i="2"/>
  <c r="E168" i="15"/>
  <c r="H168" i="15"/>
  <c r="F92" i="2"/>
  <c r="E169" i="15"/>
  <c r="H169" i="15"/>
  <c r="F93" i="2"/>
  <c r="E170" i="15"/>
  <c r="H170" i="15"/>
  <c r="F94" i="2"/>
  <c r="E171" i="15"/>
  <c r="H171" i="15"/>
  <c r="F95" i="2"/>
  <c r="E172" i="15"/>
  <c r="H172" i="15"/>
  <c r="F96" i="2"/>
  <c r="E173" i="15"/>
  <c r="H173" i="15"/>
  <c r="F97" i="2"/>
  <c r="E174" i="15"/>
  <c r="H174" i="15"/>
  <c r="F98" i="2"/>
  <c r="E175" i="15"/>
  <c r="H175" i="15"/>
  <c r="F99" i="2"/>
  <c r="F133" i="23"/>
  <c r="E176" i="15"/>
  <c r="H176" i="15"/>
  <c r="F100" i="2"/>
  <c r="F134" i="23"/>
  <c r="E177" i="15"/>
  <c r="H177" i="15"/>
  <c r="F101" i="2"/>
  <c r="F135" i="23"/>
  <c r="E178" i="15"/>
  <c r="H178" i="15"/>
  <c r="F102" i="2"/>
  <c r="F136" i="23"/>
  <c r="E179" i="15"/>
  <c r="H179" i="15"/>
  <c r="F103" i="2"/>
  <c r="F137" i="23"/>
  <c r="E180" i="15"/>
  <c r="H180" i="15"/>
  <c r="F104" i="2"/>
  <c r="F138" i="23"/>
  <c r="E181" i="15"/>
  <c r="H181" i="15"/>
  <c r="F105" i="2"/>
  <c r="F139" i="23"/>
  <c r="E182" i="15"/>
  <c r="H182" i="15"/>
  <c r="F106" i="2"/>
  <c r="F140" i="23"/>
  <c r="E183" i="15"/>
  <c r="H183" i="15"/>
  <c r="F107" i="2"/>
  <c r="F141" i="23"/>
  <c r="E184" i="15"/>
  <c r="H184" i="15"/>
  <c r="F108" i="2"/>
  <c r="F142" i="23"/>
  <c r="E185" i="15"/>
  <c r="H185" i="15"/>
  <c r="F109" i="2"/>
  <c r="F143" i="23"/>
  <c r="E186" i="15"/>
  <c r="H186" i="15"/>
  <c r="F110" i="2"/>
  <c r="F144" i="23"/>
  <c r="E187" i="15"/>
  <c r="H187" i="15"/>
  <c r="F111" i="2"/>
  <c r="F145" i="23"/>
  <c r="E188" i="15"/>
  <c r="H188" i="15"/>
  <c r="F112" i="2"/>
  <c r="F146" i="23"/>
  <c r="E189" i="15"/>
  <c r="H189" i="15"/>
  <c r="F113" i="2"/>
  <c r="F147" i="23"/>
  <c r="E190" i="15"/>
  <c r="H190" i="15"/>
  <c r="F114" i="2"/>
  <c r="F148" i="23"/>
  <c r="E191" i="15"/>
  <c r="H191" i="15"/>
  <c r="F115" i="2"/>
  <c r="F149" i="23"/>
  <c r="E192" i="15"/>
  <c r="H192" i="15"/>
  <c r="F116" i="2"/>
  <c r="F150" i="23"/>
  <c r="E193" i="15"/>
  <c r="H193" i="15"/>
  <c r="F117" i="2"/>
  <c r="F151" i="23"/>
  <c r="E194" i="15"/>
  <c r="H194" i="15"/>
  <c r="F118" i="2"/>
  <c r="F152" i="23"/>
  <c r="E195" i="15"/>
  <c r="H195" i="15"/>
  <c r="F119" i="2"/>
  <c r="F153" i="23"/>
  <c r="E196" i="15"/>
  <c r="H196" i="15"/>
  <c r="F120" i="2"/>
  <c r="F154" i="23"/>
  <c r="E197" i="15"/>
  <c r="H197" i="15"/>
  <c r="F121" i="2"/>
  <c r="F155" i="23"/>
  <c r="E198" i="15"/>
  <c r="H198" i="15"/>
  <c r="F122" i="2"/>
  <c r="F156" i="23"/>
  <c r="E199" i="15"/>
  <c r="H199" i="15"/>
  <c r="F123" i="2"/>
  <c r="F157" i="23"/>
  <c r="E200" i="15"/>
  <c r="H200" i="15"/>
  <c r="F124" i="2"/>
  <c r="F158" i="23"/>
  <c r="E201" i="15"/>
  <c r="H201" i="15"/>
  <c r="F125" i="2"/>
  <c r="F159" i="23"/>
  <c r="E202" i="15"/>
  <c r="H202" i="15"/>
  <c r="F126" i="2"/>
  <c r="F160" i="23"/>
  <c r="E203" i="15"/>
  <c r="H203" i="15"/>
  <c r="F127" i="2"/>
  <c r="F161" i="23"/>
  <c r="E204" i="15"/>
  <c r="H204" i="15"/>
  <c r="F128" i="2"/>
  <c r="F162" i="23"/>
  <c r="E205" i="15"/>
  <c r="H205" i="15"/>
  <c r="F129" i="2"/>
  <c r="F163" i="23"/>
  <c r="E206" i="15"/>
  <c r="H206" i="15"/>
  <c r="F130" i="2"/>
  <c r="F164" i="23"/>
  <c r="E207" i="15"/>
  <c r="H207" i="15"/>
  <c r="F131" i="2"/>
  <c r="F165" i="23"/>
  <c r="E208" i="15"/>
  <c r="H208" i="15"/>
  <c r="F132" i="2"/>
  <c r="F166" i="23"/>
  <c r="E209" i="15"/>
  <c r="H209" i="15"/>
  <c r="F133" i="2"/>
  <c r="F167" i="23"/>
  <c r="E210" i="15"/>
  <c r="H210" i="15"/>
  <c r="F134" i="2"/>
  <c r="F168" i="23"/>
  <c r="E211" i="15"/>
  <c r="H211" i="15"/>
  <c r="F135" i="2"/>
  <c r="F169" i="23"/>
  <c r="E212" i="15"/>
  <c r="H212" i="15"/>
  <c r="F136" i="2"/>
  <c r="F170" i="23"/>
  <c r="E213" i="15"/>
  <c r="H213" i="15"/>
  <c r="F137" i="2"/>
  <c r="F171" i="23"/>
  <c r="E214" i="15"/>
  <c r="H214" i="15"/>
  <c r="F138" i="2"/>
  <c r="F172" i="23"/>
  <c r="E215" i="15"/>
  <c r="H215" i="15"/>
  <c r="I215" i="15"/>
  <c r="I214" i="15"/>
  <c r="F139" i="2"/>
  <c r="F173" i="23"/>
  <c r="E216" i="15"/>
  <c r="H216" i="15"/>
  <c r="I216" i="15"/>
  <c r="I213" i="15"/>
  <c r="C13" i="21"/>
  <c r="D13" i="21"/>
  <c r="K13" i="21" s="1"/>
  <c r="I208" i="15"/>
  <c r="J208" i="15"/>
  <c r="I139" i="15"/>
  <c r="I205" i="15"/>
  <c r="J205" i="15"/>
  <c r="I134" i="15"/>
  <c r="I113" i="15"/>
  <c r="I124" i="15"/>
  <c r="I184" i="15"/>
  <c r="I158" i="15"/>
  <c r="I210" i="15"/>
  <c r="I180" i="15"/>
  <c r="I179" i="15"/>
  <c r="I199" i="15"/>
  <c r="I104" i="15"/>
  <c r="I211" i="15"/>
  <c r="I151" i="15"/>
  <c r="I106" i="15"/>
  <c r="I200" i="15"/>
  <c r="I99" i="15"/>
  <c r="I126" i="15"/>
  <c r="I148" i="15"/>
  <c r="I115" i="15"/>
  <c r="I109" i="15"/>
  <c r="I161" i="15"/>
  <c r="I209" i="15"/>
  <c r="J209" i="15"/>
  <c r="I103" i="15"/>
  <c r="I187" i="15"/>
  <c r="I206" i="15"/>
  <c r="J206" i="15"/>
  <c r="I150" i="15"/>
  <c r="I188" i="15"/>
  <c r="I197" i="15"/>
  <c r="I201" i="15"/>
  <c r="I162" i="15"/>
  <c r="I167" i="15"/>
  <c r="I163" i="15"/>
  <c r="I144" i="15"/>
  <c r="I110" i="15"/>
  <c r="I135" i="15"/>
  <c r="I108" i="15"/>
  <c r="I177" i="15"/>
  <c r="I132" i="15"/>
  <c r="I141" i="15"/>
  <c r="I114" i="15"/>
  <c r="I183" i="15"/>
  <c r="I105" i="15"/>
  <c r="I117" i="15"/>
  <c r="I195" i="15"/>
  <c r="I111" i="15"/>
  <c r="I107" i="15"/>
  <c r="I171" i="15"/>
  <c r="I130" i="15"/>
  <c r="I154" i="15"/>
  <c r="I182" i="15"/>
  <c r="I143" i="15"/>
  <c r="I185" i="15"/>
  <c r="I164" i="15"/>
  <c r="I192" i="15"/>
  <c r="I145" i="15"/>
  <c r="I169" i="15"/>
  <c r="I165" i="15"/>
  <c r="I190" i="15"/>
  <c r="I193" i="15"/>
  <c r="I123" i="15"/>
  <c r="I140" i="15"/>
  <c r="I149" i="15"/>
  <c r="I176" i="15"/>
  <c r="I155" i="15"/>
  <c r="I168" i="15"/>
  <c r="I194" i="15"/>
  <c r="I166" i="15"/>
  <c r="I153" i="15"/>
  <c r="I129" i="15"/>
  <c r="I112" i="15"/>
  <c r="I122" i="15"/>
  <c r="I160" i="15"/>
  <c r="I101" i="15"/>
  <c r="I120" i="15"/>
  <c r="D2" i="15"/>
  <c r="I128" i="15"/>
  <c r="I178" i="15"/>
  <c r="I133" i="15"/>
  <c r="I98" i="15"/>
  <c r="I186" i="15"/>
  <c r="I119" i="15"/>
  <c r="I152" i="15"/>
  <c r="I118" i="15"/>
  <c r="I121" i="15"/>
  <c r="I100" i="15"/>
  <c r="I136" i="15"/>
  <c r="I174" i="15"/>
  <c r="I191" i="15"/>
  <c r="I173" i="15"/>
  <c r="I142" i="15"/>
  <c r="I181" i="15"/>
  <c r="I189" i="15"/>
  <c r="I203" i="15"/>
  <c r="J203" i="15"/>
  <c r="I198" i="15"/>
  <c r="I156" i="15"/>
  <c r="I102" i="15"/>
  <c r="I204" i="15"/>
  <c r="J204" i="15"/>
  <c r="I159" i="15"/>
  <c r="I125" i="15"/>
  <c r="I147" i="15"/>
  <c r="I157" i="15"/>
  <c r="I207" i="15"/>
  <c r="J207" i="15"/>
  <c r="I127" i="15"/>
  <c r="I137" i="15"/>
  <c r="I172" i="15"/>
  <c r="I170" i="15"/>
  <c r="I202" i="15"/>
  <c r="J202" i="15"/>
  <c r="I175" i="15"/>
  <c r="I116" i="15"/>
  <c r="I131" i="15"/>
  <c r="I146" i="15"/>
  <c r="I196" i="15"/>
  <c r="L20" i="15"/>
  <c r="I212" i="15"/>
  <c r="J215" i="15"/>
  <c r="D1" i="15"/>
  <c r="J216" i="15"/>
  <c r="I138" i="15"/>
  <c r="J214" i="15"/>
  <c r="J213" i="15"/>
  <c r="J212" i="15"/>
  <c r="J211" i="15"/>
  <c r="J210" i="15"/>
  <c r="L19" i="15"/>
  <c r="L18" i="15"/>
  <c r="L17" i="15"/>
  <c r="L16" i="15"/>
  <c r="L15" i="15"/>
  <c r="L14" i="15"/>
  <c r="L13" i="15"/>
  <c r="L12" i="15"/>
  <c r="L11" i="15"/>
  <c r="L10" i="15"/>
  <c r="L9" i="15"/>
  <c r="L8" i="15"/>
  <c r="L7" i="15"/>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D3" i="15"/>
  <c r="L6" i="15"/>
  <c r="G5" i="8"/>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P181" i="4"/>
  <c r="P182" i="4"/>
  <c r="P183" i="4"/>
  <c r="P184" i="4"/>
  <c r="P185" i="4"/>
  <c r="P186" i="4"/>
  <c r="P187" i="4"/>
  <c r="P188" i="4"/>
  <c r="P189" i="4"/>
  <c r="P190"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P191" i="4"/>
  <c r="N190" i="4"/>
  <c r="P192" i="4"/>
  <c r="P193" i="4"/>
  <c r="P194" i="4"/>
  <c r="P195" i="4"/>
  <c r="N191" i="4"/>
  <c r="N192" i="4"/>
  <c r="N193" i="4"/>
  <c r="P196" i="4"/>
  <c r="N194" i="4"/>
  <c r="N195" i="4"/>
  <c r="P197" i="4"/>
  <c r="N196" i="4"/>
  <c r="P198" i="4"/>
  <c r="P199" i="4"/>
  <c r="N197" i="4"/>
  <c r="N198" i="4"/>
  <c r="P200" i="4"/>
  <c r="P201" i="4"/>
  <c r="P202" i="4"/>
  <c r="N199" i="4"/>
  <c r="N200" i="4"/>
  <c r="N201" i="4"/>
  <c r="T17" i="4"/>
  <c r="T23" i="4"/>
  <c r="T12" i="4"/>
  <c r="T11" i="4"/>
  <c r="T10" i="4"/>
  <c r="T8" i="4"/>
  <c r="T22" i="4"/>
  <c r="T14" i="4"/>
  <c r="T13" i="4"/>
  <c r="T15" i="4"/>
  <c r="T16" i="4"/>
  <c r="T18" i="4"/>
  <c r="N202" i="4"/>
  <c r="N203" i="4"/>
  <c r="T26" i="4"/>
  <c r="T20" i="4"/>
  <c r="T24" i="4"/>
  <c r="T21" i="4"/>
  <c r="T19" i="4"/>
  <c r="T25" i="4"/>
  <c r="P203" i="4"/>
  <c r="G6" i="8"/>
  <c r="T14" i="6"/>
  <c r="T13" i="6"/>
  <c r="T8" i="6"/>
  <c r="T16" i="6"/>
  <c r="T10" i="6"/>
  <c r="T12" i="6"/>
  <c r="T11" i="6"/>
  <c r="T15" i="6"/>
  <c r="T23" i="6"/>
  <c r="T20" i="6"/>
  <c r="T19" i="6"/>
  <c r="T17" i="6"/>
  <c r="T18" i="6"/>
  <c r="T24" i="6"/>
  <c r="T21" i="6"/>
  <c r="T22" i="6"/>
  <c r="G37" i="2"/>
  <c r="G72" i="2"/>
  <c r="G62" i="2"/>
  <c r="G94" i="2"/>
  <c r="G97" i="2"/>
  <c r="G39" i="2"/>
  <c r="G93" i="2"/>
  <c r="G60" i="2"/>
  <c r="G25" i="2"/>
  <c r="G47" i="2"/>
  <c r="G56" i="2"/>
  <c r="G121" i="2"/>
  <c r="G107" i="2"/>
  <c r="G108" i="2"/>
  <c r="G109" i="2"/>
  <c r="G110" i="2"/>
  <c r="G111" i="2"/>
  <c r="G112" i="2"/>
  <c r="G113" i="2"/>
  <c r="G114" i="2"/>
  <c r="G115" i="2"/>
  <c r="G116" i="2"/>
  <c r="G117" i="2"/>
  <c r="G118" i="2"/>
  <c r="G119" i="2"/>
  <c r="G120" i="2"/>
  <c r="G122" i="2"/>
  <c r="G123" i="2"/>
  <c r="G124" i="2"/>
  <c r="G125" i="2"/>
  <c r="G126" i="2"/>
  <c r="G127" i="2"/>
  <c r="G128" i="2"/>
  <c r="G129" i="2"/>
  <c r="G130" i="2"/>
  <c r="G131" i="2"/>
  <c r="G132" i="2"/>
  <c r="G133" i="2"/>
  <c r="G134" i="2"/>
  <c r="G135" i="2"/>
  <c r="G136" i="2"/>
  <c r="G137" i="2"/>
  <c r="G138" i="2"/>
  <c r="G139" i="2"/>
  <c r="F5" i="2"/>
  <c r="I5" i="21" s="1"/>
  <c r="G85" i="2"/>
  <c r="G96" i="2"/>
  <c r="G50" i="2"/>
  <c r="G70" i="2"/>
  <c r="G73" i="2"/>
  <c r="G104" i="2"/>
  <c r="G66" i="2"/>
  <c r="G34" i="2"/>
  <c r="G69" i="2"/>
  <c r="G40" i="2"/>
  <c r="G76" i="2"/>
  <c r="G80" i="2"/>
  <c r="G83" i="2"/>
  <c r="G75" i="2"/>
  <c r="G32" i="2"/>
  <c r="G33" i="2"/>
  <c r="G101" i="2"/>
  <c r="G35" i="2"/>
  <c r="G71" i="2"/>
  <c r="G27" i="2"/>
  <c r="G24" i="2"/>
  <c r="G53" i="2"/>
  <c r="G55" i="2"/>
  <c r="G46" i="2"/>
  <c r="G78" i="2"/>
  <c r="G49" i="2"/>
  <c r="G81" i="2"/>
  <c r="G52" i="2"/>
  <c r="G92" i="2"/>
  <c r="G103" i="2"/>
  <c r="G31" i="2"/>
  <c r="G42" i="2"/>
  <c r="G58" i="2"/>
  <c r="G105" i="2"/>
  <c r="G68" i="2"/>
  <c r="G79" i="2"/>
  <c r="G22" i="2"/>
  <c r="G64" i="2"/>
  <c r="H5" i="21"/>
  <c r="G90" i="2"/>
  <c r="G59" i="2"/>
  <c r="G26" i="2"/>
  <c r="G86" i="2"/>
  <c r="G89" i="2"/>
  <c r="G57" i="2"/>
  <c r="G51" i="2"/>
  <c r="G67" i="2"/>
  <c r="G82" i="2"/>
  <c r="G43" i="2"/>
  <c r="G74" i="2"/>
  <c r="G45" i="2"/>
  <c r="G77" i="2"/>
  <c r="G48" i="2"/>
  <c r="G88" i="2"/>
  <c r="G95" i="2"/>
  <c r="G99" i="2"/>
  <c r="G23" i="2"/>
  <c r="G21" i="2"/>
  <c r="G102" i="2"/>
  <c r="G98" i="2"/>
  <c r="G63" i="2"/>
  <c r="G30" i="2"/>
  <c r="G54" i="2"/>
  <c r="G29" i="2"/>
  <c r="G61" i="2"/>
  <c r="G28" i="2"/>
  <c r="G36" i="2"/>
  <c r="G65" i="2"/>
  <c r="G84" i="2"/>
  <c r="G87" i="2"/>
  <c r="G91" i="2"/>
  <c r="G100" i="2"/>
  <c r="G106" i="2"/>
  <c r="E2" i="2"/>
  <c r="G38" i="2"/>
  <c r="G41" i="2"/>
  <c r="G44" i="2"/>
  <c r="E1" i="2"/>
  <c r="D5" i="21"/>
  <c r="K21" i="2"/>
  <c r="K22" i="2"/>
  <c r="O21" i="2"/>
  <c r="K23" i="2"/>
  <c r="O22" i="2"/>
  <c r="G165" i="23"/>
  <c r="G156" i="23"/>
  <c r="G157" i="23"/>
  <c r="G158" i="23"/>
  <c r="G159" i="23"/>
  <c r="G160" i="23"/>
  <c r="G161" i="23"/>
  <c r="G162" i="23"/>
  <c r="G163" i="23"/>
  <c r="G164" i="23"/>
  <c r="G166" i="23"/>
  <c r="G167" i="23"/>
  <c r="G168" i="23"/>
  <c r="G169" i="23"/>
  <c r="G170" i="23"/>
  <c r="G171" i="23"/>
  <c r="G172" i="23"/>
  <c r="G173" i="23"/>
  <c r="F5" i="23"/>
  <c r="E5" i="23"/>
  <c r="G142" i="23"/>
  <c r="G141" i="23"/>
  <c r="G143" i="23"/>
  <c r="G144" i="23"/>
  <c r="G145" i="23"/>
  <c r="G146" i="23"/>
  <c r="G147" i="23"/>
  <c r="G148" i="23"/>
  <c r="G149" i="23"/>
  <c r="G150" i="23"/>
  <c r="G151" i="23"/>
  <c r="G152" i="23"/>
  <c r="G153" i="23"/>
  <c r="G154" i="23"/>
  <c r="G155" i="23"/>
  <c r="F2" i="23"/>
  <c r="E2" i="23"/>
  <c r="K48" i="2"/>
  <c r="K62" i="2"/>
  <c r="K77" i="2"/>
  <c r="K55" i="2"/>
  <c r="K70" i="2"/>
  <c r="K44" i="2"/>
  <c r="K34" i="2"/>
  <c r="K51" i="2"/>
  <c r="K58" i="2"/>
  <c r="G135" i="23"/>
  <c r="K40" i="2"/>
  <c r="K47" i="2"/>
  <c r="K74" i="2"/>
  <c r="K71" i="2"/>
  <c r="K52" i="2"/>
  <c r="K60" i="2"/>
  <c r="K67" i="2"/>
  <c r="K28" i="2"/>
  <c r="K78" i="2"/>
  <c r="K41" i="2"/>
  <c r="K35" i="2"/>
  <c r="K45" i="2"/>
  <c r="K26" i="2"/>
  <c r="K30" i="2"/>
  <c r="K33" i="2"/>
  <c r="K38" i="2"/>
  <c r="K64" i="2"/>
  <c r="K75" i="2"/>
  <c r="K24" i="2"/>
  <c r="O23" i="2"/>
  <c r="K31" i="2"/>
  <c r="K36" i="2"/>
  <c r="K42" i="2"/>
  <c r="K50" i="2"/>
  <c r="K54" i="2"/>
  <c r="O19" i="2"/>
  <c r="O20" i="2"/>
  <c r="K57" i="2"/>
  <c r="K61" i="2"/>
  <c r="K65" i="2"/>
  <c r="K68" i="2"/>
  <c r="K72" i="2"/>
  <c r="K25" i="2"/>
  <c r="K27" i="2"/>
  <c r="K29" i="2"/>
  <c r="K32" i="2"/>
  <c r="K37" i="2"/>
  <c r="K39" i="2"/>
  <c r="O18" i="2"/>
  <c r="K43" i="2"/>
  <c r="K46" i="2"/>
  <c r="K49" i="2"/>
  <c r="K53" i="2"/>
  <c r="K56" i="2"/>
  <c r="K59" i="2"/>
  <c r="K63" i="2"/>
  <c r="K66" i="2"/>
  <c r="K69" i="2"/>
  <c r="K73" i="2"/>
  <c r="K76" i="2"/>
  <c r="G134" i="23"/>
  <c r="G136" i="23"/>
  <c r="G133" i="23"/>
  <c r="G139" i="23"/>
  <c r="G140" i="23"/>
  <c r="K79" i="2"/>
  <c r="G137" i="23"/>
  <c r="G138" i="23"/>
  <c r="E1" i="23"/>
  <c r="H7" i="21"/>
  <c r="P27" i="23"/>
  <c r="P28" i="23"/>
  <c r="P29" i="23"/>
  <c r="P30" i="23"/>
  <c r="P31" i="23"/>
  <c r="P32" i="23"/>
  <c r="P33" i="23"/>
  <c r="F7" i="21"/>
  <c r="G7" i="21" s="1"/>
  <c r="K136" i="23"/>
  <c r="K133" i="23"/>
  <c r="K140" i="23"/>
  <c r="K137" i="23"/>
  <c r="K134" i="23"/>
  <c r="K141" i="23"/>
  <c r="K138" i="23"/>
  <c r="P23" i="23"/>
  <c r="K135" i="23"/>
  <c r="K139" i="23"/>
  <c r="K142" i="23"/>
  <c r="P24" i="23"/>
  <c r="K143" i="23"/>
  <c r="K144" i="23"/>
  <c r="K145" i="23"/>
  <c r="K146" i="23"/>
  <c r="K147" i="23"/>
  <c r="P25" i="23"/>
  <c r="K148" i="23"/>
  <c r="K149" i="23"/>
  <c r="K150" i="23"/>
  <c r="P26" i="23"/>
  <c r="K151" i="23"/>
  <c r="K153" i="23"/>
  <c r="K154" i="23"/>
  <c r="K152" i="23"/>
  <c r="K155" i="23"/>
  <c r="K156" i="23"/>
  <c r="K160" i="23"/>
  <c r="K157" i="23"/>
  <c r="K161" i="23"/>
  <c r="K158" i="23"/>
  <c r="K159" i="23"/>
  <c r="K163" i="23"/>
  <c r="K164" i="23"/>
  <c r="K162" i="23"/>
  <c r="G148" i="13"/>
  <c r="G147" i="13"/>
  <c r="G150" i="13"/>
  <c r="G151" i="13"/>
  <c r="G153" i="13"/>
  <c r="G154" i="13"/>
  <c r="G156" i="13"/>
  <c r="G157" i="13"/>
  <c r="G159" i="13"/>
  <c r="G160" i="13"/>
  <c r="G162" i="13"/>
  <c r="G163" i="13"/>
  <c r="F2" i="13"/>
  <c r="E2" i="13"/>
  <c r="E1" i="13"/>
  <c r="K167" i="23"/>
  <c r="K165" i="23"/>
  <c r="K166" i="23"/>
  <c r="M111"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3" i="13"/>
  <c r="M104" i="13"/>
  <c r="M105" i="13"/>
  <c r="M106" i="13"/>
  <c r="M107" i="13"/>
  <c r="M108" i="13"/>
  <c r="M110" i="13"/>
  <c r="M113" i="13"/>
  <c r="M114" i="13"/>
  <c r="M115" i="13"/>
  <c r="M117" i="13"/>
  <c r="M118" i="13"/>
  <c r="M119" i="13"/>
  <c r="M120" i="13"/>
  <c r="M121" i="13"/>
  <c r="M123" i="13"/>
  <c r="M124" i="13"/>
  <c r="M125" i="13"/>
  <c r="F7" i="13"/>
  <c r="E7" i="13"/>
  <c r="K170" i="23"/>
  <c r="E6" i="13"/>
  <c r="H10" i="21"/>
  <c r="K168" i="23"/>
  <c r="K169" i="23"/>
  <c r="D7" i="21"/>
  <c r="K173" i="23"/>
  <c r="K171" i="23"/>
  <c r="O33" i="2"/>
  <c r="O34" i="2"/>
  <c r="O35" i="2"/>
  <c r="O36" i="2"/>
  <c r="O37" i="2"/>
  <c r="O38" i="2"/>
  <c r="O39" i="2"/>
  <c r="F5" i="21"/>
  <c r="G5" i="21" s="1"/>
  <c r="K83" i="2"/>
  <c r="K133" i="2"/>
  <c r="K123" i="2"/>
  <c r="K113" i="2"/>
  <c r="K103" i="2"/>
  <c r="K93" i="2"/>
  <c r="K82" i="2"/>
  <c r="K132" i="2"/>
  <c r="K122" i="2"/>
  <c r="K112" i="2"/>
  <c r="K102" i="2"/>
  <c r="K92" i="2"/>
  <c r="K81" i="2"/>
  <c r="K131" i="2"/>
  <c r="K121" i="2"/>
  <c r="K111" i="2"/>
  <c r="K101" i="2"/>
  <c r="K91" i="2"/>
  <c r="O24" i="2"/>
  <c r="K80" i="2"/>
  <c r="K130" i="2"/>
  <c r="K120" i="2"/>
  <c r="K110" i="2"/>
  <c r="K100" i="2"/>
  <c r="O27" i="2"/>
  <c r="K90" i="2"/>
  <c r="K139" i="2"/>
  <c r="K129" i="2"/>
  <c r="K119" i="2"/>
  <c r="K109" i="2"/>
  <c r="O29" i="2"/>
  <c r="K99" i="2"/>
  <c r="O28" i="2"/>
  <c r="K89" i="2"/>
  <c r="K128" i="2"/>
  <c r="K118" i="2"/>
  <c r="K108" i="2"/>
  <c r="O30" i="2"/>
  <c r="K98" i="2"/>
  <c r="K88" i="2"/>
  <c r="K137" i="2"/>
  <c r="K127" i="2"/>
  <c r="O32" i="2"/>
  <c r="K117" i="2"/>
  <c r="K107" i="2"/>
  <c r="K97" i="2"/>
  <c r="O26" i="2"/>
  <c r="K87" i="2"/>
  <c r="K136" i="2"/>
  <c r="K126" i="2"/>
  <c r="K116" i="2"/>
  <c r="K106" i="2"/>
  <c r="K96" i="2"/>
  <c r="K86" i="2"/>
  <c r="K135" i="2"/>
  <c r="K125" i="2"/>
  <c r="K115" i="2"/>
  <c r="K105" i="2"/>
  <c r="K95" i="2"/>
  <c r="K85" i="2"/>
  <c r="K134" i="2"/>
  <c r="K124" i="2"/>
  <c r="O31" i="2"/>
  <c r="K114" i="2"/>
  <c r="K104" i="2"/>
  <c r="K94" i="2"/>
  <c r="O25" i="2"/>
  <c r="K84" i="2"/>
  <c r="N144" i="6"/>
  <c r="T25" i="6"/>
  <c r="L21" i="15"/>
  <c r="F13" i="21"/>
  <c r="G13" i="21" s="1"/>
  <c r="K138" i="2"/>
  <c r="K172" i="23"/>
  <c r="E10" i="23"/>
  <c r="E5" i="2"/>
  <c r="J109" i="2" s="1"/>
  <c r="F2" i="2"/>
  <c r="I41" i="2" s="1"/>
  <c r="E10" i="2"/>
  <c r="J278" i="23" l="1"/>
  <c r="I64" i="13"/>
  <c r="O61" i="13"/>
  <c r="J260" i="2"/>
  <c r="J231" i="13"/>
  <c r="J218" i="2"/>
  <c r="I53" i="2"/>
  <c r="I54" i="2"/>
  <c r="I75" i="2"/>
  <c r="I48" i="2"/>
  <c r="J72" i="2"/>
  <c r="J258" i="2"/>
  <c r="I35" i="2"/>
  <c r="I98" i="2"/>
  <c r="J76" i="2"/>
  <c r="N41" i="13"/>
  <c r="J71" i="2"/>
  <c r="J82" i="2"/>
  <c r="I55" i="2"/>
  <c r="I19" i="2"/>
  <c r="J134" i="2"/>
  <c r="J188" i="2"/>
  <c r="I58" i="2"/>
  <c r="I60" i="2"/>
  <c r="J65" i="2"/>
  <c r="I25" i="2"/>
  <c r="I57" i="2"/>
  <c r="J85" i="2"/>
  <c r="J291" i="13"/>
  <c r="I64" i="2"/>
  <c r="J240" i="13"/>
  <c r="I70" i="2"/>
  <c r="I82" i="2"/>
  <c r="J67" i="2"/>
  <c r="J228" i="13"/>
  <c r="I94" i="23"/>
  <c r="I31" i="2"/>
  <c r="J243" i="13"/>
  <c r="I76" i="2"/>
  <c r="I77" i="2"/>
  <c r="J77" i="2"/>
  <c r="O92" i="13"/>
  <c r="N93" i="13"/>
  <c r="O58" i="13"/>
  <c r="J208" i="2"/>
  <c r="N15" i="13"/>
  <c r="I80" i="13"/>
  <c r="I124" i="2"/>
  <c r="J113" i="2"/>
  <c r="N65" i="13"/>
  <c r="J197" i="2"/>
  <c r="J185" i="2"/>
  <c r="I66" i="13"/>
  <c r="J264" i="2"/>
  <c r="J174" i="2"/>
  <c r="I73" i="2"/>
  <c r="I89" i="2"/>
  <c r="F3" i="2"/>
  <c r="J115" i="2"/>
  <c r="I81" i="13"/>
  <c r="O108" i="13"/>
  <c r="J270" i="2"/>
  <c r="I144" i="13"/>
  <c r="J228" i="2"/>
  <c r="J154" i="2"/>
  <c r="J174" i="13"/>
  <c r="I138" i="2"/>
  <c r="J164" i="2"/>
  <c r="J249" i="2"/>
  <c r="J144" i="2"/>
  <c r="I136" i="2"/>
  <c r="I133" i="2"/>
  <c r="I107" i="2"/>
  <c r="O115" i="13"/>
  <c r="J254" i="13"/>
  <c r="J261" i="23"/>
  <c r="J160" i="23"/>
  <c r="J196" i="23"/>
  <c r="J229" i="2"/>
  <c r="J163" i="2"/>
  <c r="I109" i="2"/>
  <c r="J114" i="2"/>
  <c r="O78" i="13"/>
  <c r="J255" i="23"/>
  <c r="I170" i="23"/>
  <c r="J268" i="2"/>
  <c r="J226" i="2"/>
  <c r="J195" i="2"/>
  <c r="J162" i="2"/>
  <c r="O65" i="13"/>
  <c r="O93" i="13"/>
  <c r="O120" i="13"/>
  <c r="O107" i="13"/>
  <c r="N23" i="13"/>
  <c r="N44" i="13"/>
  <c r="N68" i="13"/>
  <c r="N113" i="13"/>
  <c r="J212" i="23"/>
  <c r="J164" i="23"/>
  <c r="J311" i="23"/>
  <c r="J208" i="23"/>
  <c r="J294" i="23"/>
  <c r="J225" i="23"/>
  <c r="J266" i="23"/>
  <c r="J305" i="23"/>
  <c r="J262" i="23"/>
  <c r="J277" i="23"/>
  <c r="J244" i="23"/>
  <c r="J168" i="23"/>
  <c r="J167" i="23"/>
  <c r="I157" i="23"/>
  <c r="J221" i="23"/>
  <c r="J281" i="23"/>
  <c r="J207" i="23"/>
  <c r="J267" i="23"/>
  <c r="J246" i="2"/>
  <c r="J248" i="2"/>
  <c r="J216" i="2"/>
  <c r="J183" i="2"/>
  <c r="J152" i="2"/>
  <c r="J132" i="2"/>
  <c r="J118" i="2"/>
  <c r="J263" i="2"/>
  <c r="J125" i="2"/>
  <c r="J247" i="2"/>
  <c r="J233" i="2"/>
  <c r="J273" i="2"/>
  <c r="J225" i="2"/>
  <c r="J215" i="2"/>
  <c r="J205" i="2"/>
  <c r="J193" i="2"/>
  <c r="J182" i="2"/>
  <c r="J171" i="2"/>
  <c r="J161" i="2"/>
  <c r="J151" i="2"/>
  <c r="J141" i="2"/>
  <c r="J131" i="2"/>
  <c r="I37" i="2"/>
  <c r="I115" i="2"/>
  <c r="I71" i="2"/>
  <c r="I132" i="2"/>
  <c r="F6" i="2"/>
  <c r="I95" i="2"/>
  <c r="I130" i="2"/>
  <c r="J79" i="2"/>
  <c r="J116" i="2"/>
  <c r="J110" i="2"/>
  <c r="O82" i="13"/>
  <c r="O73" i="13"/>
  <c r="O110" i="13"/>
  <c r="O114" i="13"/>
  <c r="N24" i="13"/>
  <c r="N45" i="13"/>
  <c r="N71" i="13"/>
  <c r="J200" i="13"/>
  <c r="I146" i="13"/>
  <c r="I7" i="21"/>
  <c r="F7" i="23"/>
  <c r="J192" i="23"/>
  <c r="J310" i="23"/>
  <c r="J291" i="23"/>
  <c r="J188" i="23"/>
  <c r="J274" i="23"/>
  <c r="J304" i="23"/>
  <c r="J238" i="23"/>
  <c r="J296" i="23"/>
  <c r="J226" i="23"/>
  <c r="J186" i="23"/>
  <c r="J180" i="23"/>
  <c r="J284" i="23"/>
  <c r="J219" i="23"/>
  <c r="I158" i="23"/>
  <c r="J248" i="23"/>
  <c r="J246" i="23"/>
  <c r="J272" i="2"/>
  <c r="J143" i="2"/>
  <c r="O64" i="13"/>
  <c r="J157" i="23"/>
  <c r="J241" i="2"/>
  <c r="J275" i="2"/>
  <c r="J206" i="2"/>
  <c r="J172" i="2"/>
  <c r="J142" i="2"/>
  <c r="J176" i="2"/>
  <c r="I122" i="2"/>
  <c r="F7" i="2"/>
  <c r="J124" i="2"/>
  <c r="J259" i="2"/>
  <c r="J253" i="2"/>
  <c r="J265" i="2"/>
  <c r="J232" i="2"/>
  <c r="J279" i="2"/>
  <c r="J224" i="2"/>
  <c r="J214" i="2"/>
  <c r="J204" i="2"/>
  <c r="J192" i="2"/>
  <c r="J181" i="2"/>
  <c r="J170" i="2"/>
  <c r="J160" i="2"/>
  <c r="J150" i="2"/>
  <c r="J140" i="2"/>
  <c r="J130" i="2"/>
  <c r="I72" i="2"/>
  <c r="I125" i="2"/>
  <c r="I128" i="2"/>
  <c r="I103" i="2"/>
  <c r="I110" i="2"/>
  <c r="I99" i="2"/>
  <c r="I112" i="2"/>
  <c r="J91" i="2"/>
  <c r="J119" i="2"/>
  <c r="J112" i="2"/>
  <c r="O119" i="13"/>
  <c r="O43" i="13"/>
  <c r="O99" i="13"/>
  <c r="O116" i="13"/>
  <c r="N25" i="13"/>
  <c r="N52" i="13"/>
  <c r="N73" i="13"/>
  <c r="N76" i="13"/>
  <c r="F6" i="23"/>
  <c r="J173" i="23"/>
  <c r="J290" i="23"/>
  <c r="J271" i="23"/>
  <c r="J243" i="23"/>
  <c r="J254" i="23"/>
  <c r="J276" i="23"/>
  <c r="J202" i="23"/>
  <c r="J237" i="23"/>
  <c r="J198" i="23"/>
  <c r="J303" i="23"/>
  <c r="J297" i="23"/>
  <c r="J165" i="23"/>
  <c r="J199" i="23"/>
  <c r="J171" i="23"/>
  <c r="J260" i="23"/>
  <c r="J251" i="2"/>
  <c r="J153" i="2"/>
  <c r="J228" i="23"/>
  <c r="J209" i="23"/>
  <c r="J230" i="2"/>
  <c r="J203" i="2"/>
  <c r="J191" i="2"/>
  <c r="J180" i="2"/>
  <c r="J169" i="2"/>
  <c r="J159" i="2"/>
  <c r="J149" i="2"/>
  <c r="J139" i="2"/>
  <c r="J129" i="2"/>
  <c r="I135" i="2"/>
  <c r="I119" i="2"/>
  <c r="I117" i="2"/>
  <c r="I123" i="2"/>
  <c r="J111" i="2"/>
  <c r="J123" i="2"/>
  <c r="O33" i="13"/>
  <c r="O100" i="13"/>
  <c r="O89" i="13"/>
  <c r="O66" i="13"/>
  <c r="N26" i="13"/>
  <c r="N53" i="13"/>
  <c r="N101" i="13"/>
  <c r="N124" i="13"/>
  <c r="J211" i="23"/>
  <c r="J270" i="23"/>
  <c r="J251" i="23"/>
  <c r="J203" i="23"/>
  <c r="J194" i="23"/>
  <c r="J240" i="23"/>
  <c r="J239" i="23"/>
  <c r="J264" i="23"/>
  <c r="J279" i="23"/>
  <c r="J233" i="23"/>
  <c r="J205" i="23"/>
  <c r="J282" i="23"/>
  <c r="J191" i="23"/>
  <c r="I172" i="23"/>
  <c r="I161" i="23"/>
  <c r="I168" i="23"/>
  <c r="J257" i="23"/>
  <c r="J158" i="23"/>
  <c r="J278" i="2"/>
  <c r="J207" i="2"/>
  <c r="J173" i="2"/>
  <c r="J133" i="2"/>
  <c r="J117" i="2"/>
  <c r="N42" i="13"/>
  <c r="J179" i="23"/>
  <c r="J298" i="23"/>
  <c r="J234" i="2"/>
  <c r="J239" i="2"/>
  <c r="J213" i="2"/>
  <c r="J250" i="2"/>
  <c r="J242" i="2"/>
  <c r="J222" i="2"/>
  <c r="J202" i="2"/>
  <c r="J179" i="2"/>
  <c r="J158" i="2"/>
  <c r="J138" i="2"/>
  <c r="J128" i="2"/>
  <c r="I129" i="2"/>
  <c r="I127" i="2"/>
  <c r="J121" i="2"/>
  <c r="I87" i="2"/>
  <c r="O57" i="13"/>
  <c r="O40" i="13"/>
  <c r="O79" i="13"/>
  <c r="O45" i="13"/>
  <c r="N31" i="13"/>
  <c r="N54" i="13"/>
  <c r="N127" i="13"/>
  <c r="I156" i="23"/>
  <c r="J313" i="23"/>
  <c r="J250" i="23"/>
  <c r="J217" i="23"/>
  <c r="J309" i="23"/>
  <c r="J174" i="23"/>
  <c r="J204" i="23"/>
  <c r="J185" i="23"/>
  <c r="J236" i="23"/>
  <c r="J241" i="23"/>
  <c r="J256" i="23"/>
  <c r="J306" i="23"/>
  <c r="J166" i="23"/>
  <c r="I164" i="23"/>
  <c r="J252" i="23"/>
  <c r="J275" i="23"/>
  <c r="J223" i="23"/>
  <c r="J238" i="2"/>
  <c r="J217" i="2"/>
  <c r="J184" i="2"/>
  <c r="J201" i="2"/>
  <c r="N16" i="13"/>
  <c r="J302" i="23"/>
  <c r="J262" i="2"/>
  <c r="J227" i="2"/>
  <c r="J223" i="2"/>
  <c r="J280" i="2"/>
  <c r="J245" i="2"/>
  <c r="J254" i="2"/>
  <c r="J212" i="2"/>
  <c r="J190" i="2"/>
  <c r="J168" i="2"/>
  <c r="J148" i="2"/>
  <c r="J271" i="2"/>
  <c r="J244" i="2"/>
  <c r="J255" i="2"/>
  <c r="J252" i="2"/>
  <c r="J243" i="2"/>
  <c r="J256" i="2"/>
  <c r="J221" i="2"/>
  <c r="J211" i="2"/>
  <c r="J200" i="2"/>
  <c r="J189" i="2"/>
  <c r="J178" i="2"/>
  <c r="J167" i="2"/>
  <c r="J157" i="2"/>
  <c r="J147" i="2"/>
  <c r="J137" i="2"/>
  <c r="J127" i="2"/>
  <c r="I56" i="2"/>
  <c r="I80" i="2"/>
  <c r="I120" i="2"/>
  <c r="I126" i="2"/>
  <c r="I67" i="2"/>
  <c r="I137" i="2"/>
  <c r="J73" i="2"/>
  <c r="J102" i="2"/>
  <c r="J108" i="2"/>
  <c r="I91" i="2"/>
  <c r="O84" i="13"/>
  <c r="O42" i="13"/>
  <c r="O69" i="13"/>
  <c r="O53" i="13"/>
  <c r="N32" i="13"/>
  <c r="N55" i="13"/>
  <c r="N128" i="13"/>
  <c r="J258" i="13"/>
  <c r="N82" i="13"/>
  <c r="J312" i="23"/>
  <c r="J293" i="23"/>
  <c r="J230" i="23"/>
  <c r="J175" i="23"/>
  <c r="J249" i="23"/>
  <c r="J215" i="23"/>
  <c r="J176" i="23"/>
  <c r="J283" i="23"/>
  <c r="J181" i="23"/>
  <c r="J169" i="23"/>
  <c r="J184" i="23"/>
  <c r="J242" i="23"/>
  <c r="J280" i="23"/>
  <c r="J231" i="2"/>
  <c r="J196" i="2"/>
  <c r="I108" i="2"/>
  <c r="O85" i="13"/>
  <c r="N66" i="13"/>
  <c r="J314" i="23"/>
  <c r="J265" i="23"/>
  <c r="J261" i="2"/>
  <c r="J236" i="2"/>
  <c r="J266" i="2"/>
  <c r="J210" i="2"/>
  <c r="J177" i="2"/>
  <c r="J156" i="2"/>
  <c r="J136" i="2"/>
  <c r="J126" i="2"/>
  <c r="I121" i="2"/>
  <c r="I111" i="2"/>
  <c r="I118" i="2"/>
  <c r="I134" i="2"/>
  <c r="J107" i="2"/>
  <c r="O122" i="13"/>
  <c r="O81" i="13"/>
  <c r="O49" i="13"/>
  <c r="O52" i="13"/>
  <c r="N36" i="13"/>
  <c r="N58" i="13"/>
  <c r="J292" i="23"/>
  <c r="J273" i="23"/>
  <c r="J210" i="23"/>
  <c r="J162" i="23"/>
  <c r="J213" i="23"/>
  <c r="J177" i="23"/>
  <c r="J187" i="23"/>
  <c r="J247" i="23"/>
  <c r="J245" i="23"/>
  <c r="J156" i="23"/>
  <c r="J301" i="23"/>
  <c r="J286" i="23"/>
  <c r="O48" i="13"/>
  <c r="J232" i="23"/>
  <c r="J227" i="23"/>
  <c r="J276" i="2"/>
  <c r="J237" i="2"/>
  <c r="J269" i="2"/>
  <c r="J220" i="2"/>
  <c r="J199" i="2"/>
  <c r="J187" i="2"/>
  <c r="J166" i="2"/>
  <c r="J146" i="2"/>
  <c r="J235" i="2"/>
  <c r="J240" i="2"/>
  <c r="J277" i="2"/>
  <c r="J257" i="2"/>
  <c r="J267" i="2"/>
  <c r="J274" i="2"/>
  <c r="J219" i="2"/>
  <c r="J209" i="2"/>
  <c r="J198" i="2"/>
  <c r="J186" i="2"/>
  <c r="J175" i="2"/>
  <c r="J165" i="2"/>
  <c r="J155" i="2"/>
  <c r="J145" i="2"/>
  <c r="J135" i="2"/>
  <c r="J194" i="2"/>
  <c r="I114" i="2"/>
  <c r="I116" i="2"/>
  <c r="I131" i="2"/>
  <c r="I139" i="2"/>
  <c r="I113" i="2"/>
  <c r="J120" i="2"/>
  <c r="J122" i="2"/>
  <c r="O112" i="13"/>
  <c r="O71" i="13"/>
  <c r="O96" i="13"/>
  <c r="N38" i="13"/>
  <c r="N61" i="13"/>
  <c r="N108" i="13"/>
  <c r="J272" i="23"/>
  <c r="J253" i="23"/>
  <c r="J190" i="23"/>
  <c r="J268" i="23"/>
  <c r="J172" i="23"/>
  <c r="J295" i="23"/>
  <c r="J285" i="23"/>
  <c r="J300" i="23"/>
  <c r="J189" i="23"/>
  <c r="J224" i="23"/>
  <c r="J229" i="23"/>
  <c r="J222" i="23"/>
  <c r="I167" i="23"/>
  <c r="J144" i="13"/>
  <c r="F3" i="13"/>
  <c r="I14" i="13"/>
  <c r="I75" i="23"/>
  <c r="I141" i="23"/>
  <c r="I133" i="23"/>
  <c r="I148" i="13"/>
  <c r="I141" i="13"/>
  <c r="I124" i="13"/>
  <c r="I109" i="13"/>
  <c r="I91" i="13"/>
  <c r="I76" i="13"/>
  <c r="I62" i="13"/>
  <c r="I49" i="13"/>
  <c r="I33" i="13"/>
  <c r="I20" i="13"/>
  <c r="J162" i="13"/>
  <c r="J209" i="13"/>
  <c r="J255" i="13"/>
  <c r="J187" i="13"/>
  <c r="J147" i="13"/>
  <c r="J259" i="13"/>
  <c r="J261" i="13"/>
  <c r="J217" i="13"/>
  <c r="G268" i="15" s="1"/>
  <c r="J273" i="13"/>
  <c r="J288" i="13"/>
  <c r="J154" i="13"/>
  <c r="J161" i="13"/>
  <c r="I147" i="13"/>
  <c r="I140" i="13"/>
  <c r="I122" i="13"/>
  <c r="I106" i="13"/>
  <c r="I90" i="13"/>
  <c r="I74" i="13"/>
  <c r="I61" i="13"/>
  <c r="I46" i="13"/>
  <c r="I32" i="13"/>
  <c r="I19" i="13"/>
  <c r="I154" i="13"/>
  <c r="I139" i="13"/>
  <c r="I121" i="13"/>
  <c r="I104" i="13"/>
  <c r="I89" i="13"/>
  <c r="I73" i="13"/>
  <c r="I60" i="13"/>
  <c r="I44" i="13"/>
  <c r="I31" i="13"/>
  <c r="I16" i="13"/>
  <c r="I164" i="13"/>
  <c r="I136" i="13"/>
  <c r="I120" i="13"/>
  <c r="I102" i="13"/>
  <c r="I86" i="13"/>
  <c r="I72" i="13"/>
  <c r="I59" i="13"/>
  <c r="I43" i="13"/>
  <c r="I30" i="13"/>
  <c r="J180" i="13"/>
  <c r="J290" i="13"/>
  <c r="J175" i="13"/>
  <c r="J201" i="13"/>
  <c r="J192" i="13"/>
  <c r="J184" i="13"/>
  <c r="J234" i="13"/>
  <c r="J227" i="13"/>
  <c r="J299" i="13"/>
  <c r="J190" i="13"/>
  <c r="J269" i="13"/>
  <c r="J215" i="13"/>
  <c r="J146" i="13"/>
  <c r="I151" i="13"/>
  <c r="I161" i="13"/>
  <c r="I134" i="13"/>
  <c r="I119" i="13"/>
  <c r="I101" i="13"/>
  <c r="I84" i="13"/>
  <c r="I71" i="13"/>
  <c r="I56" i="13"/>
  <c r="I42" i="13"/>
  <c r="I29" i="13"/>
  <c r="J241" i="13"/>
  <c r="J232" i="13"/>
  <c r="J304" i="13"/>
  <c r="J230" i="13"/>
  <c r="J214" i="13"/>
  <c r="J245" i="13"/>
  <c r="J226" i="13"/>
  <c r="J157" i="13"/>
  <c r="J219" i="13"/>
  <c r="G270" i="15" s="1"/>
  <c r="J171" i="13"/>
  <c r="J229" i="13"/>
  <c r="J305" i="13"/>
  <c r="J271" i="13"/>
  <c r="I158" i="13"/>
  <c r="I132" i="13"/>
  <c r="I116" i="13"/>
  <c r="I100" i="13"/>
  <c r="I83" i="13"/>
  <c r="I70" i="13"/>
  <c r="I54" i="13"/>
  <c r="I41" i="13"/>
  <c r="I26" i="13"/>
  <c r="J164" i="13"/>
  <c r="J293" i="13"/>
  <c r="J224" i="13"/>
  <c r="J195" i="13"/>
  <c r="J279" i="13"/>
  <c r="I165" i="13"/>
  <c r="J244" i="13"/>
  <c r="J170" i="13"/>
  <c r="J295" i="13"/>
  <c r="J148" i="13"/>
  <c r="J189" i="13"/>
  <c r="J225" i="13"/>
  <c r="I155" i="13"/>
  <c r="I131" i="13"/>
  <c r="I114" i="13"/>
  <c r="I99" i="13"/>
  <c r="I82" i="13"/>
  <c r="I69" i="13"/>
  <c r="I53" i="13"/>
  <c r="I40" i="13"/>
  <c r="I24" i="13"/>
  <c r="J283" i="13"/>
  <c r="J302" i="13"/>
  <c r="J285" i="13"/>
  <c r="J266" i="13"/>
  <c r="G317" i="15" s="1"/>
  <c r="J268" i="13"/>
  <c r="J165" i="13"/>
  <c r="J280" i="13"/>
  <c r="J239" i="13"/>
  <c r="J191" i="13"/>
  <c r="G242" i="15" s="1"/>
  <c r="J218" i="13"/>
  <c r="J262" i="13"/>
  <c r="J185" i="13"/>
  <c r="I10" i="21"/>
  <c r="I142" i="13"/>
  <c r="I126" i="13"/>
  <c r="I110" i="13"/>
  <c r="I92" i="13"/>
  <c r="I79" i="13"/>
  <c r="I63" i="13"/>
  <c r="I50" i="13"/>
  <c r="I34" i="13"/>
  <c r="I21" i="13"/>
  <c r="J176" i="13"/>
  <c r="J289" i="13"/>
  <c r="G340" i="15" s="1"/>
  <c r="J203" i="13"/>
  <c r="J222" i="13"/>
  <c r="J169" i="13"/>
  <c r="J198" i="13"/>
  <c r="J301" i="13"/>
  <c r="J297" i="13"/>
  <c r="J172" i="13"/>
  <c r="J223" i="13"/>
  <c r="J183" i="13"/>
  <c r="J235" i="13"/>
  <c r="I125" i="23"/>
  <c r="I84" i="23"/>
  <c r="J194" i="13"/>
  <c r="J249" i="13"/>
  <c r="I22" i="13"/>
  <c r="I94" i="13"/>
  <c r="J199" i="13"/>
  <c r="G250" i="15" s="1"/>
  <c r="J188" i="13"/>
  <c r="I23" i="13"/>
  <c r="I96" i="13"/>
  <c r="J212" i="13"/>
  <c r="J197" i="13"/>
  <c r="G248" i="15" s="1"/>
  <c r="I36" i="13"/>
  <c r="I111" i="13"/>
  <c r="G291" i="15"/>
  <c r="J252" i="13"/>
  <c r="J216" i="13"/>
  <c r="I39" i="13"/>
  <c r="I112" i="13"/>
  <c r="I157" i="13"/>
  <c r="J306" i="13"/>
  <c r="J276" i="13"/>
  <c r="J286" i="13"/>
  <c r="G337" i="15" s="1"/>
  <c r="I51" i="13"/>
  <c r="I129" i="13"/>
  <c r="J158" i="13"/>
  <c r="J205" i="13"/>
  <c r="G256" i="15" s="1"/>
  <c r="I52" i="13"/>
  <c r="I130" i="13"/>
  <c r="I93" i="2"/>
  <c r="I40" i="2"/>
  <c r="I101" i="2"/>
  <c r="I92" i="2"/>
  <c r="I86" i="2"/>
  <c r="I45" i="2"/>
  <c r="I36" i="2"/>
  <c r="J69" i="2"/>
  <c r="J68" i="2"/>
  <c r="J98" i="2"/>
  <c r="J106" i="2"/>
  <c r="J105" i="2"/>
  <c r="I84" i="2"/>
  <c r="N105" i="13"/>
  <c r="N77" i="13"/>
  <c r="I149" i="13"/>
  <c r="J259" i="23"/>
  <c r="I165" i="23"/>
  <c r="I47" i="2"/>
  <c r="I83" i="2"/>
  <c r="I46" i="2"/>
  <c r="I42" i="2"/>
  <c r="I51" i="2"/>
  <c r="I88" i="2"/>
  <c r="I63" i="2"/>
  <c r="F4" i="2"/>
  <c r="J95" i="2"/>
  <c r="J70" i="2"/>
  <c r="J101" i="2"/>
  <c r="J75" i="2"/>
  <c r="O41" i="13"/>
  <c r="O102" i="13"/>
  <c r="O90" i="13"/>
  <c r="O38" i="13"/>
  <c r="O59" i="13"/>
  <c r="O74" i="13"/>
  <c r="O37" i="13"/>
  <c r="N28" i="13"/>
  <c r="N43" i="13"/>
  <c r="N56" i="13"/>
  <c r="N72" i="13"/>
  <c r="N94" i="13"/>
  <c r="N111" i="13"/>
  <c r="I85" i="23"/>
  <c r="I30" i="2"/>
  <c r="I20" i="2"/>
  <c r="J100" i="2"/>
  <c r="J90" i="2"/>
  <c r="J89" i="2"/>
  <c r="J97" i="2"/>
  <c r="I65" i="2"/>
  <c r="O113" i="13"/>
  <c r="I62" i="2"/>
  <c r="I85" i="2"/>
  <c r="I104" i="2"/>
  <c r="I27" i="2"/>
  <c r="I78" i="2"/>
  <c r="I105" i="2"/>
  <c r="I90" i="2"/>
  <c r="I43" i="2"/>
  <c r="I23" i="2"/>
  <c r="I100" i="2"/>
  <c r="J99" i="2"/>
  <c r="J87" i="2"/>
  <c r="J93" i="2"/>
  <c r="J104" i="2"/>
  <c r="O97" i="13"/>
  <c r="O44" i="13"/>
  <c r="F9" i="13"/>
  <c r="O70" i="13"/>
  <c r="O34" i="13"/>
  <c r="O46" i="13"/>
  <c r="N18" i="13"/>
  <c r="N33" i="13"/>
  <c r="N46" i="13"/>
  <c r="N62" i="13"/>
  <c r="N102" i="13"/>
  <c r="N89" i="13"/>
  <c r="J178" i="23"/>
  <c r="J195" i="23"/>
  <c r="G238" i="15" s="1"/>
  <c r="J218" i="23"/>
  <c r="I24" i="23"/>
  <c r="I163" i="23"/>
  <c r="I94" i="2"/>
  <c r="I96" i="2"/>
  <c r="I66" i="2"/>
  <c r="I32" i="2"/>
  <c r="I24" i="2"/>
  <c r="I49" i="2"/>
  <c r="I68" i="2"/>
  <c r="I59" i="2"/>
  <c r="I21" i="2"/>
  <c r="I29" i="2"/>
  <c r="I38" i="2"/>
  <c r="J84" i="2"/>
  <c r="J92" i="2"/>
  <c r="J78" i="2"/>
  <c r="J86" i="2"/>
  <c r="O51" i="13"/>
  <c r="O87" i="13"/>
  <c r="O121" i="13"/>
  <c r="O109" i="13"/>
  <c r="O60" i="13"/>
  <c r="O118" i="13"/>
  <c r="O125" i="13"/>
  <c r="N21" i="13"/>
  <c r="N34" i="13"/>
  <c r="N48" i="13"/>
  <c r="N63" i="13"/>
  <c r="N109" i="13"/>
  <c r="J186" i="13"/>
  <c r="J163" i="13"/>
  <c r="J168" i="13"/>
  <c r="J193" i="13"/>
  <c r="J238" i="13"/>
  <c r="J246" i="13"/>
  <c r="J152" i="13"/>
  <c r="J264" i="13"/>
  <c r="J272" i="13"/>
  <c r="J281" i="13"/>
  <c r="J211" i="13"/>
  <c r="J143" i="13"/>
  <c r="N79" i="13"/>
  <c r="N118" i="13"/>
  <c r="J308" i="23"/>
  <c r="J289" i="23"/>
  <c r="J234" i="23"/>
  <c r="J183" i="23"/>
  <c r="G226" i="15" s="1"/>
  <c r="J197" i="23"/>
  <c r="J193" i="23"/>
  <c r="J200" i="23"/>
  <c r="J231" i="23"/>
  <c r="J170" i="23"/>
  <c r="J182" i="23"/>
  <c r="J287" i="23"/>
  <c r="J206" i="23"/>
  <c r="G249" i="15" s="1"/>
  <c r="J263" i="23"/>
  <c r="I151" i="23"/>
  <c r="I146" i="23"/>
  <c r="I33" i="23"/>
  <c r="G262" i="15"/>
  <c r="I97" i="2"/>
  <c r="I50" i="2"/>
  <c r="I34" i="2"/>
  <c r="I81" i="2"/>
  <c r="I79" i="2"/>
  <c r="I26" i="2"/>
  <c r="I102" i="2"/>
  <c r="I61" i="2"/>
  <c r="J66" i="2"/>
  <c r="J74" i="2"/>
  <c r="J80" i="2"/>
  <c r="J83" i="2"/>
  <c r="O47" i="13"/>
  <c r="O77" i="13"/>
  <c r="O123" i="13"/>
  <c r="O39" i="13"/>
  <c r="O35" i="13"/>
  <c r="O68" i="13"/>
  <c r="O105" i="13"/>
  <c r="N22" i="13"/>
  <c r="N35" i="13"/>
  <c r="N51" i="13"/>
  <c r="N64" i="13"/>
  <c r="N116" i="13"/>
  <c r="J140" i="13"/>
  <c r="J303" i="13"/>
  <c r="J208" i="13"/>
  <c r="J233" i="13"/>
  <c r="G284" i="15" s="1"/>
  <c r="J177" i="13"/>
  <c r="J221" i="13"/>
  <c r="J179" i="13"/>
  <c r="J263" i="13"/>
  <c r="J250" i="13"/>
  <c r="J220" i="13"/>
  <c r="J294" i="13"/>
  <c r="J275" i="13"/>
  <c r="N125" i="13"/>
  <c r="J288" i="23"/>
  <c r="J269" i="23"/>
  <c r="J214" i="23"/>
  <c r="J163" i="23"/>
  <c r="J159" i="23"/>
  <c r="J161" i="23"/>
  <c r="J235" i="23"/>
  <c r="J307" i="23"/>
  <c r="J258" i="23"/>
  <c r="J299" i="23"/>
  <c r="J201" i="23"/>
  <c r="J220" i="23"/>
  <c r="G263" i="15" s="1"/>
  <c r="J216" i="23"/>
  <c r="I160" i="23"/>
  <c r="I173" i="23"/>
  <c r="I43" i="23"/>
  <c r="I39" i="2"/>
  <c r="I69" i="2"/>
  <c r="I33" i="2"/>
  <c r="I52" i="2"/>
  <c r="I22" i="2"/>
  <c r="I74" i="2"/>
  <c r="I28" i="2"/>
  <c r="J103" i="2"/>
  <c r="J96" i="2"/>
  <c r="J81" i="2"/>
  <c r="J88" i="2"/>
  <c r="I44" i="2"/>
  <c r="N115" i="13"/>
  <c r="N87" i="13"/>
  <c r="I34" i="23"/>
  <c r="I142" i="23"/>
  <c r="I143" i="23"/>
  <c r="I132" i="23"/>
  <c r="I122" i="23"/>
  <c r="I112" i="23"/>
  <c r="I102" i="23"/>
  <c r="I92" i="23"/>
  <c r="I82" i="23"/>
  <c r="I72" i="23"/>
  <c r="I62" i="23"/>
  <c r="I51" i="23"/>
  <c r="I41" i="23"/>
  <c r="I31" i="23"/>
  <c r="I21" i="23"/>
  <c r="I149" i="23"/>
  <c r="J151" i="23"/>
  <c r="J144" i="23"/>
  <c r="I131" i="23"/>
  <c r="I121" i="23"/>
  <c r="I111" i="23"/>
  <c r="I101" i="23"/>
  <c r="I91" i="23"/>
  <c r="I81" i="23"/>
  <c r="I71" i="23"/>
  <c r="I61" i="23"/>
  <c r="I50" i="23"/>
  <c r="I40" i="23"/>
  <c r="I30" i="23"/>
  <c r="F3" i="23"/>
  <c r="I148" i="23"/>
  <c r="I152" i="23"/>
  <c r="J153" i="23"/>
  <c r="J154" i="23"/>
  <c r="I144" i="23"/>
  <c r="I130" i="23"/>
  <c r="I120" i="23"/>
  <c r="I110" i="23"/>
  <c r="I100" i="23"/>
  <c r="I90" i="23"/>
  <c r="I80" i="23"/>
  <c r="I70" i="23"/>
  <c r="I60" i="23"/>
  <c r="I49" i="23"/>
  <c r="I39" i="23"/>
  <c r="I29" i="23"/>
  <c r="F4" i="23"/>
  <c r="I140" i="23"/>
  <c r="J141" i="23"/>
  <c r="J145" i="23"/>
  <c r="I129" i="23"/>
  <c r="I119" i="23"/>
  <c r="I109" i="23"/>
  <c r="I99" i="23"/>
  <c r="I89" i="23"/>
  <c r="I79" i="23"/>
  <c r="I69" i="23"/>
  <c r="I59" i="23"/>
  <c r="I48" i="23"/>
  <c r="I38" i="23"/>
  <c r="I28" i="23"/>
  <c r="I19" i="23"/>
  <c r="I150" i="23"/>
  <c r="I136" i="23"/>
  <c r="J147" i="23"/>
  <c r="I155" i="23"/>
  <c r="I128" i="23"/>
  <c r="I118" i="23"/>
  <c r="I108" i="23"/>
  <c r="I98" i="23"/>
  <c r="I88" i="23"/>
  <c r="I78" i="23"/>
  <c r="I68" i="23"/>
  <c r="I58" i="23"/>
  <c r="I47" i="23"/>
  <c r="I37" i="23"/>
  <c r="I27" i="23"/>
  <c r="I22" i="23"/>
  <c r="I154" i="23"/>
  <c r="J142" i="23"/>
  <c r="J155" i="23"/>
  <c r="I127" i="23"/>
  <c r="I117" i="23"/>
  <c r="I107" i="23"/>
  <c r="I97" i="23"/>
  <c r="I87" i="23"/>
  <c r="I77" i="23"/>
  <c r="I67" i="23"/>
  <c r="I57" i="23"/>
  <c r="I46" i="23"/>
  <c r="I36" i="23"/>
  <c r="I26" i="23"/>
  <c r="J148" i="23"/>
  <c r="I53" i="23"/>
  <c r="I126" i="23"/>
  <c r="I116" i="23"/>
  <c r="I106" i="23"/>
  <c r="I96" i="23"/>
  <c r="I86" i="23"/>
  <c r="I76" i="23"/>
  <c r="I66" i="23"/>
  <c r="I56" i="23"/>
  <c r="I45" i="23"/>
  <c r="I35" i="23"/>
  <c r="I25" i="23"/>
  <c r="I147" i="23"/>
  <c r="I137" i="23"/>
  <c r="J149" i="23"/>
  <c r="I123" i="23"/>
  <c r="I113" i="23"/>
  <c r="I103" i="23"/>
  <c r="I93" i="23"/>
  <c r="I83" i="23"/>
  <c r="I73" i="23"/>
  <c r="I63" i="23"/>
  <c r="I52" i="23"/>
  <c r="I42" i="23"/>
  <c r="I32" i="23"/>
  <c r="I20" i="23"/>
  <c r="I134" i="23"/>
  <c r="I139" i="23"/>
  <c r="I138" i="23"/>
  <c r="J150" i="23"/>
  <c r="J152" i="23"/>
  <c r="I44" i="23"/>
  <c r="I95" i="23"/>
  <c r="J143" i="23"/>
  <c r="I54" i="23"/>
  <c r="I104" i="23"/>
  <c r="I145" i="23"/>
  <c r="J146" i="23"/>
  <c r="I55" i="23"/>
  <c r="I105" i="23"/>
  <c r="I153" i="23"/>
  <c r="I64" i="23"/>
  <c r="I114" i="23"/>
  <c r="I65" i="23"/>
  <c r="I115" i="23"/>
  <c r="I135" i="23"/>
  <c r="I23" i="23"/>
  <c r="I74" i="23"/>
  <c r="I124" i="23"/>
  <c r="J94" i="2"/>
  <c r="I106" i="2"/>
  <c r="O91" i="13"/>
  <c r="O63" i="13"/>
  <c r="O55" i="13"/>
  <c r="O101" i="13"/>
  <c r="O62" i="13"/>
  <c r="O88" i="13"/>
  <c r="O36" i="13"/>
  <c r="O76" i="13"/>
  <c r="O94" i="13"/>
  <c r="O83" i="13"/>
  <c r="N20" i="13"/>
  <c r="N30" i="13"/>
  <c r="N40" i="13"/>
  <c r="N50" i="13"/>
  <c r="N60" i="13"/>
  <c r="N70" i="13"/>
  <c r="N126" i="13"/>
  <c r="J167" i="13"/>
  <c r="J265" i="13"/>
  <c r="J182" i="13"/>
  <c r="J142" i="13"/>
  <c r="J159" i="13"/>
  <c r="J151" i="13"/>
  <c r="J236" i="13"/>
  <c r="J181" i="13"/>
  <c r="J287" i="13"/>
  <c r="J141" i="13"/>
  <c r="J206" i="13"/>
  <c r="J253" i="13"/>
  <c r="J139" i="13"/>
  <c r="J282" i="13"/>
  <c r="J160" i="13"/>
  <c r="J213" i="13"/>
  <c r="J210" i="13"/>
  <c r="I18" i="13"/>
  <c r="I28" i="13"/>
  <c r="I38" i="13"/>
  <c r="I48" i="13"/>
  <c r="I58" i="13"/>
  <c r="I68" i="13"/>
  <c r="I78" i="13"/>
  <c r="I88" i="13"/>
  <c r="I98" i="13"/>
  <c r="I108" i="13"/>
  <c r="I118" i="13"/>
  <c r="I128" i="13"/>
  <c r="I138" i="13"/>
  <c r="I152" i="13"/>
  <c r="N99" i="13"/>
  <c r="N86" i="13"/>
  <c r="N92" i="13"/>
  <c r="N97" i="13"/>
  <c r="N103" i="13"/>
  <c r="I159" i="13"/>
  <c r="I159" i="23"/>
  <c r="I166" i="23"/>
  <c r="I171" i="23"/>
  <c r="N104" i="13"/>
  <c r="N121" i="13"/>
  <c r="N119" i="13"/>
  <c r="I150" i="13"/>
  <c r="F4" i="13"/>
  <c r="I162" i="13"/>
  <c r="I93" i="13"/>
  <c r="I103" i="13"/>
  <c r="I113" i="13"/>
  <c r="I123" i="13"/>
  <c r="I133" i="13"/>
  <c r="I143" i="13"/>
  <c r="N123" i="13"/>
  <c r="N95" i="13"/>
  <c r="N74" i="13"/>
  <c r="N100" i="13"/>
  <c r="N98" i="13"/>
  <c r="I160" i="13"/>
  <c r="I163" i="13"/>
  <c r="I162" i="23"/>
  <c r="N83" i="13"/>
  <c r="N85" i="13"/>
  <c r="N90" i="13"/>
  <c r="N88" i="13"/>
  <c r="I156" i="13"/>
  <c r="O54" i="13"/>
  <c r="O124" i="13"/>
  <c r="N14" i="13"/>
  <c r="O80" i="13"/>
  <c r="F8" i="13"/>
  <c r="O50" i="13"/>
  <c r="O106" i="13"/>
  <c r="O67" i="13"/>
  <c r="O75" i="13"/>
  <c r="N17" i="13"/>
  <c r="N27" i="13"/>
  <c r="N37" i="13"/>
  <c r="N47" i="13"/>
  <c r="N57" i="13"/>
  <c r="N67" i="13"/>
  <c r="N112" i="13"/>
  <c r="J178" i="13"/>
  <c r="J156" i="13"/>
  <c r="J202" i="13"/>
  <c r="J248" i="13"/>
  <c r="J251" i="13"/>
  <c r="J292" i="13"/>
  <c r="J257" i="13"/>
  <c r="J166" i="13"/>
  <c r="G217" i="15" s="1"/>
  <c r="J204" i="13"/>
  <c r="G255" i="15" s="1"/>
  <c r="J274" i="13"/>
  <c r="I15" i="13"/>
  <c r="J149" i="13"/>
  <c r="J277" i="13"/>
  <c r="J300" i="13"/>
  <c r="J242" i="13"/>
  <c r="J267" i="13"/>
  <c r="J237" i="13"/>
  <c r="G288" i="15" s="1"/>
  <c r="J260" i="13"/>
  <c r="I25" i="13"/>
  <c r="I35" i="13"/>
  <c r="I45" i="13"/>
  <c r="I55" i="13"/>
  <c r="I65" i="13"/>
  <c r="I75" i="13"/>
  <c r="I85" i="13"/>
  <c r="I95" i="13"/>
  <c r="I105" i="13"/>
  <c r="I115" i="13"/>
  <c r="I125" i="13"/>
  <c r="I135" i="13"/>
  <c r="I145" i="13"/>
  <c r="N114" i="13"/>
  <c r="N75" i="13"/>
  <c r="N81" i="13"/>
  <c r="N80" i="13"/>
  <c r="N78" i="13"/>
  <c r="I153" i="13"/>
  <c r="I169" i="23"/>
  <c r="N84" i="13"/>
  <c r="N117" i="13"/>
  <c r="N120" i="13"/>
  <c r="N96" i="13"/>
  <c r="O95" i="13"/>
  <c r="O103" i="13"/>
  <c r="O56" i="13"/>
  <c r="O111" i="13"/>
  <c r="O72" i="13"/>
  <c r="O98" i="13"/>
  <c r="O117" i="13"/>
  <c r="O86" i="13"/>
  <c r="O104" i="13"/>
  <c r="N19" i="13"/>
  <c r="N29" i="13"/>
  <c r="N39" i="13"/>
  <c r="N49" i="13"/>
  <c r="N59" i="13"/>
  <c r="N69" i="13"/>
  <c r="N122" i="13"/>
  <c r="J278" i="13"/>
  <c r="J270" i="13"/>
  <c r="J207" i="13"/>
  <c r="J196" i="13"/>
  <c r="J153" i="13"/>
  <c r="J284" i="13"/>
  <c r="J247" i="13"/>
  <c r="G298" i="15" s="1"/>
  <c r="J145" i="13"/>
  <c r="J173" i="13"/>
  <c r="J296" i="13"/>
  <c r="G347" i="15" s="1"/>
  <c r="J155" i="13"/>
  <c r="J298" i="13"/>
  <c r="J150" i="13"/>
  <c r="J256" i="13"/>
  <c r="G307" i="15" s="1"/>
  <c r="I17" i="13"/>
  <c r="I27" i="13"/>
  <c r="I37" i="13"/>
  <c r="I47" i="13"/>
  <c r="I57" i="13"/>
  <c r="I67" i="13"/>
  <c r="I77" i="13"/>
  <c r="I87" i="13"/>
  <c r="I97" i="13"/>
  <c r="I107" i="13"/>
  <c r="I117" i="13"/>
  <c r="I127" i="13"/>
  <c r="I137" i="13"/>
  <c r="N91" i="13"/>
  <c r="N106" i="13"/>
  <c r="N110" i="13"/>
  <c r="N107" i="13"/>
  <c r="G305" i="15" l="1"/>
  <c r="G285" i="15"/>
  <c r="G277" i="15"/>
  <c r="G211" i="15"/>
  <c r="G328" i="15"/>
  <c r="G326" i="15"/>
  <c r="G318" i="15"/>
  <c r="G203" i="15"/>
  <c r="G247" i="15"/>
  <c r="G207" i="15"/>
  <c r="G321" i="15"/>
  <c r="G319" i="15"/>
  <c r="G208" i="15"/>
  <c r="G265" i="15"/>
  <c r="G276" i="15"/>
  <c r="G309" i="15"/>
  <c r="G235" i="15"/>
  <c r="G306" i="15"/>
  <c r="G267" i="15"/>
  <c r="G332" i="15"/>
  <c r="G219" i="15"/>
  <c r="G253" i="15"/>
  <c r="G289" i="15"/>
  <c r="G356" i="15"/>
  <c r="G259" i="15"/>
  <c r="G229" i="15"/>
  <c r="G304" i="15"/>
  <c r="G312" i="15"/>
  <c r="G290" i="15"/>
  <c r="G346" i="15"/>
  <c r="G272" i="15"/>
  <c r="G244" i="15"/>
  <c r="G245" i="15"/>
  <c r="G224" i="15"/>
  <c r="G287" i="15"/>
  <c r="G357" i="15"/>
  <c r="G216" i="15"/>
  <c r="G295" i="15"/>
  <c r="G222" i="15"/>
  <c r="G302" i="15"/>
  <c r="G301" i="15"/>
  <c r="G231" i="15"/>
  <c r="G343" i="15"/>
  <c r="G252" i="15"/>
  <c r="G227" i="15"/>
  <c r="G352" i="15"/>
  <c r="G239" i="15"/>
  <c r="G336" i="15"/>
  <c r="G212" i="15"/>
  <c r="G214" i="15"/>
  <c r="G341" i="15"/>
  <c r="G280" i="15"/>
  <c r="G237" i="15"/>
  <c r="G316" i="15"/>
  <c r="G286" i="15"/>
  <c r="G241" i="15"/>
  <c r="G205" i="15"/>
  <c r="G275" i="15"/>
  <c r="G311" i="15"/>
  <c r="G338" i="15"/>
  <c r="G228" i="15"/>
  <c r="G327" i="15"/>
  <c r="G223" i="15"/>
  <c r="G344" i="15"/>
  <c r="G296" i="15"/>
  <c r="G329" i="15"/>
  <c r="G308" i="15"/>
  <c r="G331" i="15"/>
  <c r="G322" i="15"/>
  <c r="G355" i="15"/>
  <c r="G206" i="15"/>
  <c r="G342" i="15"/>
  <c r="G283" i="15"/>
  <c r="G279" i="15"/>
  <c r="G234" i="15"/>
  <c r="G269" i="15"/>
  <c r="G220" i="15"/>
  <c r="G310" i="15"/>
  <c r="G243" i="15"/>
  <c r="G300" i="15"/>
  <c r="G215" i="15"/>
  <c r="G348" i="15"/>
  <c r="G339" i="15"/>
  <c r="G246" i="15"/>
  <c r="G281" i="15"/>
  <c r="G251" i="15"/>
  <c r="G335" i="15"/>
  <c r="G351" i="15"/>
  <c r="G350" i="15"/>
  <c r="G254" i="15"/>
  <c r="G292" i="15"/>
  <c r="G264" i="15"/>
  <c r="G204" i="15"/>
  <c r="G333" i="15"/>
  <c r="G278" i="15"/>
  <c r="G271" i="15"/>
  <c r="G240" i="15"/>
  <c r="G315" i="15"/>
  <c r="G221" i="15"/>
  <c r="G320" i="15"/>
  <c r="G260" i="15"/>
  <c r="G232" i="15"/>
  <c r="G261" i="15"/>
  <c r="G225" i="15"/>
  <c r="G274" i="15"/>
  <c r="G353" i="15"/>
  <c r="G324" i="15"/>
  <c r="G354" i="15"/>
  <c r="G213" i="15"/>
  <c r="G313" i="15"/>
  <c r="G334" i="15"/>
  <c r="G299" i="15"/>
  <c r="G210" i="15"/>
  <c r="G345" i="15"/>
  <c r="G303" i="15"/>
  <c r="G294" i="15"/>
  <c r="G282" i="15"/>
  <c r="G297" i="15"/>
  <c r="G233" i="15"/>
  <c r="G236" i="15"/>
  <c r="G293" i="15"/>
  <c r="G258" i="15"/>
  <c r="G314" i="15"/>
  <c r="G323" i="15"/>
  <c r="G349" i="15"/>
  <c r="G325" i="15"/>
  <c r="G218" i="15"/>
  <c r="G230" i="15"/>
  <c r="G209" i="15"/>
  <c r="G273" i="15"/>
  <c r="G266" i="15"/>
  <c r="G202" i="15"/>
  <c r="G330" i="15"/>
  <c r="G257" i="15"/>
  <c r="I13" i="21" l="1"/>
</calcChain>
</file>

<file path=xl/sharedStrings.xml><?xml version="1.0" encoding="utf-8"?>
<sst xmlns="http://schemas.openxmlformats.org/spreadsheetml/2006/main" count="811" uniqueCount="320">
  <si>
    <t>p Mt</t>
  </si>
  <si>
    <t>q Gt</t>
  </si>
  <si>
    <t>logit</t>
  </si>
  <si>
    <t>probit</t>
  </si>
  <si>
    <t>Published</t>
  </si>
  <si>
    <t>Hull</t>
  </si>
  <si>
    <t>RC</t>
  </si>
  <si>
    <t>IGC</t>
  </si>
  <si>
    <t>WEC 12</t>
  </si>
  <si>
    <t>WEC 13</t>
  </si>
  <si>
    <t>WEC 14</t>
  </si>
  <si>
    <t>WEC 15</t>
  </si>
  <si>
    <t>WEC 16</t>
  </si>
  <si>
    <t>WEC 17</t>
  </si>
  <si>
    <t>WEC 18</t>
  </si>
  <si>
    <t>WEC 19</t>
  </si>
  <si>
    <t>WEC 20</t>
  </si>
  <si>
    <t>WEC 21</t>
  </si>
  <si>
    <t>Q</t>
  </si>
  <si>
    <t>first year for current fit</t>
  </si>
  <si>
    <t>r m</t>
  </si>
  <si>
    <t>Waste Commission</t>
  </si>
  <si>
    <t>Ashmead</t>
  </si>
  <si>
    <t>Ashley</t>
  </si>
  <si>
    <t>Arndt</t>
  </si>
  <si>
    <t>EIA</t>
  </si>
  <si>
    <t>Reference year</t>
  </si>
  <si>
    <t>r y</t>
  </si>
  <si>
    <t>p Mt Belgium</t>
  </si>
  <si>
    <t>q Gt Belgium</t>
  </si>
  <si>
    <t>p Mt France</t>
  </si>
  <si>
    <t>q Gt France</t>
  </si>
  <si>
    <t>p Mt Japan</t>
  </si>
  <si>
    <t>q Gt Japan</t>
  </si>
  <si>
    <t>p Mt South Korea</t>
  </si>
  <si>
    <t>q Gt South Korea</t>
  </si>
  <si>
    <t>R South Korea</t>
  </si>
  <si>
    <t>R Japan</t>
  </si>
  <si>
    <t>R Belgium</t>
  </si>
  <si>
    <t>R France</t>
  </si>
  <si>
    <t>R</t>
  </si>
  <si>
    <t>q l</t>
  </si>
  <si>
    <t>R Mt Albania</t>
  </si>
  <si>
    <t>Austria</t>
  </si>
  <si>
    <t>Bulgaria</t>
  </si>
  <si>
    <t>Czechoslovakia</t>
  </si>
  <si>
    <t>Denmark</t>
  </si>
  <si>
    <t>Germany</t>
  </si>
  <si>
    <t>Greece</t>
  </si>
  <si>
    <t>Hungary</t>
  </si>
  <si>
    <t>Ireland</t>
  </si>
  <si>
    <t>Italy</t>
  </si>
  <si>
    <t>Netherlands</t>
  </si>
  <si>
    <t>Norway</t>
  </si>
  <si>
    <t>Poland</t>
  </si>
  <si>
    <t>Portugal</t>
  </si>
  <si>
    <t>Romania</t>
  </si>
  <si>
    <t>Spain</t>
  </si>
  <si>
    <t>Sweden</t>
  </si>
  <si>
    <t>Turkey</t>
  </si>
  <si>
    <t>Ukraine</t>
  </si>
  <si>
    <t>Yugoslavia</t>
  </si>
  <si>
    <t>weighted r2</t>
  </si>
  <si>
    <t>United Kingdom</t>
  </si>
  <si>
    <t>Pennsylvania anthracite</t>
  </si>
  <si>
    <t>Japan and South Korea</t>
  </si>
  <si>
    <t>France and Belgium</t>
  </si>
  <si>
    <t>Q reserves</t>
  </si>
  <si>
    <t>The projection range is over the years from 1900 to the present, except for Japan and South Korea, which is from 1945 on</t>
  </si>
  <si>
    <t>probit early</t>
  </si>
  <si>
    <t>logit early</t>
  </si>
  <si>
    <t>q 1862-</t>
  </si>
  <si>
    <t>Q logit</t>
  </si>
  <si>
    <t>Q probit</t>
  </si>
  <si>
    <t>trend</t>
  </si>
  <si>
    <t>For the UK, the actual 90% year was 1984.  This year and 1985 were strike years with unusually low production.  I used 1983 for the comparison to peak production.</t>
  </si>
  <si>
    <t>Q probit early</t>
  </si>
  <si>
    <t>Q logit early</t>
  </si>
  <si>
    <t>Q logit weighted r2</t>
  </si>
  <si>
    <t>Q probit weighted r2</t>
  </si>
  <si>
    <t>q p</t>
  </si>
  <si>
    <t>trend early</t>
  </si>
  <si>
    <t>Q reserves with reference year 2 years before published year</t>
  </si>
  <si>
    <t xml:space="preserve"> Q reserves</t>
  </si>
  <si>
    <t>Q reserves logit</t>
  </si>
  <si>
    <t>Q reserves probit</t>
  </si>
  <si>
    <t>R Mt Afghanistan</t>
  </si>
  <si>
    <t>India</t>
  </si>
  <si>
    <t>Indonesia</t>
  </si>
  <si>
    <t>Malaysia</t>
  </si>
  <si>
    <t>Myanmar</t>
  </si>
  <si>
    <t>Nepal</t>
  </si>
  <si>
    <t>Pakistan</t>
  </si>
  <si>
    <t>Philippines</t>
  </si>
  <si>
    <t>Taiwan</t>
  </si>
  <si>
    <t>Thailand</t>
  </si>
  <si>
    <t>Vietnam</t>
  </si>
  <si>
    <t>Iran</t>
  </si>
  <si>
    <t xml:space="preserve"> </t>
  </si>
  <si>
    <t>WPC 1</t>
  </si>
  <si>
    <t>WPC 2</t>
  </si>
  <si>
    <t>WPC 3</t>
  </si>
  <si>
    <t>WPC 4</t>
  </si>
  <si>
    <t>WPC 5</t>
  </si>
  <si>
    <t>WPC 6</t>
  </si>
  <si>
    <t>WPC 7</t>
  </si>
  <si>
    <t>WPC 8</t>
  </si>
  <si>
    <t>WPC 9</t>
  </si>
  <si>
    <t>WPC 10</t>
  </si>
  <si>
    <t>WPC 11</t>
  </si>
  <si>
    <t>R New Zealand</t>
  </si>
  <si>
    <t>Sources</t>
  </si>
  <si>
    <t>Summaries</t>
  </si>
  <si>
    <t>Mature regions</t>
  </si>
  <si>
    <t>United States</t>
  </si>
  <si>
    <t>Active regions</t>
  </si>
  <si>
    <t>q p early</t>
  </si>
  <si>
    <t>r m early</t>
  </si>
  <si>
    <t>q l early</t>
  </si>
  <si>
    <t>p Mt Australia</t>
  </si>
  <si>
    <t>q Gt Australia</t>
  </si>
  <si>
    <t>p Mt New Zealand</t>
  </si>
  <si>
    <t>q Gt New Zealand</t>
  </si>
  <si>
    <t>Japan reference year</t>
  </si>
  <si>
    <t>South Korea reference year</t>
  </si>
  <si>
    <t>France reference year</t>
  </si>
  <si>
    <t>Belgium reference year</t>
  </si>
  <si>
    <t>R Australia</t>
  </si>
  <si>
    <t>Australia reference year</t>
  </si>
  <si>
    <t>New Zealand reference year</t>
  </si>
  <si>
    <t>Africa</t>
  </si>
  <si>
    <t>Australia and New Zealand</t>
  </si>
  <si>
    <t>Europe</t>
  </si>
  <si>
    <t>China</t>
  </si>
  <si>
    <t>Kazakhstan</t>
  </si>
  <si>
    <t>Uzbekistan</t>
  </si>
  <si>
    <t>Kyrgyzstan</t>
  </si>
  <si>
    <t>North Korea</t>
  </si>
  <si>
    <t>Russia</t>
  </si>
  <si>
    <t>USSR/CIS</t>
  </si>
  <si>
    <t>Western United States</t>
  </si>
  <si>
    <t>Eastern United States</t>
  </si>
  <si>
    <t>Canada</t>
  </si>
  <si>
    <t>South Asia</t>
  </si>
  <si>
    <t>Latin America</t>
  </si>
  <si>
    <t>p</t>
  </si>
  <si>
    <t>q</t>
  </si>
  <si>
    <t>r2</t>
  </si>
  <si>
    <t>logistic function</t>
  </si>
  <si>
    <t>reserves + cumulative production</t>
  </si>
  <si>
    <t>cumulative production at year end in Gt</t>
  </si>
  <si>
    <t>reserves at year end in Gt</t>
  </si>
  <si>
    <t>10%,90%</t>
  </si>
  <si>
    <t>probit transform (-NORMSINV(q/Q), where NORMSINV is the Excel inverse cumulative standardized normal function, linearizes the cumulative normal function (pronounced with a short "o" as the beginning of "probability")</t>
  </si>
  <si>
    <t>Notation</t>
  </si>
  <si>
    <t>Pannsylvania anthracite</t>
  </si>
  <si>
    <t>In the United States, anthracite comes primarily from fields in Eastern Pennsylvania.  This production category dominated early US production</t>
  </si>
  <si>
    <t>Region</t>
  </si>
  <si>
    <t>Parellel industrial development and similar exhaustion pattern</t>
  </si>
  <si>
    <t>New Zealand production is only 1% of Australia's, but it has also been increasing, albeit not as rapidly.</t>
  </si>
  <si>
    <t>Primarily South Africa</t>
  </si>
  <si>
    <t>This is the rest of Europe.  It excludes the United Kingdom, France and Belgium.  It includes Turkey and the Ukraine, but not Russia.</t>
  </si>
  <si>
    <t>r m, r y</t>
  </si>
  <si>
    <t>Comments</t>
  </si>
  <si>
    <t>q l, q p</t>
  </si>
  <si>
    <t>logistic and cumulative normal models for cumulative production</t>
  </si>
  <si>
    <t>Publication year</t>
  </si>
  <si>
    <t>Mt, Gt</t>
  </si>
  <si>
    <t>I divide the world into 14 regions, chosen to give coherent production histories in each region.</t>
  </si>
  <si>
    <t>cumulative normal function</t>
  </si>
  <si>
    <t>The primary producers in this region are India and Indonesia.  Production in both has been growing rapidly.  Includes Middle East except for Turkey, Southeast Asia, and the offshore islands.</t>
  </si>
  <si>
    <t>South America and Mexico.  The most important producer is Columbia, where production is growing rapidly.</t>
  </si>
  <si>
    <t>IGC, WPC, WEC</t>
  </si>
  <si>
    <t xml:space="preserve"> R Canada</t>
  </si>
  <si>
    <t>R Greenland</t>
  </si>
  <si>
    <t>The reserves for Greenland are included with Canada.  There is no production from Greenland.</t>
  </si>
  <si>
    <t>10%, 90% early</t>
  </si>
  <si>
    <t>Definitions</t>
  </si>
  <si>
    <t>Introductory</t>
  </si>
  <si>
    <t>Dominated world production in the 1800's.</t>
  </si>
  <si>
    <t>These countries share a coal field that extends over the border, and a similar shift to nuclear power.</t>
  </si>
  <si>
    <t>Dominates current world production now</t>
  </si>
  <si>
    <t>This includes the former Soviet Union except for the Ukraine.  Also, Mongolia and North Korea are counted in this region.</t>
  </si>
  <si>
    <t>States west and east of the Mississippi River.  The source of the Mississippi is in the state of Minnesota, which fortunately is one of the 17 states with no historical coal production and no coal reserves.  The eastern and western regions have different types of coal fields and very different production histories.</t>
  </si>
  <si>
    <t>Production</t>
  </si>
  <si>
    <t>Reserves</t>
  </si>
  <si>
    <t xml:space="preserve">Production and % surface from 1949 to present from  Table 7.2  Coal Production available at http://www.eia.doe.gov/emeu/aer/txt/stb0702.xls   </t>
  </si>
  <si>
    <t>Early production for many states from Robert Milici http://pubs.usgs.gov/of/1997/of97-447/  Milici does not include MI, NC, RI and MA in the east, and AK, WA, OR, CA, ID, AR, KS, MO, OK, NE, NV in the west.</t>
  </si>
  <si>
    <t>For states Milici misses -1885 Howard Eavenson, 1942, The First Century and a Quarter of American Coal Industry, privately published, Waverly Press, Baltimore, MD, Production Table 20, pp. 426-434</t>
  </si>
  <si>
    <t>For states Milici misses 1886-1927 Mineral Resources of the United States USGS (Bureau of Mines in 1927)</t>
  </si>
  <si>
    <t>For states Milici misses 1928-1948 Minerals Yearbooks Bureau of Mines United States Government Printing Office, Washington DC.   Minerals Yearbooks do not include all states, and there is a production row that I omit for Other States, which may be as large as several hundred thousand tons</t>
  </si>
  <si>
    <t>1799 to 1990 from Grun, V. D., V. Ye. Zaydenvarg, V. G. Kilimnik, Yu. N. Malyshev, V. N. Popov, and A. A. Rozhkov, The history of coal mining in Russia (in Russian), Moscow, 480 pages, 2003, ISBN 5-85723-052-7: 227-27, 1991 to present BP Statistical Review</t>
  </si>
  <si>
    <t>Production 1949 and  afterwards from  Table 7.2  Coal Production available at http://www.eia.doe.gov/emeu/aer/txt/stb0702.xls</t>
  </si>
  <si>
    <t xml:space="preserve">Earlier years from Robert Milici http://pubs.usgs.gov/of/1997/of97-447/  </t>
  </si>
  <si>
    <t>1892 Anthracite Coal Waste Commission quoted in Marius Campbell and Edward Parker, 1909, Coal Fields of the United States, USGS Bulletin 394</t>
  </si>
  <si>
    <t>1921 Dever C. Ashmead Anthracite Losses and Reserves in Pennsylvania, Pennsylvania Geological Survey, 4th seri., Bull. 8, 1926</t>
  </si>
  <si>
    <t>1945 GH Ashley Anthracite Reserves Pennslyvania Topog. and Geol. Survey Prog. Report 130</t>
  </si>
  <si>
    <t xml:space="preserve">1964 reserves:  US Geological Survey and the US Bureau of Mines, 1968, Mineral Resources of the Appalachian Region, Geological Survey Professional Paper 580, in the chapter by Harold Arndt, Paul Averitt, James Dowd, and Donald Frendzel, “Coal,” p. 133.  </t>
  </si>
  <si>
    <t>EIA Demonstrated Reserve Base of Coal in the United States on January 1, 1979</t>
  </si>
  <si>
    <t>EIA U.S. Coal Reserves: An Update by Heat and Sulfur Content February 1993, EIA Annual Coal Report 2001 Table 16, EIA Annual Coal Report 2006 Table 15</t>
  </si>
  <si>
    <t>Belgium</t>
  </si>
  <si>
    <t>Belgium 1815-1990 from International Historical Statistics by Brian Mitchell. 1991- Belgium production from the EIA at http://tonto.eia.doe.gov/country/country_time_series.cfm?fips=BE#ng</t>
  </si>
  <si>
    <t>UK</t>
  </si>
  <si>
    <t>Mongolia and North Koreak</t>
  </si>
  <si>
    <t>General</t>
  </si>
  <si>
    <t>Edward Hull, The Coal Fields of Britain, 1861, Edward Stanton, London</t>
  </si>
  <si>
    <t>Report of the Commissioners appointed to inquire into the several matters relating to Coal,” 1871, printed by George Edward Eyre and Spottiswoode, London</t>
  </si>
  <si>
    <t>Western US and Eastern US</t>
  </si>
  <si>
    <t>The basic reference from early times through 1980 is International Historical Statistics by B. R. Mitchell.  From 1981 to the present, I use the BP Statistical Review.</t>
  </si>
  <si>
    <t>Cumulative production in 1829 from Sidney Pollard, "A New Estimate of British Coal Production 1750-1850."</t>
  </si>
  <si>
    <t>1896-1980 The Chinese Coal Industry: An Economic History, by Elspeth Thomson, 1981-present BP Statistical Review</t>
  </si>
  <si>
    <t>The Royal Commission of 1905 is discussed in Herbert Stanley Jevons, 1915, “The British Coal Trade,” Kegan Paul, Trench, Trubner and Company, London</t>
  </si>
  <si>
    <t>For Mongolia and North Korea, I used  International Historical Statistics by B. R. Mitchell through 1980, then from the EIA http://www.eia.doe.gov/emeu/international/coalproduction.html   This series is often a year or two behind, and I fill with the latest year available.</t>
  </si>
  <si>
    <t>The Ukraine</t>
  </si>
  <si>
    <t>The Ukraine is first listed in the international surveys as an independent country in 1998.  Before this time, I use the numbers for the Donetz Basin given in the 1913 McInnes reference above (p. 1178)</t>
  </si>
  <si>
    <t>It is a good idea to study the VBA code before using the macro.</t>
  </si>
  <si>
    <t>4. The keyboard shortcut to start is Ctrl q</t>
  </si>
  <si>
    <t>Q historical</t>
  </si>
  <si>
    <t>long-term regional production calculated by curve fitting</t>
  </si>
  <si>
    <t>long-term regional production calculated by curve fitting, but using only the production information that was available in that year.  These are curve fits that, in principle, could have been done in that year.</t>
  </si>
  <si>
    <t>Q sum</t>
  </si>
  <si>
    <t>For the US and the world, the sum of the Q historical values for the three regions of the US and the 14 regions of the world.  Direct fits for world production are also given, but these show stability problems.  This likely reflects the shift over time in the regional center of production, from the UK, the rest of Europe, the US, and now to China and South Asia.</t>
  </si>
  <si>
    <t>logit transform, -ln(Q/q-1), where ln is the natural logarithm, linearizes a logistic function (pronounced "loajit" as in the beginning of logistic)</t>
  </si>
  <si>
    <t xml:space="preserve">IGC 1913 William McInnes, D.B. Dowling, and W.W. Leach, The Coal Resources of the World, actual and probable reserves </t>
  </si>
  <si>
    <t>WPC Frederick Brown, Statistical Year-Books (1-9) of the World Power Conference, published by the World Power Conference, London, probable total reserves</t>
  </si>
  <si>
    <t>WPC Albert Parker, World Power Conference,Survey of Energy Resources (10-11), the World Power Conference, London, total reserves</t>
  </si>
  <si>
    <t>WEC World Energy Conference, Survey of Energy Resources (12), known economically recoverable reserves</t>
  </si>
  <si>
    <t>WEC World Energy Conference (13-15), Survey of Energy Resources, proved recoverable reserves</t>
  </si>
  <si>
    <t>WEC World Energy Council, Survey of Energy Resources (16-21), proved recoverable reserves</t>
  </si>
  <si>
    <t>Reserves sources: International Geological Congress of 1913, World Power Conferences 1 (1936) - 11 (1968), World Energy Conference/Council 12 (1974) - 21 (2007)</t>
  </si>
  <si>
    <t>q sum</t>
  </si>
  <si>
    <t>Historical long-term fits</t>
  </si>
  <si>
    <t>2. The cells in the range that you want fits for should have a character (like "x") in them.</t>
  </si>
  <si>
    <t>3. Select the bottom (latest) cell</t>
  </si>
  <si>
    <t>5. The calculation will proceed upward (backward in time) and stop at the first empty cell</t>
  </si>
  <si>
    <t>1. Set and run Solver for the most recent year just before you start to set the parameters</t>
  </si>
  <si>
    <t>The macro Fit calculates the historical long-term fits (Q).</t>
  </si>
  <si>
    <t>Cumulative production Gt</t>
  </si>
  <si>
    <t>Current production Mt</t>
  </si>
  <si>
    <t>World Coal</t>
  </si>
  <si>
    <t>World coal (with mature regions)</t>
  </si>
  <si>
    <t>Term</t>
  </si>
  <si>
    <t>Explanation</t>
  </si>
  <si>
    <t>Constant</t>
  </si>
  <si>
    <t>millions and billions of metric tons for coal</t>
  </si>
  <si>
    <t>Mtoe, Gtoe</t>
  </si>
  <si>
    <t>Q probit current</t>
  </si>
  <si>
    <t>trend current</t>
  </si>
  <si>
    <t>Average % of peak at 90% exhaustion</t>
  </si>
  <si>
    <t>10%, 90% current</t>
  </si>
  <si>
    <t>Reference year for South Africa</t>
  </si>
  <si>
    <t>Q logit current</t>
  </si>
  <si>
    <t>millions and billions of metric tons of oil equivalent</t>
  </si>
  <si>
    <t>annual production in Mt,   Reflects most current production available.  For the UK (DECC) and the US (EIA), the annual production numbers come out in the spring.  I use the BP spreadsheet for most of the rest of the world.</t>
  </si>
  <si>
    <t>Active Regions Summary</t>
  </si>
  <si>
    <t>Mature Regions Summary</t>
  </si>
  <si>
    <t>IPCC Scenarios</t>
  </si>
  <si>
    <t>Excel table with carbon emissions for the 40 scenarios is at http://www.grida.no/climate/ipcc/emission/data/allscen.xls</t>
  </si>
  <si>
    <t>Q probit historical</t>
  </si>
  <si>
    <t>Q logit historical</t>
  </si>
  <si>
    <t>Venezuela</t>
  </si>
  <si>
    <t>Peru</t>
  </si>
  <si>
    <t>Mexico</t>
  </si>
  <si>
    <t>Honduras</t>
  </si>
  <si>
    <t>Ecuador</t>
  </si>
  <si>
    <t>Columbia</t>
  </si>
  <si>
    <t>Chile</t>
  </si>
  <si>
    <t>Brazil</t>
  </si>
  <si>
    <t>Argentina Mt</t>
  </si>
  <si>
    <t>Q reserves (2 year reference except IGC)</t>
  </si>
  <si>
    <t>Bangladesh</t>
  </si>
  <si>
    <t>q1968/Q</t>
  </si>
  <si>
    <t>Average range</t>
  </si>
  <si>
    <t xml:space="preserve">Regression  t10, t90 </t>
  </si>
  <si>
    <t>Observed       t10, t90</t>
  </si>
  <si>
    <t>Reserves year</t>
  </si>
  <si>
    <t>In statistics, the coefficient of determination (square of the correlation coefficient in a linear regression).  The regional curve fits are all done by maximizing r2 for the logit and probit transforms as a function  of Q.</t>
  </si>
  <si>
    <t>Australia</t>
  </si>
  <si>
    <t xml:space="preserve">Regression t90 </t>
  </si>
  <si>
    <t>for reserves.  I use this year in the plots.</t>
  </si>
  <si>
    <t>For the world, the sum of the logistic and cumulative normal models for cumulative production</t>
  </si>
  <si>
    <t>residuals exressed in months or years by dividing by the slope of the linearized data.  For this purpose, a month is 1/12 of a year.  The residuals are plotted in time units to allow comparisons between early and late fits and logit and probit fits.</t>
  </si>
  <si>
    <t>In reserve publications, the reserves are usually given for an earlier year than the year of publication.  This is now standardized by the World Energy Council to two years before publication.  I use year-end accounting consistently.  I use this year for calculating Q reserves</t>
  </si>
  <si>
    <t>(Reserves + cumulative)/Average long-term fit</t>
  </si>
  <si>
    <t>A1C AIM through 2100, Gt</t>
  </si>
  <si>
    <t>Reserves + cumulative         Gt</t>
  </si>
  <si>
    <t>Cumulative production    Gt</t>
  </si>
  <si>
    <t>Early reserves + cumulative     Gt</t>
  </si>
  <si>
    <t>Peak production     Mt</t>
  </si>
  <si>
    <t>1829-1899 Davidson Report - Davidson, C. G. W. Gepp, H. Ward, L. K., NSW Parliament. Legislative Assembly, Report of the Royal Commission appointed to Inquire into and report upon the coal industry, pub. Alfred James Kent, Government Printer, 1930</t>
  </si>
  <si>
    <t>q/Q reserves</t>
  </si>
  <si>
    <t>Long-term production estimate   Gt</t>
  </si>
  <si>
    <t>Long-term production estimate     Gt</t>
  </si>
  <si>
    <t>Growth rate</t>
  </si>
  <si>
    <t>Growth rate 1931-</t>
  </si>
  <si>
    <t>Growth rate -1913</t>
  </si>
  <si>
    <t>% q1913 US&amp;EU/World</t>
  </si>
  <si>
    <t>WEC 22</t>
  </si>
  <si>
    <t>Long-term production estimate range                      Gt</t>
  </si>
  <si>
    <t>Long-term production estimate/     (early reserves + cumulative)</t>
  </si>
  <si>
    <t>% of long-term production estimate at peak</t>
  </si>
  <si>
    <t>% of peak production at the observed t90</t>
  </si>
  <si>
    <t>Growth since 1985</t>
  </si>
  <si>
    <t>Long-term production estimate range                        Gt</t>
  </si>
  <si>
    <t>Long-term production estimate/ (reserves + cumulative)</t>
  </si>
  <si>
    <t>t50</t>
  </si>
  <si>
    <t>tau</t>
  </si>
  <si>
    <t>t10</t>
  </si>
  <si>
    <t>t90</t>
  </si>
  <si>
    <t>Conversion factor: 2 metric ton of coal per metric tons of oil equivalent.  This has been the production average for coal in the BP Statistical Review</t>
  </si>
  <si>
    <t>Background material for Estimating Long-Term World Coal Production with Logit and Probit Transforms, International Journal of Coal Geology</t>
  </si>
  <si>
    <t>s-curve model for cumulative production, given by q/Q = 1/{1+exp[-(t-t50%)/tau]}, where tau is a time constatn, and t50 is the half-way point</t>
  </si>
  <si>
    <t>alternative s-curve model for cumulative production, given by q/Q = NORMDIST[(t,t50,sigma,1], where NORMDIST with the final parameter 1 is the Excel cumulative standardized normal function, sigma is the standard deviation, and t50 is the half-way year</t>
  </si>
  <si>
    <t>t10, t90</t>
  </si>
  <si>
    <t>The years for 10% of long-term production and 90% of long-term production.  The 10% year can be thought of as a take-off year, and the 90% year as an exhaustion year.  These years are calculated from the intercept and slope regression formulas.  We can relate these to the parameters m, tau, and sigma for the logistic and cumulative normal functions by m = average(t10,t90), tau ln(81) = t90 - t10, and sigma/[NORMSINV(0.9) - (NORMSINV(0.1)] = t90 - t10, where NORMSINV is the Excel inverse cumulative standardized normal function.  These years are displayed with the conventional rounding.  For comparison with the historical record for the mature regions, it would be preferable to round up.  However, this makes things pretty confusing, so I did not do this.</t>
  </si>
  <si>
    <t>Dave Rutledge (November, 2010)</t>
  </si>
  <si>
    <t>Source: http://rutledge.caltech.edu</t>
  </si>
  <si>
    <t>Year</t>
  </si>
  <si>
    <t>UK_coal_propduction_Mt</t>
  </si>
  <si>
    <t>D. Rutledge. Estimating long-term world coal production with logit and probit transforms. International Journal of Coal Geology, 85(1):23–33, Jan 2011.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</si>
</sst>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_(* \(#,##0.00\);_(* &quot;-&quot;??_);_(@_)"/>
    <numFmt numFmtId="164" formatCode="0.0"/>
    <numFmt numFmtId="165" formatCode="#,##0.0"/>
    <numFmt numFmtId="166" formatCode="0.0000"/>
    <numFmt numFmtId="167" formatCode="0.0%"/>
    <numFmt numFmtId="168" formatCode="0.000000"/>
    <numFmt numFmtId="169" formatCode="0.00000"/>
    <numFmt numFmtId="170" formatCode="0.000"/>
    <numFmt numFmtId="171" formatCode="0.0000000"/>
    <numFmt numFmtId="172" formatCode="0.00000000%"/>
    <numFmt numFmtId="173" formatCode="#,##0\ ;\-#,##0\ ;&quot;-&quot;\ "/>
    <numFmt numFmtId="174" formatCode="#,##0.0\ ;\-#,##0.0\ ;&quot;-&quot;\ "/>
    <numFmt numFmtId="175" formatCode="#,##0.000000"/>
    <numFmt numFmtId="176" formatCode="0.0_);\(0.0\)"/>
    <numFmt numFmtId="177" formatCode="0_);\(0\)"/>
    <numFmt numFmtId="178" formatCode="[$-409]d\-mmm\-yy;@"/>
    <numFmt numFmtId="179" formatCode="0.0000000000"/>
    <numFmt numFmtId="180" formatCode="0.0000000000000000"/>
    <numFmt numFmtId="181" formatCode="0.00000000000000000000000000"/>
    <numFmt numFmtId="182" formatCode="#,##0.00\ ;\-#,##0.00\ ;&quot;-&quot;\ "/>
    <numFmt numFmtId="183" formatCode="#,##0.000\ ;\-#,##0.000\ ;&quot;-&quot;\ "/>
    <numFmt numFmtId="184" formatCode="#,##0.0000"/>
  </numFmts>
  <fonts count="102" x14ac:knownFonts="1">
    <font>
      <sz val="11"/>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name val="Calibri"/>
      <family val="2"/>
    </font>
    <font>
      <sz val="8"/>
      <color theme="1"/>
      <name val="Calibri"/>
      <family val="2"/>
      <scheme val="minor"/>
    </font>
    <font>
      <sz val="8"/>
      <color rgb="FFFF0000"/>
      <name val="Calibri"/>
      <family val="2"/>
      <scheme val="minor"/>
    </font>
    <font>
      <sz val="8"/>
      <name val="Calibri"/>
      <family val="2"/>
      <scheme val="minor"/>
    </font>
    <font>
      <sz val="8"/>
      <color rgb="FF3F3F76"/>
      <name val="Calibri"/>
      <family val="2"/>
      <scheme val="minor"/>
    </font>
    <font>
      <sz val="8"/>
      <color indexed="8"/>
      <name val="Arial"/>
      <family val="2"/>
    </font>
    <font>
      <u/>
      <sz val="11"/>
      <color theme="10"/>
      <name val="Calibri"/>
      <family val="2"/>
    </font>
    <font>
      <sz val="11"/>
      <color rgb="FFEAEAEA"/>
      <name val="Calibri"/>
      <family val="2"/>
      <scheme val="minor"/>
    </font>
    <font>
      <sz val="11"/>
      <color theme="0"/>
      <name val="Calibri"/>
      <family val="2"/>
      <scheme val="minor"/>
    </font>
    <font>
      <sz val="11"/>
      <name val="Calibri"/>
      <family val="2"/>
      <scheme val="minor"/>
    </font>
    <font>
      <sz val="9"/>
      <color rgb="FF333399"/>
      <name val="Arial"/>
      <family val="2"/>
    </font>
    <font>
      <sz val="9"/>
      <color theme="1"/>
      <name val="Arial"/>
      <family val="2"/>
    </font>
    <font>
      <sz val="10"/>
      <color rgb="FF000000"/>
      <name val="Helvetica"/>
      <family val="2"/>
    </font>
  </fonts>
  <fills count="7">
    <fill>
      <patternFill patternType="none"/>
    </fill>
    <fill>
      <patternFill patternType="gray125"/>
    </fill>
    <fill>
      <patternFill patternType="solid">
        <fgColor rgb="FFFFCC99"/>
      </patternFill>
    </fill>
    <fill>
      <patternFill patternType="solid">
        <fgColor rgb="FFFF0000"/>
        <bgColor indexed="64"/>
      </patternFill>
    </fill>
    <fill>
      <patternFill patternType="solid">
        <fgColor theme="1"/>
        <bgColor indexed="64"/>
      </patternFill>
    </fill>
    <fill>
      <patternFill patternType="solid">
        <fgColor rgb="FF0000FF"/>
        <bgColor indexed="64"/>
      </patternFill>
    </fill>
    <fill>
      <patternFill patternType="solid">
        <fgColor rgb="FF008000"/>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808080"/>
      </left>
      <right style="thin">
        <color rgb="FF808080"/>
      </right>
      <top style="thin">
        <color rgb="FF808080"/>
      </top>
      <bottom style="thin">
        <color rgb="FF808080"/>
      </bottom>
      <diagonal/>
    </border>
    <border>
      <left style="thin">
        <color rgb="FF808080"/>
      </left>
      <right style="thin">
        <color rgb="FF808080"/>
      </right>
      <top style="thin">
        <color rgb="FF808080"/>
      </top>
      <bottom/>
      <diagonal/>
    </border>
    <border>
      <left style="thin">
        <color rgb="FF808080"/>
      </left>
      <right style="thin">
        <color rgb="FF808080"/>
      </right>
      <top style="thin">
        <color auto="1"/>
      </top>
      <bottom style="thin">
        <color rgb="FF808080"/>
      </bottom>
      <diagonal/>
    </border>
  </borders>
  <cellStyleXfs count="5">
    <xf numFmtId="0" fontId="0" fillId="0" borderId="0"/>
    <xf numFmtId="0" fontId="93" fillId="2" borderId="1" applyNumberFormat="0" applyAlignment="0" applyProtection="0"/>
    <xf numFmtId="43" fontId="94" fillId="0" borderId="0" applyFont="0" applyFill="0" applyBorder="0" applyAlignment="0" applyProtection="0"/>
    <xf numFmtId="0" fontId="95" fillId="0" borderId="0" applyNumberFormat="0" applyFill="0" applyBorder="0" applyAlignment="0" applyProtection="0">
      <alignment vertical="top"/>
      <protection locked="0"/>
    </xf>
    <xf numFmtId="0" fontId="15" fillId="0" borderId="0"/>
  </cellStyleXfs>
  <cellXfs count="361">
    <xf numFmtId="0" fontId="0" fillId="0" borderId="0" xfId="0"/>
    <xf numFmtId="0" fontId="89" fillId="0" borderId="0" xfId="0" applyFont="1" applyBorder="1" applyAlignment="1">
      <alignment horizontal="center"/>
    </xf>
    <xf numFmtId="164" fontId="89" fillId="0" borderId="0" xfId="0" applyNumberFormat="1" applyFont="1" applyBorder="1"/>
    <xf numFmtId="0" fontId="90" fillId="0" borderId="0" xfId="0" applyFont="1"/>
    <xf numFmtId="0" fontId="90" fillId="0" borderId="0" xfId="0" applyFont="1" applyAlignment="1">
      <alignment horizontal="center"/>
    </xf>
    <xf numFmtId="165" fontId="90" fillId="0" borderId="0" xfId="0" applyNumberFormat="1" applyFont="1"/>
    <xf numFmtId="164" fontId="90" fillId="0" borderId="0" xfId="0" applyNumberFormat="1" applyFont="1"/>
    <xf numFmtId="164" fontId="88" fillId="0" borderId="0" xfId="0" applyNumberFormat="1" applyFont="1"/>
    <xf numFmtId="2" fontId="90" fillId="0" borderId="0" xfId="0" applyNumberFormat="1" applyFont="1"/>
    <xf numFmtId="0" fontId="87" fillId="0" borderId="0" xfId="0" applyFont="1" applyAlignment="1">
      <alignment horizontal="center"/>
    </xf>
    <xf numFmtId="0" fontId="87" fillId="0" borderId="0" xfId="0" applyFont="1"/>
    <xf numFmtId="166" fontId="90" fillId="0" borderId="0" xfId="0" applyNumberFormat="1" applyFont="1"/>
    <xf numFmtId="1" fontId="90" fillId="0" borderId="0" xfId="0" applyNumberFormat="1" applyFont="1"/>
    <xf numFmtId="167" fontId="90" fillId="0" borderId="0" xfId="0" applyNumberFormat="1" applyFont="1"/>
    <xf numFmtId="1" fontId="89" fillId="0" borderId="0" xfId="0" applyNumberFormat="1" applyFont="1" applyBorder="1"/>
    <xf numFmtId="0" fontId="86" fillId="0" borderId="0" xfId="0" applyFont="1"/>
    <xf numFmtId="0" fontId="92" fillId="0" borderId="0" xfId="0" applyFont="1"/>
    <xf numFmtId="2" fontId="92" fillId="0" borderId="0" xfId="0" applyNumberFormat="1" applyFont="1" applyAlignment="1">
      <alignment horizontal="center"/>
    </xf>
    <xf numFmtId="165" fontId="92" fillId="0" borderId="0" xfId="0" applyNumberFormat="1" applyFont="1"/>
    <xf numFmtId="165" fontId="92" fillId="0" borderId="0" xfId="0" applyNumberFormat="1" applyFont="1" applyFill="1" applyBorder="1"/>
    <xf numFmtId="164" fontId="92" fillId="0" borderId="0" xfId="0" applyNumberFormat="1" applyFont="1" applyFill="1" applyBorder="1"/>
    <xf numFmtId="164" fontId="92" fillId="0" borderId="0" xfId="0" applyNumberFormat="1" applyFont="1"/>
    <xf numFmtId="0" fontId="86" fillId="0" borderId="0" xfId="0" applyFont="1" applyAlignment="1">
      <alignment horizontal="center"/>
    </xf>
    <xf numFmtId="164" fontId="86" fillId="0" borderId="0" xfId="0" applyNumberFormat="1" applyFont="1"/>
    <xf numFmtId="0" fontId="85" fillId="0" borderId="0" xfId="0" applyFont="1"/>
    <xf numFmtId="0" fontId="85" fillId="0" borderId="0" xfId="0" applyFont="1" applyAlignment="1">
      <alignment horizontal="center"/>
    </xf>
    <xf numFmtId="170" fontId="90" fillId="0" borderId="0" xfId="0" applyNumberFormat="1" applyFont="1"/>
    <xf numFmtId="164" fontId="85" fillId="0" borderId="0" xfId="0" applyNumberFormat="1" applyFont="1"/>
    <xf numFmtId="169" fontId="92" fillId="0" borderId="0" xfId="0" applyNumberFormat="1" applyFont="1" applyAlignment="1">
      <alignment horizontal="center"/>
    </xf>
    <xf numFmtId="0" fontId="92" fillId="0" borderId="0" xfId="0" applyFont="1" applyAlignment="1">
      <alignment horizontal="center"/>
    </xf>
    <xf numFmtId="2" fontId="86" fillId="0" borderId="0" xfId="0" applyNumberFormat="1" applyFont="1"/>
    <xf numFmtId="168" fontId="86" fillId="0" borderId="0" xfId="0" applyNumberFormat="1" applyFont="1"/>
    <xf numFmtId="169" fontId="86" fillId="0" borderId="0" xfId="0" applyNumberFormat="1" applyFont="1"/>
    <xf numFmtId="2" fontId="84" fillId="0" borderId="0" xfId="0" applyNumberFormat="1" applyFont="1"/>
    <xf numFmtId="164" fontId="84" fillId="0" borderId="0" xfId="0" applyNumberFormat="1" applyFont="1"/>
    <xf numFmtId="1" fontId="86" fillId="0" borderId="0" xfId="0" applyNumberFormat="1" applyFont="1"/>
    <xf numFmtId="0" fontId="83" fillId="0" borderId="0" xfId="0" applyFont="1" applyAlignment="1">
      <alignment horizontal="center"/>
    </xf>
    <xf numFmtId="0" fontId="83" fillId="0" borderId="0" xfId="0" applyFont="1"/>
    <xf numFmtId="0" fontId="82" fillId="0" borderId="0" xfId="0" applyFont="1" applyAlignment="1">
      <alignment horizontal="center"/>
    </xf>
    <xf numFmtId="164" fontId="91" fillId="0" borderId="0" xfId="0" applyNumberFormat="1" applyFont="1"/>
    <xf numFmtId="164" fontId="81" fillId="0" borderId="0" xfId="0" applyNumberFormat="1" applyFont="1"/>
    <xf numFmtId="0" fontId="81" fillId="0" borderId="0" xfId="0" applyFont="1" applyAlignment="1">
      <alignment horizontal="center"/>
    </xf>
    <xf numFmtId="0" fontId="80" fillId="0" borderId="0" xfId="0" applyFont="1"/>
    <xf numFmtId="0" fontId="92" fillId="0" borderId="0" xfId="0" applyFont="1" applyAlignment="1">
      <alignment horizontal="right" indent="1"/>
    </xf>
    <xf numFmtId="0" fontId="92" fillId="0" borderId="0" xfId="0" applyFont="1" applyAlignment="1"/>
    <xf numFmtId="0" fontId="91" fillId="0" borderId="0" xfId="0" applyFont="1" applyAlignment="1"/>
    <xf numFmtId="1" fontId="80" fillId="0" borderId="0" xfId="0" applyNumberFormat="1" applyFont="1"/>
    <xf numFmtId="165" fontId="80" fillId="0" borderId="0" xfId="0" applyNumberFormat="1" applyFont="1"/>
    <xf numFmtId="0" fontId="79" fillId="0" borderId="0" xfId="0" applyFont="1" applyAlignment="1">
      <alignment horizontal="center"/>
    </xf>
    <xf numFmtId="0" fontId="80" fillId="0" borderId="0" xfId="0" applyFont="1" applyAlignment="1">
      <alignment horizontal="center"/>
    </xf>
    <xf numFmtId="2" fontId="80" fillId="0" borderId="0" xfId="0" applyNumberFormat="1" applyFont="1"/>
    <xf numFmtId="2" fontId="79" fillId="0" borderId="0" xfId="0" applyNumberFormat="1" applyFont="1"/>
    <xf numFmtId="2" fontId="78" fillId="0" borderId="0" xfId="0" applyNumberFormat="1" applyFont="1"/>
    <xf numFmtId="2" fontId="77" fillId="0" borderId="0" xfId="0" applyNumberFormat="1" applyFont="1"/>
    <xf numFmtId="0" fontId="76" fillId="0" borderId="0" xfId="0" applyFont="1"/>
    <xf numFmtId="164" fontId="78" fillId="0" borderId="0" xfId="0" applyNumberFormat="1" applyFont="1"/>
    <xf numFmtId="164" fontId="80" fillId="0" borderId="0" xfId="0" applyNumberFormat="1" applyFont="1"/>
    <xf numFmtId="0" fontId="75" fillId="0" borderId="0" xfId="0" applyFont="1"/>
    <xf numFmtId="9" fontId="87" fillId="0" borderId="0" xfId="0" applyNumberFormat="1" applyFont="1"/>
    <xf numFmtId="0" fontId="75" fillId="0" borderId="0" xfId="0" applyFont="1" applyAlignment="1">
      <alignment horizontal="center"/>
    </xf>
    <xf numFmtId="164" fontId="74" fillId="0" borderId="0" xfId="0" applyNumberFormat="1" applyFont="1"/>
    <xf numFmtId="0" fontId="74" fillId="0" borderId="0" xfId="0" applyFont="1"/>
    <xf numFmtId="2" fontId="74" fillId="0" borderId="0" xfId="0" applyNumberFormat="1" applyFont="1"/>
    <xf numFmtId="0" fontId="74" fillId="0" borderId="0" xfId="0" applyFont="1" applyAlignment="1">
      <alignment horizontal="left"/>
    </xf>
    <xf numFmtId="9" fontId="75" fillId="0" borderId="0" xfId="0" applyNumberFormat="1" applyFont="1"/>
    <xf numFmtId="3" fontId="80" fillId="0" borderId="0" xfId="0" applyNumberFormat="1" applyFont="1"/>
    <xf numFmtId="2" fontId="73" fillId="0" borderId="0" xfId="0" applyNumberFormat="1" applyFont="1"/>
    <xf numFmtId="0" fontId="72" fillId="0" borderId="0" xfId="0" applyFont="1"/>
    <xf numFmtId="0" fontId="71" fillId="0" borderId="0" xfId="0" applyFont="1"/>
    <xf numFmtId="0" fontId="71" fillId="0" borderId="0" xfId="0" applyFont="1" applyAlignment="1">
      <alignment horizontal="center"/>
    </xf>
    <xf numFmtId="167" fontId="80" fillId="0" borderId="0" xfId="0" applyNumberFormat="1" applyFont="1"/>
    <xf numFmtId="0" fontId="70" fillId="0" borderId="0" xfId="0" applyFont="1" applyAlignment="1">
      <alignment horizontal="center"/>
    </xf>
    <xf numFmtId="0" fontId="69" fillId="0" borderId="0" xfId="0" applyFont="1" applyAlignment="1">
      <alignment horizontal="center"/>
    </xf>
    <xf numFmtId="0" fontId="68" fillId="0" borderId="0" xfId="0" applyFont="1" applyAlignment="1">
      <alignment horizontal="center"/>
    </xf>
    <xf numFmtId="0" fontId="68" fillId="0" borderId="0" xfId="0" applyFont="1"/>
    <xf numFmtId="0" fontId="93" fillId="0" borderId="0" xfId="1" applyFill="1" applyBorder="1"/>
    <xf numFmtId="167" fontId="86" fillId="0" borderId="0" xfId="0" applyNumberFormat="1" applyFont="1"/>
    <xf numFmtId="0" fontId="67" fillId="0" borderId="0" xfId="0" applyFont="1" applyAlignment="1">
      <alignment horizontal="center"/>
    </xf>
    <xf numFmtId="164" fontId="67" fillId="0" borderId="0" xfId="0" applyNumberFormat="1" applyFont="1"/>
    <xf numFmtId="164" fontId="66" fillId="0" borderId="0" xfId="0" applyNumberFormat="1" applyFont="1"/>
    <xf numFmtId="0" fontId="65" fillId="0" borderId="0" xfId="0" applyFont="1"/>
    <xf numFmtId="0" fontId="65" fillId="0" borderId="0" xfId="0" applyFont="1" applyAlignment="1">
      <alignment horizontal="center"/>
    </xf>
    <xf numFmtId="171" fontId="93" fillId="0" borderId="0" xfId="1" applyNumberFormat="1" applyFill="1" applyBorder="1"/>
    <xf numFmtId="164" fontId="65" fillId="0" borderId="0" xfId="0" applyNumberFormat="1" applyFont="1"/>
    <xf numFmtId="0" fontId="64" fillId="0" borderId="0" xfId="0" applyFont="1" applyAlignment="1">
      <alignment horizontal="center"/>
    </xf>
    <xf numFmtId="0" fontId="63" fillId="0" borderId="0" xfId="0" applyFont="1" applyAlignment="1">
      <alignment horizontal="center"/>
    </xf>
    <xf numFmtId="0" fontId="63" fillId="0" borderId="0" xfId="0" applyFont="1"/>
    <xf numFmtId="1" fontId="92" fillId="0" borderId="0" xfId="0" applyNumberFormat="1" applyFont="1" applyAlignment="1">
      <alignment horizontal="right"/>
    </xf>
    <xf numFmtId="9" fontId="86" fillId="0" borderId="0" xfId="0" applyNumberFormat="1" applyFont="1"/>
    <xf numFmtId="1" fontId="85" fillId="0" borderId="0" xfId="0" applyNumberFormat="1" applyFont="1"/>
    <xf numFmtId="9" fontId="90" fillId="0" borderId="0" xfId="0" applyNumberFormat="1" applyFont="1"/>
    <xf numFmtId="9" fontId="63" fillId="0" borderId="0" xfId="0" applyNumberFormat="1" applyFont="1"/>
    <xf numFmtId="0" fontId="62" fillId="0" borderId="0" xfId="0" applyFont="1"/>
    <xf numFmtId="164" fontId="62" fillId="0" borderId="0" xfId="0" applyNumberFormat="1" applyFont="1"/>
    <xf numFmtId="1" fontId="80" fillId="0" borderId="0" xfId="0" applyNumberFormat="1" applyFont="1" applyAlignment="1">
      <alignment horizontal="center"/>
    </xf>
    <xf numFmtId="169" fontId="90" fillId="0" borderId="0" xfId="0" applyNumberFormat="1" applyFont="1"/>
    <xf numFmtId="0" fontId="61" fillId="0" borderId="0" xfId="0" applyFont="1" applyAlignment="1">
      <alignment horizontal="center"/>
    </xf>
    <xf numFmtId="168" fontId="90" fillId="0" borderId="0" xfId="0" applyNumberFormat="1" applyFont="1"/>
    <xf numFmtId="168" fontId="61" fillId="0" borderId="0" xfId="0" applyNumberFormat="1" applyFont="1"/>
    <xf numFmtId="0" fontId="60" fillId="0" borderId="0" xfId="0" applyFont="1" applyAlignment="1">
      <alignment horizontal="center"/>
    </xf>
    <xf numFmtId="0" fontId="60" fillId="0" borderId="0" xfId="0" applyFont="1"/>
    <xf numFmtId="170" fontId="80" fillId="0" borderId="0" xfId="0" applyNumberFormat="1" applyFont="1"/>
    <xf numFmtId="168" fontId="80" fillId="0" borderId="0" xfId="0" applyNumberFormat="1" applyFont="1"/>
    <xf numFmtId="173" fontId="90" fillId="0" borderId="0" xfId="0" applyNumberFormat="1" applyFont="1"/>
    <xf numFmtId="174" fontId="90" fillId="0" borderId="0" xfId="0" applyNumberFormat="1" applyFont="1"/>
    <xf numFmtId="3" fontId="92" fillId="0" borderId="0" xfId="0" applyNumberFormat="1" applyFont="1" applyFill="1" applyBorder="1" applyAlignment="1">
      <alignment horizontal="center"/>
    </xf>
    <xf numFmtId="0" fontId="59" fillId="0" borderId="0" xfId="0" applyFont="1" applyAlignment="1">
      <alignment horizontal="center"/>
    </xf>
    <xf numFmtId="0" fontId="59" fillId="0" borderId="0" xfId="0" applyFont="1"/>
    <xf numFmtId="171" fontId="86" fillId="0" borderId="0" xfId="0" applyNumberFormat="1" applyFont="1"/>
    <xf numFmtId="0" fontId="58" fillId="0" borderId="0" xfId="0" applyFont="1" applyAlignment="1">
      <alignment horizontal="center"/>
    </xf>
    <xf numFmtId="0" fontId="57" fillId="0" borderId="0" xfId="0" applyFont="1"/>
    <xf numFmtId="164" fontId="57" fillId="0" borderId="0" xfId="0" applyNumberFormat="1" applyFont="1"/>
    <xf numFmtId="0" fontId="57" fillId="0" borderId="0" xfId="0" applyFont="1" applyAlignment="1">
      <alignment horizontal="center"/>
    </xf>
    <xf numFmtId="164" fontId="56" fillId="0" borderId="0" xfId="0" applyNumberFormat="1" applyFont="1"/>
    <xf numFmtId="1" fontId="64" fillId="0" borderId="0" xfId="0" applyNumberFormat="1" applyFont="1"/>
    <xf numFmtId="164" fontId="55" fillId="0" borderId="0" xfId="0" applyNumberFormat="1" applyFont="1"/>
    <xf numFmtId="0" fontId="55" fillId="0" borderId="0" xfId="0" applyFont="1"/>
    <xf numFmtId="0" fontId="55" fillId="0" borderId="0" xfId="0" applyFont="1" applyAlignment="1">
      <alignment horizontal="left"/>
    </xf>
    <xf numFmtId="0" fontId="55" fillId="0" borderId="0" xfId="0" applyFont="1" applyAlignment="1">
      <alignment horizontal="center"/>
    </xf>
    <xf numFmtId="0" fontId="54" fillId="0" borderId="0" xfId="0" applyFont="1" applyAlignment="1">
      <alignment horizontal="center"/>
    </xf>
    <xf numFmtId="0" fontId="54" fillId="0" borderId="0" xfId="0" applyFont="1"/>
    <xf numFmtId="1" fontId="54" fillId="0" borderId="0" xfId="0" applyNumberFormat="1" applyFont="1"/>
    <xf numFmtId="1" fontId="62" fillId="0" borderId="0" xfId="0" applyNumberFormat="1" applyFont="1"/>
    <xf numFmtId="170" fontId="86" fillId="0" borderId="0" xfId="0" applyNumberFormat="1" applyFont="1"/>
    <xf numFmtId="166" fontId="86" fillId="0" borderId="0" xfId="0" applyNumberFormat="1" applyFont="1"/>
    <xf numFmtId="164" fontId="52" fillId="0" borderId="0" xfId="0" applyNumberFormat="1" applyFont="1"/>
    <xf numFmtId="164" fontId="53" fillId="0" borderId="0" xfId="0" applyNumberFormat="1" applyFont="1"/>
    <xf numFmtId="0" fontId="51" fillId="0" borderId="0" xfId="0" applyFont="1" applyAlignment="1">
      <alignment horizontal="center"/>
    </xf>
    <xf numFmtId="164" fontId="51" fillId="0" borderId="0" xfId="0" applyNumberFormat="1" applyFont="1"/>
    <xf numFmtId="165" fontId="86" fillId="0" borderId="0" xfId="0" applyNumberFormat="1" applyFont="1"/>
    <xf numFmtId="0" fontId="50" fillId="0" borderId="0" xfId="0" applyFont="1" applyAlignment="1">
      <alignment horizontal="center"/>
    </xf>
    <xf numFmtId="0" fontId="49" fillId="0" borderId="0" xfId="0" applyFont="1" applyAlignment="1">
      <alignment horizontal="center"/>
    </xf>
    <xf numFmtId="0" fontId="86" fillId="0" borderId="0" xfId="0" applyFont="1" applyAlignment="1">
      <alignment horizontal="right"/>
    </xf>
    <xf numFmtId="0" fontId="49" fillId="0" borderId="0" xfId="0" applyFont="1"/>
    <xf numFmtId="165" fontId="86" fillId="0" borderId="0" xfId="0" applyNumberFormat="1" applyFont="1" applyAlignment="1">
      <alignment horizontal="center"/>
    </xf>
    <xf numFmtId="0" fontId="65" fillId="0" borderId="0" xfId="0" applyFont="1" applyAlignment="1">
      <alignment horizontal="right"/>
    </xf>
    <xf numFmtId="165" fontId="63" fillId="0" borderId="0" xfId="0" applyNumberFormat="1" applyFont="1" applyAlignment="1">
      <alignment horizontal="right"/>
    </xf>
    <xf numFmtId="164" fontId="49" fillId="0" borderId="0" xfId="0" applyNumberFormat="1" applyFont="1"/>
    <xf numFmtId="3" fontId="49" fillId="0" borderId="0" xfId="0" applyNumberFormat="1" applyFont="1"/>
    <xf numFmtId="165" fontId="92" fillId="0" borderId="0" xfId="0" applyNumberFormat="1" applyFont="1" applyFill="1" applyBorder="1" applyAlignment="1">
      <alignment horizontal="right"/>
    </xf>
    <xf numFmtId="165" fontId="48" fillId="0" borderId="0" xfId="0" applyNumberFormat="1" applyFont="1" applyAlignment="1">
      <alignment horizontal="center"/>
    </xf>
    <xf numFmtId="0" fontId="48" fillId="0" borderId="0" xfId="0" applyFont="1" applyAlignment="1">
      <alignment horizontal="center"/>
    </xf>
    <xf numFmtId="0" fontId="47" fillId="0" borderId="0" xfId="0" applyFont="1"/>
    <xf numFmtId="0" fontId="80" fillId="0" borderId="0" xfId="0" applyFont="1" applyAlignment="1">
      <alignment horizontal="left"/>
    </xf>
    <xf numFmtId="0" fontId="70" fillId="0" borderId="0" xfId="0" applyFont="1" applyAlignment="1">
      <alignment horizontal="left"/>
    </xf>
    <xf numFmtId="0" fontId="47" fillId="0" borderId="0" xfId="0" applyFont="1" applyAlignment="1">
      <alignment horizontal="left"/>
    </xf>
    <xf numFmtId="0" fontId="92" fillId="0" borderId="0" xfId="0" applyFont="1" applyAlignment="1">
      <alignment horizontal="left"/>
    </xf>
    <xf numFmtId="0" fontId="49" fillId="0" borderId="0" xfId="0" applyFont="1" applyAlignment="1">
      <alignment horizontal="left"/>
    </xf>
    <xf numFmtId="3" fontId="47" fillId="0" borderId="0" xfId="0" applyNumberFormat="1" applyFont="1" applyAlignment="1">
      <alignment horizontal="center"/>
    </xf>
    <xf numFmtId="1" fontId="78" fillId="0" borderId="0" xfId="0" applyNumberFormat="1" applyFont="1"/>
    <xf numFmtId="165" fontId="78" fillId="0" borderId="0" xfId="0" applyNumberFormat="1" applyFont="1"/>
    <xf numFmtId="165" fontId="85" fillId="0" borderId="0" xfId="0" applyNumberFormat="1" applyFont="1"/>
    <xf numFmtId="164" fontId="71" fillId="0" borderId="0" xfId="0" applyNumberFormat="1" applyFont="1"/>
    <xf numFmtId="164" fontId="72" fillId="0" borderId="0" xfId="0" applyNumberFormat="1" applyFont="1"/>
    <xf numFmtId="164" fontId="75" fillId="0" borderId="0" xfId="0" applyNumberFormat="1" applyFont="1"/>
    <xf numFmtId="1" fontId="83" fillId="0" borderId="0" xfId="0" applyNumberFormat="1" applyFont="1"/>
    <xf numFmtId="1" fontId="76" fillId="0" borderId="0" xfId="0" applyNumberFormat="1" applyFont="1"/>
    <xf numFmtId="1" fontId="46" fillId="0" borderId="0" xfId="0" applyNumberFormat="1" applyFont="1"/>
    <xf numFmtId="0" fontId="46" fillId="0" borderId="0" xfId="0" applyFont="1" applyAlignment="1">
      <alignment horizontal="center"/>
    </xf>
    <xf numFmtId="0" fontId="45" fillId="0" borderId="0" xfId="0" applyFont="1" applyAlignment="1">
      <alignment horizontal="center"/>
    </xf>
    <xf numFmtId="0" fontId="45" fillId="0" borderId="0" xfId="0" applyFont="1"/>
    <xf numFmtId="3" fontId="85" fillId="0" borderId="0" xfId="0" applyNumberFormat="1" applyFont="1"/>
    <xf numFmtId="0" fontId="44" fillId="0" borderId="0" xfId="0" applyFont="1"/>
    <xf numFmtId="0" fontId="43" fillId="0" borderId="0" xfId="0" applyFont="1"/>
    <xf numFmtId="0" fontId="42" fillId="0" borderId="0" xfId="0" applyFont="1" applyAlignment="1">
      <alignment horizontal="center"/>
    </xf>
    <xf numFmtId="1" fontId="42" fillId="0" borderId="0" xfId="0" applyNumberFormat="1" applyFont="1" applyAlignment="1">
      <alignment horizontal="center"/>
    </xf>
    <xf numFmtId="164" fontId="77" fillId="0" borderId="0" xfId="0" applyNumberFormat="1" applyFont="1"/>
    <xf numFmtId="164" fontId="41" fillId="0" borderId="0" xfId="0" applyNumberFormat="1" applyFont="1"/>
    <xf numFmtId="0" fontId="40" fillId="0" borderId="0" xfId="0" applyFont="1" applyAlignment="1">
      <alignment horizontal="left"/>
    </xf>
    <xf numFmtId="0" fontId="40" fillId="0" borderId="0" xfId="0" applyFont="1"/>
    <xf numFmtId="0" fontId="40" fillId="0" borderId="0" xfId="0" applyFont="1" applyAlignment="1">
      <alignment horizontal="center"/>
    </xf>
    <xf numFmtId="0" fontId="39" fillId="0" borderId="0" xfId="0" applyFont="1" applyAlignment="1">
      <alignment horizontal="center"/>
    </xf>
    <xf numFmtId="0" fontId="39" fillId="0" borderId="0" xfId="0" applyFont="1"/>
    <xf numFmtId="0" fontId="39" fillId="0" borderId="0" xfId="0" applyFont="1" applyAlignment="1">
      <alignment horizontal="left"/>
    </xf>
    <xf numFmtId="3" fontId="80" fillId="0" borderId="0" xfId="0" applyNumberFormat="1" applyFont="1" applyAlignment="1">
      <alignment horizontal="center"/>
    </xf>
    <xf numFmtId="167" fontId="80" fillId="0" borderId="0" xfId="0" applyNumberFormat="1" applyFont="1" applyAlignment="1">
      <alignment horizontal="center"/>
    </xf>
    <xf numFmtId="164" fontId="79" fillId="0" borderId="0" xfId="0" applyNumberFormat="1" applyFont="1"/>
    <xf numFmtId="0" fontId="38" fillId="0" borderId="0" xfId="0" applyFont="1"/>
    <xf numFmtId="175" fontId="80" fillId="0" borderId="0" xfId="0" applyNumberFormat="1" applyFont="1"/>
    <xf numFmtId="0" fontId="38" fillId="0" borderId="0" xfId="0" applyFont="1" applyAlignment="1">
      <alignment horizontal="center"/>
    </xf>
    <xf numFmtId="165" fontId="38" fillId="0" borderId="0" xfId="0" applyNumberFormat="1" applyFont="1" applyAlignment="1">
      <alignment horizontal="center"/>
    </xf>
    <xf numFmtId="0" fontId="37" fillId="0" borderId="0" xfId="0" applyFont="1"/>
    <xf numFmtId="0" fontId="37" fillId="0" borderId="0" xfId="0" applyFont="1" applyAlignment="1">
      <alignment horizontal="center"/>
    </xf>
    <xf numFmtId="165" fontId="37" fillId="0" borderId="0" xfId="0" applyNumberFormat="1" applyFont="1"/>
    <xf numFmtId="164" fontId="92" fillId="0" borderId="0" xfId="1" applyNumberFormat="1" applyFont="1" applyFill="1" applyBorder="1"/>
    <xf numFmtId="165" fontId="36" fillId="0" borderId="0" xfId="0" applyNumberFormat="1" applyFont="1"/>
    <xf numFmtId="0" fontId="35" fillId="0" borderId="0" xfId="0" applyFont="1"/>
    <xf numFmtId="176" fontId="92" fillId="0" borderId="0" xfId="0" applyNumberFormat="1" applyFont="1" applyFill="1" applyBorder="1"/>
    <xf numFmtId="176" fontId="92" fillId="0" borderId="0" xfId="0" applyNumberFormat="1" applyFont="1"/>
    <xf numFmtId="0" fontId="34" fillId="0" borderId="0" xfId="0" applyFont="1"/>
    <xf numFmtId="164" fontId="34" fillId="0" borderId="0" xfId="0" applyNumberFormat="1" applyFont="1"/>
    <xf numFmtId="168" fontId="92" fillId="0" borderId="0" xfId="0" applyNumberFormat="1" applyFont="1" applyAlignment="1">
      <alignment horizontal="center"/>
    </xf>
    <xf numFmtId="0" fontId="34" fillId="0" borderId="0" xfId="0" applyFont="1" applyAlignment="1">
      <alignment horizontal="left"/>
    </xf>
    <xf numFmtId="0" fontId="33" fillId="0" borderId="0" xfId="0" applyFont="1"/>
    <xf numFmtId="165" fontId="33" fillId="0" borderId="0" xfId="0" applyNumberFormat="1" applyFont="1" applyAlignment="1">
      <alignment horizontal="center"/>
    </xf>
    <xf numFmtId="0" fontId="92" fillId="0" borderId="0" xfId="1" applyFont="1" applyFill="1" applyBorder="1"/>
    <xf numFmtId="165" fontId="92" fillId="0" borderId="0" xfId="1" applyNumberFormat="1" applyFont="1" applyFill="1" applyBorder="1"/>
    <xf numFmtId="3" fontId="92" fillId="0" borderId="0" xfId="0" applyNumberFormat="1" applyFont="1"/>
    <xf numFmtId="0" fontId="32" fillId="0" borderId="0" xfId="0" applyFont="1"/>
    <xf numFmtId="0" fontId="32" fillId="0" borderId="0" xfId="0" applyFont="1" applyAlignment="1">
      <alignment horizontal="center"/>
    </xf>
    <xf numFmtId="0" fontId="80" fillId="0" borderId="0" xfId="0" applyFont="1" applyAlignment="1">
      <alignment horizontal="right"/>
    </xf>
    <xf numFmtId="1" fontId="80" fillId="0" borderId="0" xfId="0" applyNumberFormat="1" applyFont="1" applyAlignment="1">
      <alignment horizontal="right"/>
    </xf>
    <xf numFmtId="169" fontId="92" fillId="0" borderId="0" xfId="0" applyNumberFormat="1" applyFont="1"/>
    <xf numFmtId="1" fontId="92" fillId="0" borderId="0" xfId="0" applyNumberFormat="1" applyFont="1"/>
    <xf numFmtId="165" fontId="92" fillId="0" borderId="0" xfId="0" applyNumberFormat="1" applyFont="1" applyAlignment="1">
      <alignment horizontal="center"/>
    </xf>
    <xf numFmtId="3" fontId="92" fillId="0" borderId="0" xfId="0" applyNumberFormat="1" applyFont="1" applyAlignment="1">
      <alignment horizontal="right"/>
    </xf>
    <xf numFmtId="0" fontId="31" fillId="0" borderId="0" xfId="0" applyFont="1" applyAlignment="1">
      <alignment horizontal="center"/>
    </xf>
    <xf numFmtId="0" fontId="31" fillId="0" borderId="0" xfId="0" applyFont="1"/>
    <xf numFmtId="168" fontId="92" fillId="0" borderId="0" xfId="1" applyNumberFormat="1" applyFont="1" applyFill="1" applyBorder="1"/>
    <xf numFmtId="0" fontId="30" fillId="0" borderId="0" xfId="0" applyFont="1" applyAlignment="1">
      <alignment horizontal="center"/>
    </xf>
    <xf numFmtId="0" fontId="29" fillId="0" borderId="0" xfId="0" applyFont="1" applyAlignment="1">
      <alignment horizontal="center"/>
    </xf>
    <xf numFmtId="3" fontId="86" fillId="0" borderId="0" xfId="0" applyNumberFormat="1" applyFont="1" applyAlignment="1">
      <alignment horizontal="right"/>
    </xf>
    <xf numFmtId="170" fontId="92" fillId="0" borderId="0" xfId="0" applyNumberFormat="1" applyFont="1"/>
    <xf numFmtId="164" fontId="28" fillId="0" borderId="0" xfId="0" applyNumberFormat="1" applyFont="1"/>
    <xf numFmtId="3" fontId="92" fillId="0" borderId="0" xfId="0" applyNumberFormat="1" applyFont="1" applyAlignment="1">
      <alignment horizontal="left"/>
    </xf>
    <xf numFmtId="164" fontId="92" fillId="0" borderId="0" xfId="0" applyNumberFormat="1" applyFont="1" applyAlignment="1">
      <alignment horizontal="left"/>
    </xf>
    <xf numFmtId="0" fontId="27" fillId="0" borderId="0" xfId="0" applyFont="1" applyAlignment="1">
      <alignment horizontal="center"/>
    </xf>
    <xf numFmtId="3" fontId="86" fillId="0" borderId="0" xfId="0" applyNumberFormat="1" applyFont="1"/>
    <xf numFmtId="165" fontId="27" fillId="0" borderId="0" xfId="0" applyNumberFormat="1" applyFont="1" applyAlignment="1">
      <alignment horizontal="center"/>
    </xf>
    <xf numFmtId="165" fontId="33" fillId="0" borderId="0" xfId="0" applyNumberFormat="1" applyFont="1" applyAlignment="1">
      <alignment horizontal="right"/>
    </xf>
    <xf numFmtId="0" fontId="95" fillId="0" borderId="0" xfId="3" applyAlignment="1" applyProtection="1"/>
    <xf numFmtId="0" fontId="0" fillId="0" borderId="0" xfId="0" applyFont="1"/>
    <xf numFmtId="178" fontId="0" fillId="0" borderId="0" xfId="0" applyNumberFormat="1" applyFont="1" applyAlignment="1">
      <alignment horizontal="left"/>
    </xf>
    <xf numFmtId="0" fontId="0" fillId="0" borderId="0" xfId="0" applyFont="1" applyAlignment="1">
      <alignment horizontal="center"/>
    </xf>
    <xf numFmtId="0" fontId="96" fillId="3" borderId="0" xfId="0" applyFont="1" applyFill="1" applyAlignment="1">
      <alignment horizontal="center"/>
    </xf>
    <xf numFmtId="0" fontId="95" fillId="0" borderId="0" xfId="3" applyFont="1" applyAlignment="1" applyProtection="1"/>
    <xf numFmtId="0" fontId="97" fillId="5" borderId="0" xfId="0" applyFont="1" applyFill="1" applyAlignment="1">
      <alignment horizontal="center"/>
    </xf>
    <xf numFmtId="0" fontId="97" fillId="6" borderId="0" xfId="0" applyFont="1" applyFill="1" applyAlignment="1">
      <alignment horizontal="center"/>
    </xf>
    <xf numFmtId="0" fontId="97" fillId="4" borderId="0" xfId="0" applyFont="1" applyFill="1" applyAlignment="1">
      <alignment horizontal="center"/>
    </xf>
    <xf numFmtId="3" fontId="0" fillId="0" borderId="0" xfId="0" applyNumberFormat="1" applyFont="1"/>
    <xf numFmtId="166" fontId="0" fillId="0" borderId="0" xfId="0" applyNumberFormat="1" applyFont="1"/>
    <xf numFmtId="0" fontId="98" fillId="0" borderId="0" xfId="0" applyFont="1"/>
    <xf numFmtId="165" fontId="0" fillId="0" borderId="0" xfId="0" applyNumberFormat="1" applyFont="1"/>
    <xf numFmtId="3" fontId="98" fillId="0" borderId="0" xfId="0" applyNumberFormat="1" applyFont="1"/>
    <xf numFmtId="177" fontId="98" fillId="0" borderId="0" xfId="2" applyNumberFormat="1" applyFont="1"/>
    <xf numFmtId="0" fontId="0" fillId="0" borderId="0" xfId="0" applyNumberFormat="1" applyFont="1"/>
    <xf numFmtId="164" fontId="98" fillId="0" borderId="0" xfId="0" applyNumberFormat="1" applyFont="1"/>
    <xf numFmtId="164" fontId="26" fillId="0" borderId="0" xfId="0" applyNumberFormat="1" applyFont="1"/>
    <xf numFmtId="0" fontId="26" fillId="0" borderId="0" xfId="0" applyFont="1"/>
    <xf numFmtId="0" fontId="26" fillId="0" borderId="0" xfId="0" applyFont="1" applyAlignment="1">
      <alignment horizontal="center"/>
    </xf>
    <xf numFmtId="0" fontId="25" fillId="0" borderId="0" xfId="0" applyFont="1"/>
    <xf numFmtId="0" fontId="25" fillId="0" borderId="0" xfId="0" applyFont="1" applyAlignment="1">
      <alignment horizontal="center"/>
    </xf>
    <xf numFmtId="164" fontId="24" fillId="0" borderId="0" xfId="0" applyNumberFormat="1" applyFont="1"/>
    <xf numFmtId="0" fontId="23" fillId="0" borderId="0" xfId="0" applyFont="1"/>
    <xf numFmtId="164" fontId="23" fillId="0" borderId="0" xfId="0" applyNumberFormat="1" applyFont="1"/>
    <xf numFmtId="165" fontId="23" fillId="0" borderId="0" xfId="0" applyNumberFormat="1" applyFont="1"/>
    <xf numFmtId="0" fontId="22" fillId="0" borderId="0" xfId="0" applyFont="1" applyAlignment="1">
      <alignment horizontal="left"/>
    </xf>
    <xf numFmtId="0" fontId="22" fillId="0" borderId="0" xfId="0" applyFont="1"/>
    <xf numFmtId="164" fontId="22" fillId="0" borderId="0" xfId="0" applyNumberFormat="1" applyFont="1"/>
    <xf numFmtId="0" fontId="21" fillId="0" borderId="0" xfId="0" applyFont="1"/>
    <xf numFmtId="1" fontId="21" fillId="0" borderId="0" xfId="0" applyNumberFormat="1" applyFont="1"/>
    <xf numFmtId="0" fontId="20" fillId="0" borderId="0" xfId="0" applyFont="1"/>
    <xf numFmtId="0" fontId="26" fillId="0" borderId="0" xfId="0" applyFont="1" applyAlignment="1">
      <alignment horizontal="right"/>
    </xf>
    <xf numFmtId="164" fontId="69" fillId="0" borderId="0" xfId="0" applyNumberFormat="1" applyFont="1" applyAlignment="1">
      <alignment horizontal="right"/>
    </xf>
    <xf numFmtId="0" fontId="19" fillId="0" borderId="0" xfId="0" applyFont="1"/>
    <xf numFmtId="0" fontId="19" fillId="0" borderId="0" xfId="0" applyFont="1" applyAlignment="1">
      <alignment horizontal="center"/>
    </xf>
    <xf numFmtId="0" fontId="18" fillId="0" borderId="0" xfId="0" applyFont="1"/>
    <xf numFmtId="172" fontId="18" fillId="0" borderId="0" xfId="0" applyNumberFormat="1" applyFont="1"/>
    <xf numFmtId="0" fontId="18" fillId="0" borderId="0" xfId="0" applyFont="1" applyAlignment="1">
      <alignment horizontal="left"/>
    </xf>
    <xf numFmtId="165" fontId="65" fillId="0" borderId="0" xfId="0" applyNumberFormat="1" applyFont="1"/>
    <xf numFmtId="165" fontId="18" fillId="0" borderId="0" xfId="0" applyNumberFormat="1" applyFont="1"/>
    <xf numFmtId="165" fontId="25" fillId="0" borderId="0" xfId="0" applyNumberFormat="1" applyFont="1"/>
    <xf numFmtId="165" fontId="91" fillId="0" borderId="0" xfId="0" applyNumberFormat="1" applyFont="1"/>
    <xf numFmtId="165" fontId="67" fillId="0" borderId="0" xfId="0" applyNumberFormat="1" applyFont="1"/>
    <xf numFmtId="165" fontId="66" fillId="0" borderId="0" xfId="0" applyNumberFormat="1" applyFont="1"/>
    <xf numFmtId="0" fontId="17" fillId="0" borderId="0" xfId="0" applyFont="1"/>
    <xf numFmtId="172" fontId="17" fillId="0" borderId="0" xfId="0" applyNumberFormat="1" applyFont="1"/>
    <xf numFmtId="164" fontId="17" fillId="0" borderId="0" xfId="0" applyNumberFormat="1" applyFont="1"/>
    <xf numFmtId="0" fontId="16" fillId="0" borderId="0" xfId="0" applyFont="1"/>
    <xf numFmtId="179" fontId="80" fillId="0" borderId="0" xfId="0" applyNumberFormat="1" applyFont="1"/>
    <xf numFmtId="0" fontId="14" fillId="0" borderId="0" xfId="0" applyFont="1" applyAlignment="1">
      <alignment horizontal="center"/>
    </xf>
    <xf numFmtId="164" fontId="14" fillId="0" borderId="0" xfId="0" applyNumberFormat="1" applyFont="1"/>
    <xf numFmtId="164" fontId="93" fillId="0" borderId="0" xfId="1" applyNumberFormat="1" applyFill="1" applyBorder="1"/>
    <xf numFmtId="0" fontId="13" fillId="0" borderId="0" xfId="0" applyFont="1"/>
    <xf numFmtId="0" fontId="12" fillId="0" borderId="0" xfId="0" applyFont="1"/>
    <xf numFmtId="172" fontId="12" fillId="0" borderId="0" xfId="0" applyNumberFormat="1" applyFont="1"/>
    <xf numFmtId="165" fontId="86" fillId="0" borderId="0" xfId="0" applyNumberFormat="1" applyFont="1" applyAlignment="1">
      <alignment horizontal="right"/>
    </xf>
    <xf numFmtId="0" fontId="11" fillId="0" borderId="0" xfId="0" applyFont="1"/>
    <xf numFmtId="164" fontId="10" fillId="0" borderId="0" xfId="0" applyNumberFormat="1" applyFont="1"/>
    <xf numFmtId="0" fontId="10" fillId="0" borderId="0" xfId="0" applyFont="1"/>
    <xf numFmtId="0" fontId="10" fillId="0" borderId="0" xfId="0" applyFont="1" applyAlignment="1">
      <alignment horizontal="center"/>
    </xf>
    <xf numFmtId="3" fontId="10" fillId="0" borderId="0" xfId="0" applyNumberFormat="1" applyFont="1"/>
    <xf numFmtId="0" fontId="9" fillId="0" borderId="0" xfId="0" applyFont="1"/>
    <xf numFmtId="0" fontId="9" fillId="0" borderId="0" xfId="0" applyFont="1" applyAlignment="1">
      <alignment horizontal="center"/>
    </xf>
    <xf numFmtId="1" fontId="9" fillId="0" borderId="0" xfId="0" applyNumberFormat="1" applyFont="1"/>
    <xf numFmtId="166" fontId="9" fillId="0" borderId="0" xfId="0" applyNumberFormat="1" applyFont="1"/>
    <xf numFmtId="3" fontId="80" fillId="0" borderId="0" xfId="0" applyNumberFormat="1" applyFont="1" applyAlignment="1">
      <alignment horizontal="right"/>
    </xf>
    <xf numFmtId="3" fontId="9" fillId="0" borderId="0" xfId="0" applyNumberFormat="1" applyFont="1" applyAlignment="1">
      <alignment horizontal="right"/>
    </xf>
    <xf numFmtId="180" fontId="80" fillId="0" borderId="0" xfId="0" applyNumberFormat="1" applyFont="1"/>
    <xf numFmtId="181" fontId="80" fillId="0" borderId="0" xfId="0" applyNumberFormat="1" applyFont="1"/>
    <xf numFmtId="164" fontId="8" fillId="0" borderId="0" xfId="0" applyNumberFormat="1" applyFont="1"/>
    <xf numFmtId="0" fontId="7" fillId="0" borderId="0" xfId="0" applyFont="1" applyAlignment="1">
      <alignment horizontal="center"/>
    </xf>
    <xf numFmtId="1" fontId="92" fillId="0" borderId="0" xfId="1" applyNumberFormat="1" applyFont="1" applyFill="1" applyBorder="1"/>
    <xf numFmtId="164" fontId="6" fillId="0" borderId="0" xfId="0" applyNumberFormat="1" applyFont="1"/>
    <xf numFmtId="3" fontId="92" fillId="0" borderId="0" xfId="1" applyNumberFormat="1" applyFont="1" applyFill="1" applyBorder="1"/>
    <xf numFmtId="0" fontId="5" fillId="0" borderId="0" xfId="0" applyFont="1" applyAlignment="1">
      <alignment horizontal="center" vertical="center"/>
    </xf>
    <xf numFmtId="0" fontId="5" fillId="0" borderId="0" xfId="0" applyFont="1" applyAlignment="1">
      <alignment horizontal="center" wrapText="1"/>
    </xf>
    <xf numFmtId="0" fontId="5" fillId="0" borderId="0" xfId="0" applyFont="1"/>
    <xf numFmtId="0" fontId="5" fillId="0" borderId="0" xfId="0" applyFont="1" applyAlignment="1">
      <alignment vertical="center"/>
    </xf>
    <xf numFmtId="0" fontId="5" fillId="0" borderId="0" xfId="0" applyFont="1" applyAlignment="1">
      <alignment wrapText="1"/>
    </xf>
    <xf numFmtId="3" fontId="5" fillId="0" borderId="0" xfId="0" applyNumberFormat="1" applyFont="1"/>
    <xf numFmtId="166" fontId="5" fillId="0" borderId="0" xfId="0" applyNumberFormat="1" applyFont="1"/>
    <xf numFmtId="0" fontId="5" fillId="0" borderId="0" xfId="0" applyFont="1" applyAlignment="1">
      <alignment vertical="center" wrapText="1"/>
    </xf>
    <xf numFmtId="0" fontId="99" fillId="0" borderId="2" xfId="0" applyFont="1" applyBorder="1" applyAlignment="1">
      <alignment horizontal="center" vertical="center" wrapText="1"/>
    </xf>
    <xf numFmtId="0" fontId="99" fillId="0" borderId="2" xfId="0" applyFont="1" applyBorder="1" applyAlignment="1">
      <alignment vertical="center" wrapText="1"/>
    </xf>
    <xf numFmtId="1" fontId="99" fillId="0" borderId="2" xfId="0" applyNumberFormat="1" applyFont="1" applyBorder="1" applyAlignment="1">
      <alignment horizontal="center" vertical="center" wrapText="1"/>
    </xf>
    <xf numFmtId="9" fontId="99" fillId="0" borderId="2" xfId="0" applyNumberFormat="1" applyFont="1" applyBorder="1" applyAlignment="1">
      <alignment horizontal="center" vertical="center" wrapText="1"/>
    </xf>
    <xf numFmtId="3" fontId="99" fillId="0" borderId="2" xfId="0" applyNumberFormat="1" applyFont="1" applyBorder="1" applyAlignment="1">
      <alignment horizontal="center" vertical="center" wrapText="1"/>
    </xf>
    <xf numFmtId="0" fontId="99" fillId="0" borderId="2" xfId="0" applyFont="1" applyBorder="1" applyAlignment="1">
      <alignment horizontal="center" vertical="center" wrapText="1"/>
    </xf>
    <xf numFmtId="0" fontId="99" fillId="0" borderId="3" xfId="0" applyFont="1" applyBorder="1" applyAlignment="1">
      <alignment vertical="center" wrapText="1"/>
    </xf>
    <xf numFmtId="3" fontId="99" fillId="0" borderId="3" xfId="0" applyNumberFormat="1" applyFont="1" applyBorder="1" applyAlignment="1">
      <alignment horizontal="center" vertical="center" wrapText="1"/>
    </xf>
    <xf numFmtId="0" fontId="99" fillId="0" borderId="3" xfId="0" applyFont="1" applyBorder="1" applyAlignment="1">
      <alignment horizontal="center" vertical="center" wrapText="1"/>
    </xf>
    <xf numFmtId="1" fontId="99" fillId="0" borderId="3" xfId="0" applyNumberFormat="1" applyFont="1" applyBorder="1" applyAlignment="1">
      <alignment horizontal="center" vertical="center" wrapText="1"/>
    </xf>
    <xf numFmtId="0" fontId="99" fillId="0" borderId="4" xfId="0" applyFont="1" applyBorder="1" applyAlignment="1">
      <alignment vertical="center" wrapText="1"/>
    </xf>
    <xf numFmtId="3" fontId="99" fillId="0" borderId="4" xfId="0" applyNumberFormat="1" applyFont="1" applyBorder="1" applyAlignment="1">
      <alignment horizontal="center" vertical="center" wrapText="1"/>
    </xf>
    <xf numFmtId="9" fontId="99" fillId="0" borderId="4" xfId="0" applyNumberFormat="1" applyFont="1" applyBorder="1" applyAlignment="1">
      <alignment horizontal="center" vertical="center" wrapText="1"/>
    </xf>
    <xf numFmtId="0" fontId="99" fillId="0" borderId="4" xfId="0" applyFont="1" applyBorder="1" applyAlignment="1">
      <alignment horizontal="center" vertical="center" wrapText="1"/>
    </xf>
    <xf numFmtId="0" fontId="100" fillId="0" borderId="0" xfId="0" applyFont="1"/>
    <xf numFmtId="0" fontId="99" fillId="0" borderId="2" xfId="0" applyFont="1" applyBorder="1" applyAlignment="1">
      <alignment horizontal="center" vertical="center"/>
    </xf>
    <xf numFmtId="164" fontId="99" fillId="0" borderId="2" xfId="0" applyNumberFormat="1" applyFont="1" applyBorder="1" applyAlignment="1">
      <alignment horizontal="center" vertical="center" wrapText="1"/>
    </xf>
    <xf numFmtId="164" fontId="100" fillId="0" borderId="0" xfId="0" applyNumberFormat="1" applyFont="1"/>
    <xf numFmtId="2" fontId="99" fillId="0" borderId="2" xfId="0" applyNumberFormat="1" applyFont="1" applyBorder="1" applyAlignment="1">
      <alignment horizontal="center" vertical="center" wrapText="1"/>
    </xf>
    <xf numFmtId="9" fontId="100" fillId="0" borderId="0" xfId="0" applyNumberFormat="1" applyFont="1"/>
    <xf numFmtId="1" fontId="100" fillId="0" borderId="0" xfId="0" applyNumberFormat="1" applyFont="1" applyAlignment="1">
      <alignment horizontal="right"/>
    </xf>
    <xf numFmtId="1" fontId="100" fillId="0" borderId="0" xfId="0" applyNumberFormat="1" applyFont="1"/>
    <xf numFmtId="0" fontId="99" fillId="0" borderId="2" xfId="0" applyFont="1" applyBorder="1" applyAlignment="1">
      <alignment horizontal="center" vertical="center" wrapText="1"/>
    </xf>
    <xf numFmtId="0" fontId="100" fillId="0" borderId="0" xfId="0" applyFont="1" applyAlignment="1">
      <alignment horizontal="center"/>
    </xf>
    <xf numFmtId="9" fontId="100" fillId="0" borderId="0" xfId="0" applyNumberFormat="1" applyFont="1" applyAlignment="1">
      <alignment horizontal="center"/>
    </xf>
    <xf numFmtId="1" fontId="100" fillId="0" borderId="0" xfId="0" applyNumberFormat="1" applyFont="1" applyAlignment="1">
      <alignment horizontal="center"/>
    </xf>
    <xf numFmtId="164" fontId="100" fillId="0" borderId="0" xfId="0" applyNumberFormat="1" applyFont="1" applyAlignment="1">
      <alignment horizontal="center"/>
    </xf>
    <xf numFmtId="3" fontId="100" fillId="0" borderId="0" xfId="0" applyNumberFormat="1" applyFont="1"/>
    <xf numFmtId="3" fontId="100" fillId="0" borderId="0" xfId="0" applyNumberFormat="1" applyFont="1" applyAlignment="1">
      <alignment horizontal="center"/>
    </xf>
    <xf numFmtId="164" fontId="39" fillId="0" borderId="0" xfId="0" applyNumberFormat="1" applyFont="1"/>
    <xf numFmtId="164" fontId="80" fillId="0" borderId="0" xfId="0" applyNumberFormat="1" applyFont="1" applyAlignment="1">
      <alignment horizontal="right"/>
    </xf>
    <xf numFmtId="182" fontId="90" fillId="0" borderId="0" xfId="0" applyNumberFormat="1" applyFont="1"/>
    <xf numFmtId="0" fontId="4" fillId="0" borderId="0" xfId="0" applyFont="1" applyAlignment="1">
      <alignment horizontal="center"/>
    </xf>
    <xf numFmtId="9" fontId="4" fillId="0" borderId="0" xfId="0" applyNumberFormat="1" applyFont="1"/>
    <xf numFmtId="183" fontId="90" fillId="0" borderId="0" xfId="0" applyNumberFormat="1" applyFont="1"/>
    <xf numFmtId="0" fontId="99" fillId="0" borderId="2" xfId="0" applyFont="1" applyBorder="1" applyAlignment="1">
      <alignment horizontal="center" vertical="center" wrapText="1"/>
    </xf>
    <xf numFmtId="167" fontId="92" fillId="0" borderId="0" xfId="0" applyNumberFormat="1" applyFont="1"/>
    <xf numFmtId="9" fontId="92" fillId="0" borderId="0" xfId="0" applyNumberFormat="1" applyFont="1"/>
    <xf numFmtId="0" fontId="3" fillId="0" borderId="0" xfId="0" applyFont="1"/>
    <xf numFmtId="0" fontId="3" fillId="0" borderId="0" xfId="0" applyFont="1" applyAlignment="1">
      <alignment horizontal="left"/>
    </xf>
    <xf numFmtId="1" fontId="86" fillId="0" borderId="0" xfId="0" applyNumberFormat="1" applyFont="1" applyAlignment="1">
      <alignment horizontal="center"/>
    </xf>
    <xf numFmtId="4" fontId="86" fillId="0" borderId="0" xfId="0" applyNumberFormat="1" applyFont="1"/>
    <xf numFmtId="0" fontId="99" fillId="0" borderId="2" xfId="0" applyFont="1" applyBorder="1" applyAlignment="1">
      <alignment horizontal="center" vertical="center" wrapText="1"/>
    </xf>
    <xf numFmtId="0" fontId="99" fillId="0" borderId="2" xfId="0" applyFont="1" applyBorder="1" applyAlignment="1">
      <alignment horizontal="center" vertical="center" wrapText="1"/>
    </xf>
    <xf numFmtId="0" fontId="2" fillId="0" borderId="0" xfId="0" applyFont="1"/>
    <xf numFmtId="167" fontId="85" fillId="0" borderId="0" xfId="0" applyNumberFormat="1" applyFont="1"/>
    <xf numFmtId="10" fontId="85" fillId="0" borderId="0" xfId="0" applyNumberFormat="1" applyFont="1"/>
    <xf numFmtId="0" fontId="1" fillId="0" borderId="0" xfId="0" applyFont="1"/>
    <xf numFmtId="164" fontId="60" fillId="0" borderId="0" xfId="0" applyNumberFormat="1" applyFont="1"/>
    <xf numFmtId="0" fontId="1" fillId="0" borderId="0" xfId="0" applyFont="1" applyAlignment="1">
      <alignment wrapText="1"/>
    </xf>
    <xf numFmtId="0" fontId="1" fillId="0" borderId="0" xfId="0" applyFont="1" applyAlignment="1">
      <alignment vertical="center"/>
    </xf>
    <xf numFmtId="184" fontId="93" fillId="0" borderId="0" xfId="1" applyNumberFormat="1" applyFill="1" applyBorder="1"/>
    <xf numFmtId="0" fontId="5" fillId="0" borderId="0" xfId="0" applyFont="1" applyAlignment="1">
      <alignment wrapText="1"/>
    </xf>
    <xf numFmtId="3" fontId="99" fillId="0" borderId="2" xfId="0" applyNumberFormat="1" applyFont="1" applyBorder="1" applyAlignment="1">
      <alignment horizontal="center" vertical="center" wrapText="1"/>
    </xf>
    <xf numFmtId="0" fontId="99" fillId="0" borderId="2" xfId="0" applyFont="1" applyBorder="1" applyAlignment="1">
      <alignment horizontal="center" vertical="center" wrapText="1"/>
    </xf>
    <xf numFmtId="3" fontId="99" fillId="0" borderId="3" xfId="0" applyNumberFormat="1" applyFont="1" applyBorder="1" applyAlignment="1">
      <alignment horizontal="center" vertical="center" wrapText="1"/>
    </xf>
    <xf numFmtId="0" fontId="99" fillId="0" borderId="3" xfId="0" applyFont="1" applyBorder="1" applyAlignment="1">
      <alignment horizontal="center" vertical="center" wrapText="1"/>
    </xf>
    <xf numFmtId="0" fontId="101" fillId="0" borderId="0" xfId="0" applyFont="1"/>
  </cellXfs>
  <cellStyles count="5">
    <cellStyle name="Comma 2" xfId="2" xr:uid="{00000000-0005-0000-0000-000000000000}"/>
    <cellStyle name="Hyperlink" xfId="3" builtinId="8"/>
    <cellStyle name="Input" xfId="1" builtinId="20"/>
    <cellStyle name="Normal" xfId="0" builtinId="0"/>
    <cellStyle name="Normal 9" xfId="4" xr:uid="{00000000-0005-0000-0000-000004000000}"/>
  </cellStyles>
  <dxfs count="0"/>
  <tableStyles count="0" defaultTableStyle="TableStyleMedium9" defaultPivotStyle="PivotStyleLight16"/>
  <colors>
    <mruColors>
      <color rgb="FF808080"/>
      <color rgb="FF006600"/>
      <color rgb="FF333399"/>
      <color rgb="FFEAEAEA"/>
      <color rgb="FF800080"/>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6.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32.xml"/></Relationships>
</file>

<file path=xl/charts/_rels/chart28.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30.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9.xml"/></Relationships>
</file>

<file path=xl/charts/_rels/chart34.xml.rels><?xml version="1.0" encoding="UTF-8" standalone="yes"?>
<Relationships xmlns="http://schemas.openxmlformats.org/package/2006/relationships"><Relationship Id="rId1" Type="http://schemas.openxmlformats.org/officeDocument/2006/relationships/chartUserShapes" Target="../drawings/drawing40.xml"/></Relationships>
</file>

<file path=xl/charts/_rels/chart35.xml.rels><?xml version="1.0" encoding="UTF-8" standalone="yes"?>
<Relationships xmlns="http://schemas.openxmlformats.org/package/2006/relationships"><Relationship Id="rId1" Type="http://schemas.openxmlformats.org/officeDocument/2006/relationships/chartUserShapes" Target="../drawings/drawing41.xml"/></Relationships>
</file>

<file path=xl/charts/_rels/chart36.xml.rels><?xml version="1.0" encoding="UTF-8" standalone="yes"?>
<Relationships xmlns="http://schemas.openxmlformats.org/package/2006/relationships"><Relationship Id="rId1" Type="http://schemas.openxmlformats.org/officeDocument/2006/relationships/chartUserShapes" Target="../drawings/drawing42.xml"/></Relationships>
</file>

<file path=xl/charts/_rels/chart37.xml.rels><?xml version="1.0" encoding="UTF-8" standalone="yes"?>
<Relationships xmlns="http://schemas.openxmlformats.org/package/2006/relationships"><Relationship Id="rId1" Type="http://schemas.openxmlformats.org/officeDocument/2006/relationships/chartUserShapes" Target="../drawings/drawing44.xml"/></Relationships>
</file>

<file path=xl/charts/_rels/chart38.xml.rels><?xml version="1.0" encoding="UTF-8" standalone="yes"?>
<Relationships xmlns="http://schemas.openxmlformats.org/package/2006/relationships"><Relationship Id="rId1" Type="http://schemas.openxmlformats.org/officeDocument/2006/relationships/chartUserShapes" Target="../drawings/drawing45.xml"/></Relationships>
</file>

<file path=xl/charts/_rels/chart39.xml.rels><?xml version="1.0" encoding="UTF-8" standalone="yes"?>
<Relationships xmlns="http://schemas.openxmlformats.org/package/2006/relationships"><Relationship Id="rId1" Type="http://schemas.openxmlformats.org/officeDocument/2006/relationships/chartUserShapes" Target="../drawings/drawing46.xml"/></Relationships>
</file>

<file path=xl/charts/_rels/chart40.xml.rels><?xml version="1.0" encoding="UTF-8" standalone="yes"?>
<Relationships xmlns="http://schemas.openxmlformats.org/package/2006/relationships"><Relationship Id="rId1" Type="http://schemas.openxmlformats.org/officeDocument/2006/relationships/chartUserShapes" Target="../drawings/drawing47.xml"/></Relationships>
</file>

<file path=xl/charts/_rels/chart41.xml.rels><?xml version="1.0" encoding="UTF-8" standalone="yes"?>
<Relationships xmlns="http://schemas.openxmlformats.org/package/2006/relationships"><Relationship Id="rId1" Type="http://schemas.openxmlformats.org/officeDocument/2006/relationships/chartUserShapes" Target="../drawings/drawing48.xml"/></Relationships>
</file>

<file path=xl/charts/_rels/chart42.xml.rels><?xml version="1.0" encoding="UTF-8" standalone="yes"?>
<Relationships xmlns="http://schemas.openxmlformats.org/package/2006/relationships"><Relationship Id="rId1" Type="http://schemas.openxmlformats.org/officeDocument/2006/relationships/chartUserShapes" Target="../drawings/drawing50.xml"/></Relationships>
</file>

<file path=xl/charts/_rels/chart43.xml.rels><?xml version="1.0" encoding="UTF-8" standalone="yes"?>
<Relationships xmlns="http://schemas.openxmlformats.org/package/2006/relationships"><Relationship Id="rId1" Type="http://schemas.openxmlformats.org/officeDocument/2006/relationships/chartUserShapes" Target="../drawings/drawing51.xml"/></Relationships>
</file>

<file path=xl/charts/_rels/chart44.xml.rels><?xml version="1.0" encoding="UTF-8" standalone="yes"?>
<Relationships xmlns="http://schemas.openxmlformats.org/package/2006/relationships"><Relationship Id="rId1" Type="http://schemas.openxmlformats.org/officeDocument/2006/relationships/chartUserShapes" Target="../drawings/drawing52.xml"/></Relationships>
</file>

<file path=xl/charts/_rels/chart45.xml.rels><?xml version="1.0" encoding="UTF-8" standalone="yes"?>
<Relationships xmlns="http://schemas.openxmlformats.org/package/2006/relationships"><Relationship Id="rId1" Type="http://schemas.openxmlformats.org/officeDocument/2006/relationships/chartUserShapes" Target="../drawings/drawing53.xml"/></Relationships>
</file>

<file path=xl/charts/_rels/chart46.xml.rels><?xml version="1.0" encoding="UTF-8" standalone="yes"?>
<Relationships xmlns="http://schemas.openxmlformats.org/package/2006/relationships"><Relationship Id="rId1" Type="http://schemas.openxmlformats.org/officeDocument/2006/relationships/chartUserShapes" Target="../drawings/drawing54.xml"/></Relationships>
</file>

<file path=xl/charts/_rels/chart47.xml.rels><?xml version="1.0" encoding="UTF-8" standalone="yes"?>
<Relationships xmlns="http://schemas.openxmlformats.org/package/2006/relationships"><Relationship Id="rId1" Type="http://schemas.openxmlformats.org/officeDocument/2006/relationships/chartUserShapes" Target="../drawings/drawing56.xml"/></Relationships>
</file>

<file path=xl/charts/_rels/chart48.xml.rels><?xml version="1.0" encoding="UTF-8" standalone="yes"?>
<Relationships xmlns="http://schemas.openxmlformats.org/package/2006/relationships"><Relationship Id="rId1" Type="http://schemas.openxmlformats.org/officeDocument/2006/relationships/chartUserShapes" Target="../drawings/drawing57.xml"/></Relationships>
</file>

<file path=xl/charts/_rels/chart49.xml.rels><?xml version="1.0" encoding="UTF-8" standalone="yes"?>
<Relationships xmlns="http://schemas.openxmlformats.org/package/2006/relationships"><Relationship Id="rId1" Type="http://schemas.openxmlformats.org/officeDocument/2006/relationships/chartUserShapes" Target="../drawings/drawing58.xml"/></Relationships>
</file>

<file path=xl/charts/_rels/chart50.xml.rels><?xml version="1.0" encoding="UTF-8" standalone="yes"?>
<Relationships xmlns="http://schemas.openxmlformats.org/package/2006/relationships"><Relationship Id="rId1" Type="http://schemas.openxmlformats.org/officeDocument/2006/relationships/chartUserShapes" Target="../drawings/drawing59.xml"/></Relationships>
</file>

<file path=xl/charts/_rels/chart51.xml.rels><?xml version="1.0" encoding="UTF-8" standalone="yes"?>
<Relationships xmlns="http://schemas.openxmlformats.org/package/2006/relationships"><Relationship Id="rId1" Type="http://schemas.openxmlformats.org/officeDocument/2006/relationships/chartUserShapes" Target="../drawings/drawing60.xml"/></Relationships>
</file>

<file path=xl/charts/_rels/chart52.xml.rels><?xml version="1.0" encoding="UTF-8" standalone="yes"?>
<Relationships xmlns="http://schemas.openxmlformats.org/package/2006/relationships"><Relationship Id="rId1" Type="http://schemas.openxmlformats.org/officeDocument/2006/relationships/chartUserShapes" Target="../drawings/drawing62.xml"/></Relationships>
</file>

<file path=xl/charts/_rels/chart53.xml.rels><?xml version="1.0" encoding="UTF-8" standalone="yes"?>
<Relationships xmlns="http://schemas.openxmlformats.org/package/2006/relationships"><Relationship Id="rId1" Type="http://schemas.openxmlformats.org/officeDocument/2006/relationships/chartUserShapes" Target="../drawings/drawing63.xml"/></Relationships>
</file>

<file path=xl/charts/_rels/chart54.xml.rels><?xml version="1.0" encoding="UTF-8" standalone="yes"?>
<Relationships xmlns="http://schemas.openxmlformats.org/package/2006/relationships"><Relationship Id="rId1" Type="http://schemas.openxmlformats.org/officeDocument/2006/relationships/chartUserShapes" Target="../drawings/drawing64.xml"/></Relationships>
</file>

<file path=xl/charts/_rels/chart55.xml.rels><?xml version="1.0" encoding="UTF-8" standalone="yes"?>
<Relationships xmlns="http://schemas.openxmlformats.org/package/2006/relationships"><Relationship Id="rId1" Type="http://schemas.openxmlformats.org/officeDocument/2006/relationships/chartUserShapes" Target="../drawings/drawing65.xml"/></Relationships>
</file>

<file path=xl/charts/_rels/chart56.xml.rels><?xml version="1.0" encoding="UTF-8" standalone="yes"?>
<Relationships xmlns="http://schemas.openxmlformats.org/package/2006/relationships"><Relationship Id="rId1" Type="http://schemas.openxmlformats.org/officeDocument/2006/relationships/chartUserShapes" Target="../drawings/drawing66.xml"/></Relationships>
</file>

<file path=xl/charts/_rels/chart57.xml.rels><?xml version="1.0" encoding="UTF-8" standalone="yes"?>
<Relationships xmlns="http://schemas.openxmlformats.org/package/2006/relationships"><Relationship Id="rId1" Type="http://schemas.openxmlformats.org/officeDocument/2006/relationships/chartUserShapes" Target="../drawings/drawing68.xml"/></Relationships>
</file>

<file path=xl/charts/_rels/chart58.xml.rels><?xml version="1.0" encoding="UTF-8" standalone="yes"?>
<Relationships xmlns="http://schemas.openxmlformats.org/package/2006/relationships"><Relationship Id="rId1" Type="http://schemas.openxmlformats.org/officeDocument/2006/relationships/chartUserShapes" Target="../drawings/drawing69.xml"/></Relationships>
</file>

<file path=xl/charts/_rels/chart59.xml.rels><?xml version="1.0" encoding="UTF-8" standalone="yes"?>
<Relationships xmlns="http://schemas.openxmlformats.org/package/2006/relationships"><Relationship Id="rId1" Type="http://schemas.openxmlformats.org/officeDocument/2006/relationships/chartUserShapes" Target="../drawings/drawing70.xml"/></Relationships>
</file>

<file path=xl/charts/_rels/chart60.xml.rels><?xml version="1.0" encoding="UTF-8" standalone="yes"?>
<Relationships xmlns="http://schemas.openxmlformats.org/package/2006/relationships"><Relationship Id="rId1" Type="http://schemas.openxmlformats.org/officeDocument/2006/relationships/chartUserShapes" Target="../drawings/drawing71.xml"/></Relationships>
</file>

<file path=xl/charts/_rels/chart61.xml.rels><?xml version="1.0" encoding="UTF-8" standalone="yes"?>
<Relationships xmlns="http://schemas.openxmlformats.org/package/2006/relationships"><Relationship Id="rId1" Type="http://schemas.openxmlformats.org/officeDocument/2006/relationships/chartUserShapes" Target="../drawings/drawing72.xml"/></Relationships>
</file>

<file path=xl/charts/_rels/chart62.xml.rels><?xml version="1.0" encoding="UTF-8" standalone="yes"?>
<Relationships xmlns="http://schemas.openxmlformats.org/package/2006/relationships"><Relationship Id="rId1" Type="http://schemas.openxmlformats.org/officeDocument/2006/relationships/chartUserShapes" Target="../drawings/drawing73.xml"/></Relationships>
</file>

<file path=xl/charts/_rels/chart64.xml.rels><?xml version="1.0" encoding="UTF-8" standalone="yes"?>
<Relationships xmlns="http://schemas.openxmlformats.org/package/2006/relationships"><Relationship Id="rId1" Type="http://schemas.openxmlformats.org/officeDocument/2006/relationships/chartUserShapes" Target="../drawings/drawing75.xml"/></Relationships>
</file>

<file path=xl/charts/_rels/chart65.xml.rels><?xml version="1.0" encoding="UTF-8" standalone="yes"?>
<Relationships xmlns="http://schemas.openxmlformats.org/package/2006/relationships"><Relationship Id="rId1" Type="http://schemas.openxmlformats.org/officeDocument/2006/relationships/chartUserShapes" Target="../drawings/drawing76.xml"/></Relationships>
</file>

<file path=xl/charts/_rels/chart66.xml.rels><?xml version="1.0" encoding="UTF-8" standalone="yes"?>
<Relationships xmlns="http://schemas.openxmlformats.org/package/2006/relationships"><Relationship Id="rId1" Type="http://schemas.openxmlformats.org/officeDocument/2006/relationships/chartUserShapes" Target="../drawings/drawing77.xml"/></Relationships>
</file>

<file path=xl/charts/_rels/chart68.xml.rels><?xml version="1.0" encoding="UTF-8" standalone="yes"?>
<Relationships xmlns="http://schemas.openxmlformats.org/package/2006/relationships"><Relationship Id="rId1" Type="http://schemas.openxmlformats.org/officeDocument/2006/relationships/chartUserShapes" Target="../drawings/drawing79.xml"/></Relationships>
</file>

<file path=xl/charts/_rels/chart69.xml.rels><?xml version="1.0" encoding="UTF-8" standalone="yes"?>
<Relationships xmlns="http://schemas.openxmlformats.org/package/2006/relationships"><Relationship Id="rId1" Type="http://schemas.openxmlformats.org/officeDocument/2006/relationships/chartUserShapes" Target="../drawings/drawing80.xml"/></Relationships>
</file>

<file path=xl/charts/_rels/chart70.xml.rels><?xml version="1.0" encoding="UTF-8" standalone="yes"?>
<Relationships xmlns="http://schemas.openxmlformats.org/package/2006/relationships"><Relationship Id="rId1" Type="http://schemas.openxmlformats.org/officeDocument/2006/relationships/chartUserShapes" Target="../drawings/drawing81.xml"/></Relationships>
</file>

<file path=xl/charts/_rels/chart71.xml.rels><?xml version="1.0" encoding="UTF-8" standalone="yes"?>
<Relationships xmlns="http://schemas.openxmlformats.org/package/2006/relationships"><Relationship Id="rId1" Type="http://schemas.openxmlformats.org/officeDocument/2006/relationships/chartUserShapes" Target="../drawings/drawing83.xml"/></Relationships>
</file>

<file path=xl/charts/_rels/chart72.xml.rels><?xml version="1.0" encoding="UTF-8" standalone="yes"?>
<Relationships xmlns="http://schemas.openxmlformats.org/package/2006/relationships"><Relationship Id="rId1" Type="http://schemas.openxmlformats.org/officeDocument/2006/relationships/chartUserShapes" Target="../drawings/drawing85.xml"/></Relationships>
</file>

<file path=xl/charts/_rels/chart73.xml.rels><?xml version="1.0" encoding="UTF-8" standalone="yes"?>
<Relationships xmlns="http://schemas.openxmlformats.org/package/2006/relationships"><Relationship Id="rId1" Type="http://schemas.openxmlformats.org/officeDocument/2006/relationships/chartUserShapes" Target="../drawings/drawing8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05480932530423E-2"/>
          <c:y val="7.5578521434820634E-2"/>
          <c:w val="0.86496384295365303"/>
          <c:h val="0.77264654418197765"/>
        </c:manualLayout>
      </c:layout>
      <c:scatterChart>
        <c:scatterStyle val="smoothMarker"/>
        <c:varyColors val="0"/>
        <c:ser>
          <c:idx val="0"/>
          <c:order val="0"/>
          <c:tx>
            <c:strRef>
              <c:f>'United Kingdom'!$G$11</c:f>
              <c:strCache>
                <c:ptCount val="1"/>
                <c:pt idx="0">
                  <c:v>logit</c:v>
                </c:pt>
              </c:strCache>
            </c:strRef>
          </c:tx>
          <c:spPr>
            <a:ln w="15875">
              <a:solidFill>
                <a:srgbClr val="008000"/>
              </a:solidFill>
            </a:ln>
          </c:spPr>
          <c:marker>
            <c:symbol val="none"/>
          </c:marker>
          <c:xVal>
            <c:numRef>
              <c:f>'United Kingdom'!$D$12:$D$302</c:f>
              <c:numCache>
                <c:formatCode>0</c:formatCode>
                <c:ptCount val="291"/>
                <c:pt idx="0">
                  <c:v>1829</c:v>
                </c:pt>
                <c:pt idx="1">
                  <c:v>1830</c:v>
                </c:pt>
                <c:pt idx="2">
                  <c:v>1831</c:v>
                </c:pt>
                <c:pt idx="3">
                  <c:v>1832</c:v>
                </c:pt>
                <c:pt idx="4">
                  <c:v>1833</c:v>
                </c:pt>
                <c:pt idx="5">
                  <c:v>1834</c:v>
                </c:pt>
                <c:pt idx="6">
                  <c:v>1835</c:v>
                </c:pt>
                <c:pt idx="7">
                  <c:v>1836</c:v>
                </c:pt>
                <c:pt idx="8">
                  <c:v>1837</c:v>
                </c:pt>
                <c:pt idx="9">
                  <c:v>1838</c:v>
                </c:pt>
                <c:pt idx="10">
                  <c:v>1839</c:v>
                </c:pt>
                <c:pt idx="11">
                  <c:v>1840</c:v>
                </c:pt>
                <c:pt idx="12">
                  <c:v>1841</c:v>
                </c:pt>
                <c:pt idx="13">
                  <c:v>1842</c:v>
                </c:pt>
                <c:pt idx="14">
                  <c:v>1843</c:v>
                </c:pt>
                <c:pt idx="15">
                  <c:v>1844</c:v>
                </c:pt>
                <c:pt idx="16">
                  <c:v>1845</c:v>
                </c:pt>
                <c:pt idx="17">
                  <c:v>1846</c:v>
                </c:pt>
                <c:pt idx="18">
                  <c:v>1847</c:v>
                </c:pt>
                <c:pt idx="19">
                  <c:v>1848</c:v>
                </c:pt>
                <c:pt idx="20">
                  <c:v>1849</c:v>
                </c:pt>
                <c:pt idx="21">
                  <c:v>1850</c:v>
                </c:pt>
                <c:pt idx="22">
                  <c:v>1851</c:v>
                </c:pt>
                <c:pt idx="23">
                  <c:v>1852</c:v>
                </c:pt>
                <c:pt idx="24">
                  <c:v>1853</c:v>
                </c:pt>
                <c:pt idx="25">
                  <c:v>1854</c:v>
                </c:pt>
                <c:pt idx="26">
                  <c:v>1855</c:v>
                </c:pt>
                <c:pt idx="27">
                  <c:v>1856</c:v>
                </c:pt>
                <c:pt idx="28">
                  <c:v>1857</c:v>
                </c:pt>
                <c:pt idx="29">
                  <c:v>1858</c:v>
                </c:pt>
                <c:pt idx="30">
                  <c:v>1859</c:v>
                </c:pt>
                <c:pt idx="31">
                  <c:v>1860</c:v>
                </c:pt>
                <c:pt idx="32">
                  <c:v>1861</c:v>
                </c:pt>
                <c:pt idx="33">
                  <c:v>1862</c:v>
                </c:pt>
                <c:pt idx="34">
                  <c:v>1863</c:v>
                </c:pt>
                <c:pt idx="35">
                  <c:v>1864</c:v>
                </c:pt>
                <c:pt idx="36">
                  <c:v>1865</c:v>
                </c:pt>
                <c:pt idx="37">
                  <c:v>1866</c:v>
                </c:pt>
                <c:pt idx="38">
                  <c:v>1867</c:v>
                </c:pt>
                <c:pt idx="39">
                  <c:v>1868</c:v>
                </c:pt>
                <c:pt idx="40">
                  <c:v>1869</c:v>
                </c:pt>
                <c:pt idx="41">
                  <c:v>1870</c:v>
                </c:pt>
                <c:pt idx="42">
                  <c:v>1871</c:v>
                </c:pt>
                <c:pt idx="43">
                  <c:v>1872</c:v>
                </c:pt>
                <c:pt idx="44">
                  <c:v>1873</c:v>
                </c:pt>
                <c:pt idx="45">
                  <c:v>1874</c:v>
                </c:pt>
                <c:pt idx="46">
                  <c:v>1875</c:v>
                </c:pt>
                <c:pt idx="47">
                  <c:v>1876</c:v>
                </c:pt>
                <c:pt idx="48">
                  <c:v>1877</c:v>
                </c:pt>
                <c:pt idx="49">
                  <c:v>1878</c:v>
                </c:pt>
                <c:pt idx="50">
                  <c:v>1879</c:v>
                </c:pt>
                <c:pt idx="51">
                  <c:v>1880</c:v>
                </c:pt>
                <c:pt idx="52">
                  <c:v>1881</c:v>
                </c:pt>
                <c:pt idx="53">
                  <c:v>1882</c:v>
                </c:pt>
                <c:pt idx="54">
                  <c:v>1883</c:v>
                </c:pt>
                <c:pt idx="55">
                  <c:v>1884</c:v>
                </c:pt>
                <c:pt idx="56">
                  <c:v>1885</c:v>
                </c:pt>
                <c:pt idx="57">
                  <c:v>1886</c:v>
                </c:pt>
                <c:pt idx="58">
                  <c:v>1887</c:v>
                </c:pt>
                <c:pt idx="59">
                  <c:v>1888</c:v>
                </c:pt>
                <c:pt idx="60">
                  <c:v>1889</c:v>
                </c:pt>
                <c:pt idx="61">
                  <c:v>1890</c:v>
                </c:pt>
                <c:pt idx="62">
                  <c:v>1891</c:v>
                </c:pt>
                <c:pt idx="63">
                  <c:v>1892</c:v>
                </c:pt>
                <c:pt idx="64">
                  <c:v>1893</c:v>
                </c:pt>
                <c:pt idx="65">
                  <c:v>1894</c:v>
                </c:pt>
                <c:pt idx="66">
                  <c:v>1895</c:v>
                </c:pt>
                <c:pt idx="67">
                  <c:v>1896</c:v>
                </c:pt>
                <c:pt idx="68">
                  <c:v>1897</c:v>
                </c:pt>
                <c:pt idx="69">
                  <c:v>1898</c:v>
                </c:pt>
                <c:pt idx="70">
                  <c:v>1899</c:v>
                </c:pt>
                <c:pt idx="71">
                  <c:v>1900</c:v>
                </c:pt>
                <c:pt idx="72">
                  <c:v>1901</c:v>
                </c:pt>
                <c:pt idx="73">
                  <c:v>1902</c:v>
                </c:pt>
                <c:pt idx="74">
                  <c:v>1903</c:v>
                </c:pt>
                <c:pt idx="75">
                  <c:v>1904</c:v>
                </c:pt>
                <c:pt idx="76">
                  <c:v>1905</c:v>
                </c:pt>
                <c:pt idx="77">
                  <c:v>1906</c:v>
                </c:pt>
                <c:pt idx="78">
                  <c:v>1907</c:v>
                </c:pt>
                <c:pt idx="79">
                  <c:v>1908</c:v>
                </c:pt>
                <c:pt idx="80">
                  <c:v>1909</c:v>
                </c:pt>
                <c:pt idx="81">
                  <c:v>1910</c:v>
                </c:pt>
                <c:pt idx="82">
                  <c:v>1911</c:v>
                </c:pt>
                <c:pt idx="83">
                  <c:v>1912</c:v>
                </c:pt>
                <c:pt idx="84">
                  <c:v>1913</c:v>
                </c:pt>
                <c:pt idx="85">
                  <c:v>1914</c:v>
                </c:pt>
                <c:pt idx="86">
                  <c:v>1915</c:v>
                </c:pt>
                <c:pt idx="87">
                  <c:v>1916</c:v>
                </c:pt>
                <c:pt idx="88">
                  <c:v>1917</c:v>
                </c:pt>
                <c:pt idx="89">
                  <c:v>1918</c:v>
                </c:pt>
                <c:pt idx="90">
                  <c:v>1919</c:v>
                </c:pt>
                <c:pt idx="91">
                  <c:v>1920</c:v>
                </c:pt>
                <c:pt idx="92">
                  <c:v>1921</c:v>
                </c:pt>
                <c:pt idx="93">
                  <c:v>1922</c:v>
                </c:pt>
                <c:pt idx="94">
                  <c:v>1923</c:v>
                </c:pt>
                <c:pt idx="95">
                  <c:v>1924</c:v>
                </c:pt>
                <c:pt idx="96">
                  <c:v>1925</c:v>
                </c:pt>
                <c:pt idx="97">
                  <c:v>1926</c:v>
                </c:pt>
                <c:pt idx="98">
                  <c:v>1927</c:v>
                </c:pt>
                <c:pt idx="99">
                  <c:v>1928</c:v>
                </c:pt>
                <c:pt idx="100">
                  <c:v>1929</c:v>
                </c:pt>
                <c:pt idx="101">
                  <c:v>1930</c:v>
                </c:pt>
                <c:pt idx="102">
                  <c:v>1931</c:v>
                </c:pt>
                <c:pt idx="103">
                  <c:v>1932</c:v>
                </c:pt>
                <c:pt idx="104">
                  <c:v>1933</c:v>
                </c:pt>
                <c:pt idx="105">
                  <c:v>1934</c:v>
                </c:pt>
                <c:pt idx="106">
                  <c:v>1935</c:v>
                </c:pt>
                <c:pt idx="107">
                  <c:v>1936</c:v>
                </c:pt>
                <c:pt idx="108">
                  <c:v>1937</c:v>
                </c:pt>
                <c:pt idx="109">
                  <c:v>1938</c:v>
                </c:pt>
                <c:pt idx="110">
                  <c:v>1939</c:v>
                </c:pt>
                <c:pt idx="111">
                  <c:v>1940</c:v>
                </c:pt>
                <c:pt idx="112">
                  <c:v>1941</c:v>
                </c:pt>
                <c:pt idx="113">
                  <c:v>1942</c:v>
                </c:pt>
                <c:pt idx="114">
                  <c:v>1943</c:v>
                </c:pt>
                <c:pt idx="115">
                  <c:v>1944</c:v>
                </c:pt>
                <c:pt idx="116">
                  <c:v>1945</c:v>
                </c:pt>
                <c:pt idx="117">
                  <c:v>1946</c:v>
                </c:pt>
                <c:pt idx="118">
                  <c:v>1947</c:v>
                </c:pt>
                <c:pt idx="119">
                  <c:v>1948</c:v>
                </c:pt>
                <c:pt idx="120">
                  <c:v>1949</c:v>
                </c:pt>
                <c:pt idx="121">
                  <c:v>1950</c:v>
                </c:pt>
                <c:pt idx="122">
                  <c:v>1951</c:v>
                </c:pt>
                <c:pt idx="123">
                  <c:v>1952</c:v>
                </c:pt>
                <c:pt idx="124">
                  <c:v>1953</c:v>
                </c:pt>
                <c:pt idx="125">
                  <c:v>1954</c:v>
                </c:pt>
                <c:pt idx="126">
                  <c:v>1955</c:v>
                </c:pt>
                <c:pt idx="127">
                  <c:v>1956</c:v>
                </c:pt>
                <c:pt idx="128">
                  <c:v>1957</c:v>
                </c:pt>
                <c:pt idx="129">
                  <c:v>1958</c:v>
                </c:pt>
                <c:pt idx="130">
                  <c:v>1959</c:v>
                </c:pt>
                <c:pt idx="131">
                  <c:v>1960</c:v>
                </c:pt>
                <c:pt idx="132">
                  <c:v>1961</c:v>
                </c:pt>
                <c:pt idx="133">
                  <c:v>1962</c:v>
                </c:pt>
                <c:pt idx="134">
                  <c:v>1963</c:v>
                </c:pt>
                <c:pt idx="135">
                  <c:v>1964</c:v>
                </c:pt>
                <c:pt idx="136">
                  <c:v>1965</c:v>
                </c:pt>
                <c:pt idx="137">
                  <c:v>1966</c:v>
                </c:pt>
                <c:pt idx="138">
                  <c:v>1967</c:v>
                </c:pt>
                <c:pt idx="139">
                  <c:v>1968</c:v>
                </c:pt>
                <c:pt idx="140">
                  <c:v>1969</c:v>
                </c:pt>
                <c:pt idx="141">
                  <c:v>1970</c:v>
                </c:pt>
                <c:pt idx="142">
                  <c:v>1971</c:v>
                </c:pt>
                <c:pt idx="143">
                  <c:v>1972</c:v>
                </c:pt>
                <c:pt idx="144">
                  <c:v>1973</c:v>
                </c:pt>
                <c:pt idx="145">
                  <c:v>1974</c:v>
                </c:pt>
                <c:pt idx="146">
                  <c:v>1975</c:v>
                </c:pt>
                <c:pt idx="147">
                  <c:v>1976</c:v>
                </c:pt>
                <c:pt idx="148">
                  <c:v>1977</c:v>
                </c:pt>
                <c:pt idx="149">
                  <c:v>1978</c:v>
                </c:pt>
                <c:pt idx="150">
                  <c:v>1979</c:v>
                </c:pt>
                <c:pt idx="151">
                  <c:v>1980</c:v>
                </c:pt>
                <c:pt idx="152">
                  <c:v>1981</c:v>
                </c:pt>
                <c:pt idx="153">
                  <c:v>1982</c:v>
                </c:pt>
                <c:pt idx="154">
                  <c:v>1983</c:v>
                </c:pt>
                <c:pt idx="155">
                  <c:v>1984</c:v>
                </c:pt>
                <c:pt idx="156">
                  <c:v>1985</c:v>
                </c:pt>
                <c:pt idx="157">
                  <c:v>1986</c:v>
                </c:pt>
                <c:pt idx="158">
                  <c:v>1987</c:v>
                </c:pt>
                <c:pt idx="159">
                  <c:v>1988</c:v>
                </c:pt>
                <c:pt idx="160">
                  <c:v>1989</c:v>
                </c:pt>
                <c:pt idx="161">
                  <c:v>1990</c:v>
                </c:pt>
                <c:pt idx="162">
                  <c:v>1991</c:v>
                </c:pt>
                <c:pt idx="163">
                  <c:v>1992</c:v>
                </c:pt>
                <c:pt idx="164">
                  <c:v>1993</c:v>
                </c:pt>
                <c:pt idx="165">
                  <c:v>1994</c:v>
                </c:pt>
                <c:pt idx="166">
                  <c:v>1995</c:v>
                </c:pt>
                <c:pt idx="167">
                  <c:v>1996</c:v>
                </c:pt>
                <c:pt idx="168">
                  <c:v>1997</c:v>
                </c:pt>
                <c:pt idx="169">
                  <c:v>1998</c:v>
                </c:pt>
                <c:pt idx="170">
                  <c:v>1999</c:v>
                </c:pt>
                <c:pt idx="171">
                  <c:v>2000</c:v>
                </c:pt>
                <c:pt idx="172">
                  <c:v>2001</c:v>
                </c:pt>
                <c:pt idx="173">
                  <c:v>2002</c:v>
                </c:pt>
                <c:pt idx="174">
                  <c:v>2003</c:v>
                </c:pt>
                <c:pt idx="175">
                  <c:v>2004</c:v>
                </c:pt>
                <c:pt idx="176">
                  <c:v>2005</c:v>
                </c:pt>
                <c:pt idx="177">
                  <c:v>2006</c:v>
                </c:pt>
                <c:pt idx="178">
                  <c:v>2007</c:v>
                </c:pt>
                <c:pt idx="179">
                  <c:v>2008</c:v>
                </c:pt>
                <c:pt idx="180">
                  <c:v>2009</c:v>
                </c:pt>
                <c:pt idx="181">
                  <c:v>2010</c:v>
                </c:pt>
                <c:pt idx="182">
                  <c:v>2011</c:v>
                </c:pt>
                <c:pt idx="183">
                  <c:v>2012</c:v>
                </c:pt>
                <c:pt idx="184">
                  <c:v>2013</c:v>
                </c:pt>
                <c:pt idx="185">
                  <c:v>2014</c:v>
                </c:pt>
                <c:pt idx="186">
                  <c:v>2015</c:v>
                </c:pt>
                <c:pt idx="187">
                  <c:v>2016</c:v>
                </c:pt>
                <c:pt idx="188">
                  <c:v>2017</c:v>
                </c:pt>
                <c:pt idx="189">
                  <c:v>2018</c:v>
                </c:pt>
                <c:pt idx="190">
                  <c:v>2019</c:v>
                </c:pt>
                <c:pt idx="191">
                  <c:v>2020</c:v>
                </c:pt>
                <c:pt idx="192">
                  <c:v>2021</c:v>
                </c:pt>
                <c:pt idx="193">
                  <c:v>2022</c:v>
                </c:pt>
                <c:pt idx="194">
                  <c:v>2023</c:v>
                </c:pt>
                <c:pt idx="195">
                  <c:v>2024</c:v>
                </c:pt>
                <c:pt idx="196">
                  <c:v>2025</c:v>
                </c:pt>
                <c:pt idx="197">
                  <c:v>2026</c:v>
                </c:pt>
                <c:pt idx="198">
                  <c:v>2027</c:v>
                </c:pt>
                <c:pt idx="199">
                  <c:v>2028</c:v>
                </c:pt>
                <c:pt idx="200">
                  <c:v>2029</c:v>
                </c:pt>
                <c:pt idx="201">
                  <c:v>2030</c:v>
                </c:pt>
                <c:pt idx="202">
                  <c:v>2031</c:v>
                </c:pt>
                <c:pt idx="203">
                  <c:v>2032</c:v>
                </c:pt>
                <c:pt idx="204">
                  <c:v>2033</c:v>
                </c:pt>
                <c:pt idx="205">
                  <c:v>2034</c:v>
                </c:pt>
                <c:pt idx="206">
                  <c:v>2035</c:v>
                </c:pt>
                <c:pt idx="207">
                  <c:v>2036</c:v>
                </c:pt>
                <c:pt idx="208">
                  <c:v>2037</c:v>
                </c:pt>
                <c:pt idx="209">
                  <c:v>2038</c:v>
                </c:pt>
                <c:pt idx="210">
                  <c:v>2039</c:v>
                </c:pt>
                <c:pt idx="211">
                  <c:v>2040</c:v>
                </c:pt>
                <c:pt idx="212">
                  <c:v>2041</c:v>
                </c:pt>
                <c:pt idx="213">
                  <c:v>2042</c:v>
                </c:pt>
                <c:pt idx="214">
                  <c:v>2043</c:v>
                </c:pt>
                <c:pt idx="215">
                  <c:v>2044</c:v>
                </c:pt>
                <c:pt idx="216">
                  <c:v>2045</c:v>
                </c:pt>
                <c:pt idx="217">
                  <c:v>2046</c:v>
                </c:pt>
                <c:pt idx="218">
                  <c:v>2047</c:v>
                </c:pt>
                <c:pt idx="219">
                  <c:v>2048</c:v>
                </c:pt>
                <c:pt idx="220">
                  <c:v>2049</c:v>
                </c:pt>
                <c:pt idx="221">
                  <c:v>2050</c:v>
                </c:pt>
                <c:pt idx="222">
                  <c:v>2051</c:v>
                </c:pt>
                <c:pt idx="223">
                  <c:v>2052</c:v>
                </c:pt>
                <c:pt idx="224">
                  <c:v>2053</c:v>
                </c:pt>
                <c:pt idx="225">
                  <c:v>2054</c:v>
                </c:pt>
                <c:pt idx="226">
                  <c:v>2055</c:v>
                </c:pt>
                <c:pt idx="227">
                  <c:v>2056</c:v>
                </c:pt>
                <c:pt idx="228">
                  <c:v>2057</c:v>
                </c:pt>
                <c:pt idx="229">
                  <c:v>2058</c:v>
                </c:pt>
                <c:pt idx="230">
                  <c:v>2059</c:v>
                </c:pt>
                <c:pt idx="231">
                  <c:v>2060</c:v>
                </c:pt>
                <c:pt idx="232">
                  <c:v>2061</c:v>
                </c:pt>
                <c:pt idx="233">
                  <c:v>2062</c:v>
                </c:pt>
                <c:pt idx="234">
                  <c:v>2063</c:v>
                </c:pt>
                <c:pt idx="235">
                  <c:v>2064</c:v>
                </c:pt>
                <c:pt idx="236">
                  <c:v>2065</c:v>
                </c:pt>
                <c:pt idx="237">
                  <c:v>2066</c:v>
                </c:pt>
                <c:pt idx="238">
                  <c:v>2067</c:v>
                </c:pt>
                <c:pt idx="239">
                  <c:v>2068</c:v>
                </c:pt>
                <c:pt idx="240">
                  <c:v>2069</c:v>
                </c:pt>
                <c:pt idx="241">
                  <c:v>2070</c:v>
                </c:pt>
                <c:pt idx="242">
                  <c:v>2071</c:v>
                </c:pt>
                <c:pt idx="243">
                  <c:v>2072</c:v>
                </c:pt>
                <c:pt idx="244">
                  <c:v>2073</c:v>
                </c:pt>
                <c:pt idx="245">
                  <c:v>2074</c:v>
                </c:pt>
                <c:pt idx="246">
                  <c:v>2075</c:v>
                </c:pt>
                <c:pt idx="247">
                  <c:v>2076</c:v>
                </c:pt>
                <c:pt idx="248">
                  <c:v>2077</c:v>
                </c:pt>
                <c:pt idx="249">
                  <c:v>2078</c:v>
                </c:pt>
                <c:pt idx="250">
                  <c:v>2079</c:v>
                </c:pt>
                <c:pt idx="251">
                  <c:v>2080</c:v>
                </c:pt>
                <c:pt idx="252">
                  <c:v>2081</c:v>
                </c:pt>
                <c:pt idx="253">
                  <c:v>2082</c:v>
                </c:pt>
                <c:pt idx="254">
                  <c:v>2083</c:v>
                </c:pt>
                <c:pt idx="255">
                  <c:v>2084</c:v>
                </c:pt>
                <c:pt idx="256">
                  <c:v>2085</c:v>
                </c:pt>
                <c:pt idx="257">
                  <c:v>2086</c:v>
                </c:pt>
                <c:pt idx="258">
                  <c:v>2087</c:v>
                </c:pt>
                <c:pt idx="259">
                  <c:v>2088</c:v>
                </c:pt>
                <c:pt idx="260">
                  <c:v>2089</c:v>
                </c:pt>
                <c:pt idx="261">
                  <c:v>2090</c:v>
                </c:pt>
                <c:pt idx="262">
                  <c:v>2091</c:v>
                </c:pt>
                <c:pt idx="263">
                  <c:v>2092</c:v>
                </c:pt>
                <c:pt idx="264">
                  <c:v>2093</c:v>
                </c:pt>
                <c:pt idx="265">
                  <c:v>2094</c:v>
                </c:pt>
                <c:pt idx="266">
                  <c:v>2095</c:v>
                </c:pt>
                <c:pt idx="267">
                  <c:v>2096</c:v>
                </c:pt>
                <c:pt idx="268">
                  <c:v>2097</c:v>
                </c:pt>
                <c:pt idx="269">
                  <c:v>2098</c:v>
                </c:pt>
                <c:pt idx="270">
                  <c:v>2099</c:v>
                </c:pt>
                <c:pt idx="271">
                  <c:v>2100</c:v>
                </c:pt>
                <c:pt idx="272">
                  <c:v>2101</c:v>
                </c:pt>
                <c:pt idx="273">
                  <c:v>2102</c:v>
                </c:pt>
                <c:pt idx="274">
                  <c:v>2103</c:v>
                </c:pt>
                <c:pt idx="275">
                  <c:v>2104</c:v>
                </c:pt>
                <c:pt idx="276">
                  <c:v>2105</c:v>
                </c:pt>
                <c:pt idx="277">
                  <c:v>2106</c:v>
                </c:pt>
                <c:pt idx="278">
                  <c:v>2107</c:v>
                </c:pt>
                <c:pt idx="279">
                  <c:v>2108</c:v>
                </c:pt>
                <c:pt idx="280">
                  <c:v>2109</c:v>
                </c:pt>
                <c:pt idx="281">
                  <c:v>2110</c:v>
                </c:pt>
                <c:pt idx="282">
                  <c:v>2111</c:v>
                </c:pt>
                <c:pt idx="283">
                  <c:v>2112</c:v>
                </c:pt>
                <c:pt idx="284">
                  <c:v>2113</c:v>
                </c:pt>
                <c:pt idx="285">
                  <c:v>2114</c:v>
                </c:pt>
                <c:pt idx="286">
                  <c:v>2115</c:v>
                </c:pt>
                <c:pt idx="287">
                  <c:v>2116</c:v>
                </c:pt>
                <c:pt idx="288">
                  <c:v>2117</c:v>
                </c:pt>
                <c:pt idx="289">
                  <c:v>2118</c:v>
                </c:pt>
                <c:pt idx="290">
                  <c:v>2119</c:v>
                </c:pt>
              </c:numCache>
            </c:numRef>
          </c:xVal>
          <c:yVal>
            <c:numRef>
              <c:f>'United Kingdom'!$G$12:$G$302</c:f>
              <c:numCache>
                <c:formatCode>0.00</c:formatCode>
                <c:ptCount val="291"/>
                <c:pt idx="0">
                  <c:v>-3.4405372607946405</c:v>
                </c:pt>
                <c:pt idx="1">
                  <c:v>-3.4059972193021388</c:v>
                </c:pt>
                <c:pt idx="2">
                  <c:v>-3.3714592414618827</c:v>
                </c:pt>
                <c:pt idx="3">
                  <c:v>-3.3373729477698548</c:v>
                </c:pt>
                <c:pt idx="4">
                  <c:v>-3.3035250598668933</c:v>
                </c:pt>
                <c:pt idx="5">
                  <c:v>-3.2698254506464615</c:v>
                </c:pt>
                <c:pt idx="6">
                  <c:v>-3.2358140568697258</c:v>
                </c:pt>
                <c:pt idx="7">
                  <c:v>-3.2017327556481505</c:v>
                </c:pt>
                <c:pt idx="8">
                  <c:v>-3.1674385939447802</c:v>
                </c:pt>
                <c:pt idx="9">
                  <c:v>-3.1328939338151134</c:v>
                </c:pt>
                <c:pt idx="10">
                  <c:v>-3.0981515150698118</c:v>
                </c:pt>
                <c:pt idx="11">
                  <c:v>-3.0630160110100015</c:v>
                </c:pt>
                <c:pt idx="12">
                  <c:v>-3.0280260410859041</c:v>
                </c:pt>
                <c:pt idx="13">
                  <c:v>-2.9938082452804529</c:v>
                </c:pt>
                <c:pt idx="14">
                  <c:v>-2.9592870865724996</c:v>
                </c:pt>
                <c:pt idx="15">
                  <c:v>-2.9246612660252618</c:v>
                </c:pt>
                <c:pt idx="16">
                  <c:v>-2.8886500441178211</c:v>
                </c:pt>
                <c:pt idx="17">
                  <c:v>-2.8524191978039162</c:v>
                </c:pt>
                <c:pt idx="18">
                  <c:v>-2.8167357983609538</c:v>
                </c:pt>
                <c:pt idx="19">
                  <c:v>-2.7805084983315442</c:v>
                </c:pt>
                <c:pt idx="20">
                  <c:v>-2.7437567782217576</c:v>
                </c:pt>
                <c:pt idx="21">
                  <c:v>-2.7062655058132021</c:v>
                </c:pt>
                <c:pt idx="22">
                  <c:v>-2.6684223275723027</c:v>
                </c:pt>
                <c:pt idx="23">
                  <c:v>-2.6300726091175051</c:v>
                </c:pt>
                <c:pt idx="24">
                  <c:v>-2.5914050839556841</c:v>
                </c:pt>
                <c:pt idx="25">
                  <c:v>-2.5519674999260022</c:v>
                </c:pt>
                <c:pt idx="26">
                  <c:v>-2.5131674976061782</c:v>
                </c:pt>
                <c:pt idx="27">
                  <c:v>-2.4743491060186291</c:v>
                </c:pt>
                <c:pt idx="28">
                  <c:v>-2.435405842524049</c:v>
                </c:pt>
                <c:pt idx="29">
                  <c:v>-2.3984203010415519</c:v>
                </c:pt>
                <c:pt idx="30">
                  <c:v>-2.3614407594409119</c:v>
                </c:pt>
                <c:pt idx="31">
                  <c:v>-2.3233837808289581</c:v>
                </c:pt>
                <c:pt idx="32">
                  <c:v>-2.2859432829450368</c:v>
                </c:pt>
                <c:pt idx="33">
                  <c:v>-2.2488497403691734</c:v>
                </c:pt>
                <c:pt idx="34">
                  <c:v>-2.2110461170152158</c:v>
                </c:pt>
                <c:pt idx="35">
                  <c:v>-2.1730717085088567</c:v>
                </c:pt>
                <c:pt idx="36">
                  <c:v>-2.1351484473586559</c:v>
                </c:pt>
                <c:pt idx="37">
                  <c:v>-2.0972593724303903</c:v>
                </c:pt>
                <c:pt idx="38">
                  <c:v>-2.060114289008518</c:v>
                </c:pt>
                <c:pt idx="39">
                  <c:v>-2.0233355965636752</c:v>
                </c:pt>
                <c:pt idx="40">
                  <c:v>-1.9865855010114377</c:v>
                </c:pt>
                <c:pt idx="41">
                  <c:v>-1.9495618859916515</c:v>
                </c:pt>
                <c:pt idx="42">
                  <c:v>-1.9116865683026116</c:v>
                </c:pt>
                <c:pt idx="43">
                  <c:v>-1.8736463472423965</c:v>
                </c:pt>
                <c:pt idx="44">
                  <c:v>-1.8351794536741861</c:v>
                </c:pt>
                <c:pt idx="45">
                  <c:v>-1.7980400805535897</c:v>
                </c:pt>
                <c:pt idx="46">
                  <c:v>-1.7602023217405862</c:v>
                </c:pt>
                <c:pt idx="47">
                  <c:v>-1.7230803270672992</c:v>
                </c:pt>
                <c:pt idx="48">
                  <c:v>-1.686894771023369</c:v>
                </c:pt>
                <c:pt idx="49">
                  <c:v>-1.651844360882281</c:v>
                </c:pt>
                <c:pt idx="50">
                  <c:v>-1.6173572816858452</c:v>
                </c:pt>
                <c:pt idx="51">
                  <c:v>-1.5804646907704794</c:v>
                </c:pt>
                <c:pt idx="52">
                  <c:v>-1.5425371290460699</c:v>
                </c:pt>
                <c:pt idx="53">
                  <c:v>-1.5050530487899103</c:v>
                </c:pt>
                <c:pt idx="54">
                  <c:v>-1.4668501956512003</c:v>
                </c:pt>
                <c:pt idx="55">
                  <c:v>-1.4302052876149784</c:v>
                </c:pt>
                <c:pt idx="56">
                  <c:v>-1.394584172143517</c:v>
                </c:pt>
                <c:pt idx="57">
                  <c:v>-1.3601378786854177</c:v>
                </c:pt>
                <c:pt idx="58">
                  <c:v>-1.3253352550743258</c:v>
                </c:pt>
                <c:pt idx="59">
                  <c:v>-1.2895842735719636</c:v>
                </c:pt>
                <c:pt idx="60">
                  <c:v>-1.2531416846961585</c:v>
                </c:pt>
                <c:pt idx="61">
                  <c:v>-1.2164402106449901</c:v>
                </c:pt>
                <c:pt idx="62">
                  <c:v>-1.1798779093827585</c:v>
                </c:pt>
                <c:pt idx="63">
                  <c:v>-1.1445776468789572</c:v>
                </c:pt>
                <c:pt idx="64">
                  <c:v>-1.1132565019151965</c:v>
                </c:pt>
                <c:pt idx="65">
                  <c:v>-1.0780310509150901</c:v>
                </c:pt>
                <c:pt idx="66">
                  <c:v>-1.0430465229639219</c:v>
                </c:pt>
                <c:pt idx="67">
                  <c:v>-1.0077544486380916</c:v>
                </c:pt>
                <c:pt idx="68">
                  <c:v>-0.97181490263866055</c:v>
                </c:pt>
                <c:pt idx="69">
                  <c:v>-0.93644861214490294</c:v>
                </c:pt>
                <c:pt idx="70">
                  <c:v>-0.89841844039687513</c:v>
                </c:pt>
                <c:pt idx="71">
                  <c:v>-0.8601590124643097</c:v>
                </c:pt>
                <c:pt idx="72">
                  <c:v>-0.82346399076237675</c:v>
                </c:pt>
                <c:pt idx="73">
                  <c:v>-0.78599802780627637</c:v>
                </c:pt>
                <c:pt idx="74">
                  <c:v>-0.74857317355599473</c:v>
                </c:pt>
                <c:pt idx="75">
                  <c:v>-0.71132919342266732</c:v>
                </c:pt>
                <c:pt idx="76">
                  <c:v>-0.67393337455710589</c:v>
                </c:pt>
                <c:pt idx="77">
                  <c:v>-0.63469127681899407</c:v>
                </c:pt>
                <c:pt idx="78">
                  <c:v>-0.59334724599918875</c:v>
                </c:pt>
                <c:pt idx="79">
                  <c:v>-0.55338652911255992</c:v>
                </c:pt>
                <c:pt idx="80">
                  <c:v>-0.51355643877108192</c:v>
                </c:pt>
                <c:pt idx="81">
                  <c:v>-0.47397463510045412</c:v>
                </c:pt>
                <c:pt idx="82">
                  <c:v>-0.4337379416866316</c:v>
                </c:pt>
                <c:pt idx="83">
                  <c:v>-0.39542792155746553</c:v>
                </c:pt>
                <c:pt idx="84">
                  <c:v>-0.35354270859244008</c:v>
                </c:pt>
                <c:pt idx="85">
                  <c:v>-0.31508527720489649</c:v>
                </c:pt>
                <c:pt idx="86">
                  <c:v>-0.27869336156296748</c:v>
                </c:pt>
                <c:pt idx="87">
                  <c:v>-0.24206220763968381</c:v>
                </c:pt>
                <c:pt idx="88">
                  <c:v>-0.20671198698798374</c:v>
                </c:pt>
                <c:pt idx="89">
                  <c:v>-0.1744208290662185</c:v>
                </c:pt>
                <c:pt idx="90">
                  <c:v>-0.14194168213185598</c:v>
                </c:pt>
                <c:pt idx="91">
                  <c:v>-0.10953711146154523</c:v>
                </c:pt>
                <c:pt idx="92">
                  <c:v>-8.6486580321132323E-2</c:v>
                </c:pt>
                <c:pt idx="93">
                  <c:v>-5.1258796984574563E-2</c:v>
                </c:pt>
                <c:pt idx="94">
                  <c:v>-1.2460975213657946E-2</c:v>
                </c:pt>
                <c:pt idx="95">
                  <c:v>2.5080545852001677E-2</c:v>
                </c:pt>
                <c:pt idx="96">
                  <c:v>5.9312078604960621E-2</c:v>
                </c:pt>
                <c:pt idx="97">
                  <c:v>7.7063904819299867E-2</c:v>
                </c:pt>
                <c:pt idx="98">
                  <c:v>0.11246784788442576</c:v>
                </c:pt>
                <c:pt idx="99">
                  <c:v>0.14599252097088999</c:v>
                </c:pt>
                <c:pt idx="100">
                  <c:v>0.1825322134194049</c:v>
                </c:pt>
                <c:pt idx="101">
                  <c:v>0.21723132537894516</c:v>
                </c:pt>
                <c:pt idx="102">
                  <c:v>0.24854357548196568</c:v>
                </c:pt>
                <c:pt idx="103">
                  <c:v>0.27842387178753975</c:v>
                </c:pt>
                <c:pt idx="104">
                  <c:v>0.30814450275408412</c:v>
                </c:pt>
                <c:pt idx="105">
                  <c:v>0.33999637889235629</c:v>
                </c:pt>
                <c:pt idx="106">
                  <c:v>0.37230677142038759</c:v>
                </c:pt>
                <c:pt idx="107">
                  <c:v>0.40567619061672933</c:v>
                </c:pt>
                <c:pt idx="108">
                  <c:v>0.44101404994849269</c:v>
                </c:pt>
                <c:pt idx="109">
                  <c:v>0.47472040120217224</c:v>
                </c:pt>
                <c:pt idx="110">
                  <c:v>0.50928435552148532</c:v>
                </c:pt>
                <c:pt idx="111">
                  <c:v>0.54310563929121114</c:v>
                </c:pt>
                <c:pt idx="112">
                  <c:v>0.57452696159100825</c:v>
                </c:pt>
                <c:pt idx="113">
                  <c:v>0.60592353856701608</c:v>
                </c:pt>
                <c:pt idx="114">
                  <c:v>0.63669427849211768</c:v>
                </c:pt>
                <c:pt idx="115">
                  <c:v>0.66683231644498431</c:v>
                </c:pt>
                <c:pt idx="116">
                  <c:v>0.69570519817252185</c:v>
                </c:pt>
                <c:pt idx="117">
                  <c:v>0.72596257445000556</c:v>
                </c:pt>
                <c:pt idx="118">
                  <c:v>0.75765719919047969</c:v>
                </c:pt>
                <c:pt idx="119">
                  <c:v>0.79149394467213408</c:v>
                </c:pt>
                <c:pt idx="120">
                  <c:v>0.82707555634546914</c:v>
                </c:pt>
                <c:pt idx="121">
                  <c:v>0.863325821539071</c:v>
                </c:pt>
                <c:pt idx="122">
                  <c:v>0.90112998585163717</c:v>
                </c:pt>
                <c:pt idx="123">
                  <c:v>0.93989048995423452</c:v>
                </c:pt>
                <c:pt idx="124">
                  <c:v>0.97914625582841452</c:v>
                </c:pt>
                <c:pt idx="125">
                  <c:v>1.0191142367779567</c:v>
                </c:pt>
                <c:pt idx="126">
                  <c:v>1.0594844524733003</c:v>
                </c:pt>
                <c:pt idx="127">
                  <c:v>1.1008462072396989</c:v>
                </c:pt>
                <c:pt idx="128">
                  <c:v>1.1432719774214737</c:v>
                </c:pt>
                <c:pt idx="129">
                  <c:v>1.1851028483857906</c:v>
                </c:pt>
                <c:pt idx="130">
                  <c:v>1.2259101632447689</c:v>
                </c:pt>
                <c:pt idx="131">
                  <c:v>1.2652251116910262</c:v>
                </c:pt>
                <c:pt idx="132">
                  <c:v>1.3048058671387606</c:v>
                </c:pt>
                <c:pt idx="133">
                  <c:v>1.346785074276287</c:v>
                </c:pt>
                <c:pt idx="134">
                  <c:v>1.389391655914934</c:v>
                </c:pt>
                <c:pt idx="135">
                  <c:v>1.4328954030026495</c:v>
                </c:pt>
                <c:pt idx="136">
                  <c:v>1.4762216943909705</c:v>
                </c:pt>
                <c:pt idx="137">
                  <c:v>1.5177042257170346</c:v>
                </c:pt>
                <c:pt idx="138">
                  <c:v>1.5600776301236525</c:v>
                </c:pt>
                <c:pt idx="139">
                  <c:v>1.6016707686479195</c:v>
                </c:pt>
                <c:pt idx="140">
                  <c:v>1.6408768152353346</c:v>
                </c:pt>
                <c:pt idx="141">
                  <c:v>1.6787955265366661</c:v>
                </c:pt>
                <c:pt idx="142">
                  <c:v>1.7182632582078701</c:v>
                </c:pt>
                <c:pt idx="143">
                  <c:v>1.7514054641126604</c:v>
                </c:pt>
                <c:pt idx="144">
                  <c:v>1.7881579020853926</c:v>
                </c:pt>
                <c:pt idx="145">
                  <c:v>1.8195381176723702</c:v>
                </c:pt>
                <c:pt idx="146">
                  <c:v>1.857267196866065</c:v>
                </c:pt>
                <c:pt idx="147">
                  <c:v>1.8945403151793754</c:v>
                </c:pt>
                <c:pt idx="148">
                  <c:v>1.9322417020849354</c:v>
                </c:pt>
                <c:pt idx="149">
                  <c:v>1.9710357691931673</c:v>
                </c:pt>
                <c:pt idx="150">
                  <c:v>2.010668670010701</c:v>
                </c:pt>
                <c:pt idx="151">
                  <c:v>2.0546309226914321</c:v>
                </c:pt>
                <c:pt idx="152">
                  <c:v>2.0992383708041027</c:v>
                </c:pt>
                <c:pt idx="153">
                  <c:v>2.1444388860971277</c:v>
                </c:pt>
                <c:pt idx="154">
                  <c:v>2.1892248643999164</c:v>
                </c:pt>
                <c:pt idx="155">
                  <c:v>2.2089475920102548</c:v>
                </c:pt>
                <c:pt idx="156">
                  <c:v>2.2460498934946651</c:v>
                </c:pt>
                <c:pt idx="157">
                  <c:v>2.29008895195257</c:v>
                </c:pt>
                <c:pt idx="158">
                  <c:v>2.334233792883567</c:v>
                </c:pt>
                <c:pt idx="159">
                  <c:v>2.3798385018236332</c:v>
                </c:pt>
                <c:pt idx="160">
                  <c:v>2.425265989784485</c:v>
                </c:pt>
                <c:pt idx="161">
                  <c:v>2.4690879406457649</c:v>
                </c:pt>
                <c:pt idx="162">
                  <c:v>2.5153134417723293</c:v>
                </c:pt>
                <c:pt idx="163">
                  <c:v>2.5583785001110986</c:v>
                </c:pt>
                <c:pt idx="164">
                  <c:v>2.5943367812710001</c:v>
                </c:pt>
                <c:pt idx="165">
                  <c:v>2.6208601375070071</c:v>
                </c:pt>
                <c:pt idx="166">
                  <c:v>2.6502910374580417</c:v>
                </c:pt>
                <c:pt idx="167">
                  <c:v>2.6788561426802091</c:v>
                </c:pt>
                <c:pt idx="168">
                  <c:v>2.7071461897612727</c:v>
                </c:pt>
                <c:pt idx="169">
                  <c:v>2.731727363186053</c:v>
                </c:pt>
                <c:pt idx="170">
                  <c:v>2.7543235097852206</c:v>
                </c:pt>
                <c:pt idx="171">
                  <c:v>2.7736911162495903</c:v>
                </c:pt>
                <c:pt idx="172">
                  <c:v>2.7938622854859849</c:v>
                </c:pt>
                <c:pt idx="173">
                  <c:v>2.8131407137081248</c:v>
                </c:pt>
                <c:pt idx="174">
                  <c:v>2.8316265563097076</c:v>
                </c:pt>
                <c:pt idx="175">
                  <c:v>2.8482901440021147</c:v>
                </c:pt>
                <c:pt idx="176">
                  <c:v>2.8620867130076291</c:v>
                </c:pt>
                <c:pt idx="177">
                  <c:v>2.874697503952262</c:v>
                </c:pt>
                <c:pt idx="178">
                  <c:v>2.8864065329791235</c:v>
                </c:pt>
                <c:pt idx="179">
                  <c:v>2.8989712853144525</c:v>
                </c:pt>
                <c:pt idx="180">
                  <c:v>2.911551895433933</c:v>
                </c:pt>
              </c:numCache>
            </c:numRef>
          </c:yVal>
          <c:smooth val="1"/>
          <c:extLst>
            <c:ext xmlns:c16="http://schemas.microsoft.com/office/drawing/2014/chart" uri="{C3380CC4-5D6E-409C-BE32-E72D297353CC}">
              <c16:uniqueId val="{00000000-4362-354F-BA3C-866C384B398B}"/>
            </c:ext>
          </c:extLst>
        </c:ser>
        <c:ser>
          <c:idx val="1"/>
          <c:order val="1"/>
          <c:tx>
            <c:strRef>
              <c:f>'United Kingdom'!$G$3</c:f>
              <c:strCache>
                <c:ptCount val="1"/>
                <c:pt idx="0">
                  <c:v>trend</c:v>
                </c:pt>
              </c:strCache>
            </c:strRef>
          </c:tx>
          <c:spPr>
            <a:ln w="15875">
              <a:solidFill>
                <a:srgbClr val="808080"/>
              </a:solidFill>
              <a:prstDash val="dash"/>
            </a:ln>
          </c:spPr>
          <c:marker>
            <c:symbol val="none"/>
          </c:marker>
          <c:xVal>
            <c:numRef>
              <c:f>'United Kingdom'!$E$3:$E$4</c:f>
              <c:numCache>
                <c:formatCode>General</c:formatCode>
                <c:ptCount val="2"/>
                <c:pt idx="0">
                  <c:v>1829</c:v>
                </c:pt>
                <c:pt idx="1">
                  <c:v>2009</c:v>
                </c:pt>
              </c:numCache>
            </c:numRef>
          </c:xVal>
          <c:yVal>
            <c:numRef>
              <c:f>'United Kingdom'!$F$3:$F$4</c:f>
              <c:numCache>
                <c:formatCode>0.00</c:formatCode>
                <c:ptCount val="2"/>
                <c:pt idx="0">
                  <c:v>-3.4442195886944811</c:v>
                </c:pt>
                <c:pt idx="1">
                  <c:v>3.0788500527229257</c:v>
                </c:pt>
              </c:numCache>
            </c:numRef>
          </c:yVal>
          <c:smooth val="1"/>
          <c:extLst>
            <c:ext xmlns:c16="http://schemas.microsoft.com/office/drawing/2014/chart" uri="{C3380CC4-5D6E-409C-BE32-E72D297353CC}">
              <c16:uniqueId val="{00000001-4362-354F-BA3C-866C384B398B}"/>
            </c:ext>
          </c:extLst>
        </c:ser>
        <c:dLbls>
          <c:showLegendKey val="0"/>
          <c:showVal val="0"/>
          <c:showCatName val="0"/>
          <c:showSerName val="0"/>
          <c:showPercent val="0"/>
          <c:showBubbleSize val="0"/>
        </c:dLbls>
        <c:axId val="127013632"/>
        <c:axId val="127015168"/>
      </c:scatterChart>
      <c:valAx>
        <c:axId val="127013632"/>
        <c:scaling>
          <c:orientation val="minMax"/>
          <c:max val="2020"/>
          <c:min val="1820"/>
        </c:scaling>
        <c:delete val="0"/>
        <c:axPos val="b"/>
        <c:numFmt formatCode="0"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27015168"/>
        <c:crossesAt val="-100"/>
        <c:crossBetween val="midCat"/>
        <c:majorUnit val="50"/>
        <c:minorUnit val="10"/>
      </c:valAx>
      <c:valAx>
        <c:axId val="127015168"/>
        <c:scaling>
          <c:orientation val="minMax"/>
          <c:max val="4"/>
          <c:min val="-4"/>
        </c:scaling>
        <c:delete val="0"/>
        <c:axPos val="r"/>
        <c:title>
          <c:tx>
            <c:rich>
              <a:bodyPr rot="-5400000" vert="horz"/>
              <a:lstStyle/>
              <a:p>
                <a:pPr>
                  <a:defRPr sz="1200" b="0">
                    <a:solidFill>
                      <a:srgbClr val="333399"/>
                    </a:solidFill>
                  </a:defRPr>
                </a:pPr>
                <a:r>
                  <a:rPr lang="en-US" sz="1200" b="0">
                    <a:solidFill>
                      <a:srgbClr val="333399"/>
                    </a:solidFill>
                  </a:rPr>
                  <a:t>logit (</a:t>
                </a:r>
                <a:r>
                  <a:rPr lang="en-US" sz="1200" b="0" i="1">
                    <a:solidFill>
                      <a:srgbClr val="333399"/>
                    </a:solidFill>
                  </a:rPr>
                  <a:t>q/Q</a:t>
                </a:r>
                <a:r>
                  <a:rPr lang="en-US" sz="1200" b="0">
                    <a:solidFill>
                      <a:srgbClr val="333399"/>
                    </a:solidFill>
                  </a:rPr>
                  <a:t>)</a:t>
                </a:r>
              </a:p>
            </c:rich>
          </c:tx>
          <c:layout>
            <c:manualLayout>
              <c:xMode val="edge"/>
              <c:yMode val="edge"/>
              <c:x val="0.96258611552729156"/>
              <c:y val="0.3198067949840131"/>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27013632"/>
        <c:crosses val="max"/>
        <c:crossBetween val="midCat"/>
        <c:majorUnit val="4"/>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260947644702333E-2"/>
          <c:y val="5.7060002916302532E-2"/>
          <c:w val="0.85074248494060001"/>
          <c:h val="0.77264654418197765"/>
        </c:manualLayout>
      </c:layout>
      <c:scatterChart>
        <c:scatterStyle val="smoothMarker"/>
        <c:varyColors val="0"/>
        <c:ser>
          <c:idx val="1"/>
          <c:order val="0"/>
          <c:tx>
            <c:strRef>
              <c:f>'United Kingdom'!$E$11</c:f>
              <c:strCache>
                <c:ptCount val="1"/>
                <c:pt idx="0">
                  <c:v>p Mt</c:v>
                </c:pt>
              </c:strCache>
            </c:strRef>
          </c:tx>
          <c:spPr>
            <a:ln w="15875">
              <a:solidFill>
                <a:srgbClr val="008000"/>
              </a:solidFill>
            </a:ln>
          </c:spPr>
          <c:marker>
            <c:symbol val="none"/>
          </c:marker>
          <c:xVal>
            <c:numRef>
              <c:f>'United Kingdom'!$D$13:$D$302</c:f>
              <c:numCache>
                <c:formatCode>0</c:formatCode>
                <c:ptCount val="290"/>
                <c:pt idx="0">
                  <c:v>1830</c:v>
                </c:pt>
                <c:pt idx="1">
                  <c:v>1831</c:v>
                </c:pt>
                <c:pt idx="2">
                  <c:v>1832</c:v>
                </c:pt>
                <c:pt idx="3">
                  <c:v>1833</c:v>
                </c:pt>
                <c:pt idx="4">
                  <c:v>1834</c:v>
                </c:pt>
                <c:pt idx="5">
                  <c:v>1835</c:v>
                </c:pt>
                <c:pt idx="6">
                  <c:v>1836</c:v>
                </c:pt>
                <c:pt idx="7">
                  <c:v>1837</c:v>
                </c:pt>
                <c:pt idx="8">
                  <c:v>1838</c:v>
                </c:pt>
                <c:pt idx="9">
                  <c:v>1839</c:v>
                </c:pt>
                <c:pt idx="10">
                  <c:v>1840</c:v>
                </c:pt>
                <c:pt idx="11">
                  <c:v>1841</c:v>
                </c:pt>
                <c:pt idx="12">
                  <c:v>1842</c:v>
                </c:pt>
                <c:pt idx="13">
                  <c:v>1843</c:v>
                </c:pt>
                <c:pt idx="14">
                  <c:v>1844</c:v>
                </c:pt>
                <c:pt idx="15">
                  <c:v>1845</c:v>
                </c:pt>
                <c:pt idx="16">
                  <c:v>1846</c:v>
                </c:pt>
                <c:pt idx="17">
                  <c:v>1847</c:v>
                </c:pt>
                <c:pt idx="18">
                  <c:v>1848</c:v>
                </c:pt>
                <c:pt idx="19">
                  <c:v>1849</c:v>
                </c:pt>
                <c:pt idx="20">
                  <c:v>1850</c:v>
                </c:pt>
                <c:pt idx="21">
                  <c:v>1851</c:v>
                </c:pt>
                <c:pt idx="22">
                  <c:v>1852</c:v>
                </c:pt>
                <c:pt idx="23">
                  <c:v>1853</c:v>
                </c:pt>
                <c:pt idx="24">
                  <c:v>1854</c:v>
                </c:pt>
                <c:pt idx="25">
                  <c:v>1855</c:v>
                </c:pt>
                <c:pt idx="26">
                  <c:v>1856</c:v>
                </c:pt>
                <c:pt idx="27">
                  <c:v>1857</c:v>
                </c:pt>
                <c:pt idx="28">
                  <c:v>1858</c:v>
                </c:pt>
                <c:pt idx="29">
                  <c:v>1859</c:v>
                </c:pt>
                <c:pt idx="30">
                  <c:v>1860</c:v>
                </c:pt>
                <c:pt idx="31">
                  <c:v>1861</c:v>
                </c:pt>
                <c:pt idx="32">
                  <c:v>1862</c:v>
                </c:pt>
                <c:pt idx="33">
                  <c:v>1863</c:v>
                </c:pt>
                <c:pt idx="34">
                  <c:v>1864</c:v>
                </c:pt>
                <c:pt idx="35">
                  <c:v>1865</c:v>
                </c:pt>
                <c:pt idx="36">
                  <c:v>1866</c:v>
                </c:pt>
                <c:pt idx="37">
                  <c:v>1867</c:v>
                </c:pt>
                <c:pt idx="38">
                  <c:v>1868</c:v>
                </c:pt>
                <c:pt idx="39">
                  <c:v>1869</c:v>
                </c:pt>
                <c:pt idx="40">
                  <c:v>1870</c:v>
                </c:pt>
                <c:pt idx="41">
                  <c:v>1871</c:v>
                </c:pt>
                <c:pt idx="42">
                  <c:v>1872</c:v>
                </c:pt>
                <c:pt idx="43">
                  <c:v>1873</c:v>
                </c:pt>
                <c:pt idx="44">
                  <c:v>1874</c:v>
                </c:pt>
                <c:pt idx="45">
                  <c:v>1875</c:v>
                </c:pt>
                <c:pt idx="46">
                  <c:v>1876</c:v>
                </c:pt>
                <c:pt idx="47">
                  <c:v>1877</c:v>
                </c:pt>
                <c:pt idx="48">
                  <c:v>1878</c:v>
                </c:pt>
                <c:pt idx="49">
                  <c:v>1879</c:v>
                </c:pt>
                <c:pt idx="50">
                  <c:v>1880</c:v>
                </c:pt>
                <c:pt idx="51">
                  <c:v>1881</c:v>
                </c:pt>
                <c:pt idx="52">
                  <c:v>1882</c:v>
                </c:pt>
                <c:pt idx="53">
                  <c:v>1883</c:v>
                </c:pt>
                <c:pt idx="54">
                  <c:v>1884</c:v>
                </c:pt>
                <c:pt idx="55">
                  <c:v>1885</c:v>
                </c:pt>
                <c:pt idx="56">
                  <c:v>1886</c:v>
                </c:pt>
                <c:pt idx="57">
                  <c:v>1887</c:v>
                </c:pt>
                <c:pt idx="58">
                  <c:v>1888</c:v>
                </c:pt>
                <c:pt idx="59">
                  <c:v>1889</c:v>
                </c:pt>
                <c:pt idx="60">
                  <c:v>1890</c:v>
                </c:pt>
                <c:pt idx="61">
                  <c:v>1891</c:v>
                </c:pt>
                <c:pt idx="62">
                  <c:v>1892</c:v>
                </c:pt>
                <c:pt idx="63">
                  <c:v>1893</c:v>
                </c:pt>
                <c:pt idx="64">
                  <c:v>1894</c:v>
                </c:pt>
                <c:pt idx="65">
                  <c:v>1895</c:v>
                </c:pt>
                <c:pt idx="66">
                  <c:v>1896</c:v>
                </c:pt>
                <c:pt idx="67">
                  <c:v>1897</c:v>
                </c:pt>
                <c:pt idx="68">
                  <c:v>1898</c:v>
                </c:pt>
                <c:pt idx="69">
                  <c:v>1899</c:v>
                </c:pt>
                <c:pt idx="70">
                  <c:v>1900</c:v>
                </c:pt>
                <c:pt idx="71">
                  <c:v>1901</c:v>
                </c:pt>
                <c:pt idx="72">
                  <c:v>1902</c:v>
                </c:pt>
                <c:pt idx="73">
                  <c:v>1903</c:v>
                </c:pt>
                <c:pt idx="74">
                  <c:v>1904</c:v>
                </c:pt>
                <c:pt idx="75">
                  <c:v>1905</c:v>
                </c:pt>
                <c:pt idx="76">
                  <c:v>1906</c:v>
                </c:pt>
                <c:pt idx="77">
                  <c:v>1907</c:v>
                </c:pt>
                <c:pt idx="78">
                  <c:v>1908</c:v>
                </c:pt>
                <c:pt idx="79">
                  <c:v>1909</c:v>
                </c:pt>
                <c:pt idx="80">
                  <c:v>1910</c:v>
                </c:pt>
                <c:pt idx="81">
                  <c:v>1911</c:v>
                </c:pt>
                <c:pt idx="82">
                  <c:v>1912</c:v>
                </c:pt>
                <c:pt idx="83">
                  <c:v>1913</c:v>
                </c:pt>
                <c:pt idx="84">
                  <c:v>1914</c:v>
                </c:pt>
                <c:pt idx="85">
                  <c:v>1915</c:v>
                </c:pt>
                <c:pt idx="86">
                  <c:v>1916</c:v>
                </c:pt>
                <c:pt idx="87">
                  <c:v>1917</c:v>
                </c:pt>
                <c:pt idx="88">
                  <c:v>1918</c:v>
                </c:pt>
                <c:pt idx="89">
                  <c:v>1919</c:v>
                </c:pt>
                <c:pt idx="90">
                  <c:v>1920</c:v>
                </c:pt>
                <c:pt idx="91">
                  <c:v>1921</c:v>
                </c:pt>
                <c:pt idx="92">
                  <c:v>1922</c:v>
                </c:pt>
                <c:pt idx="93">
                  <c:v>1923</c:v>
                </c:pt>
                <c:pt idx="94">
                  <c:v>1924</c:v>
                </c:pt>
                <c:pt idx="95">
                  <c:v>1925</c:v>
                </c:pt>
                <c:pt idx="96">
                  <c:v>1926</c:v>
                </c:pt>
                <c:pt idx="97">
                  <c:v>1927</c:v>
                </c:pt>
                <c:pt idx="98">
                  <c:v>1928</c:v>
                </c:pt>
                <c:pt idx="99">
                  <c:v>1929</c:v>
                </c:pt>
                <c:pt idx="100">
                  <c:v>1930</c:v>
                </c:pt>
                <c:pt idx="101">
                  <c:v>1931</c:v>
                </c:pt>
                <c:pt idx="102">
                  <c:v>1932</c:v>
                </c:pt>
                <c:pt idx="103">
                  <c:v>1933</c:v>
                </c:pt>
                <c:pt idx="104">
                  <c:v>1934</c:v>
                </c:pt>
                <c:pt idx="105">
                  <c:v>1935</c:v>
                </c:pt>
                <c:pt idx="106">
                  <c:v>1936</c:v>
                </c:pt>
                <c:pt idx="107">
                  <c:v>1937</c:v>
                </c:pt>
                <c:pt idx="108">
                  <c:v>1938</c:v>
                </c:pt>
                <c:pt idx="109">
                  <c:v>1939</c:v>
                </c:pt>
                <c:pt idx="110">
                  <c:v>1940</c:v>
                </c:pt>
                <c:pt idx="111">
                  <c:v>1941</c:v>
                </c:pt>
                <c:pt idx="112">
                  <c:v>1942</c:v>
                </c:pt>
                <c:pt idx="113">
                  <c:v>1943</c:v>
                </c:pt>
                <c:pt idx="114">
                  <c:v>1944</c:v>
                </c:pt>
                <c:pt idx="115">
                  <c:v>1945</c:v>
                </c:pt>
                <c:pt idx="116">
                  <c:v>1946</c:v>
                </c:pt>
                <c:pt idx="117">
                  <c:v>1947</c:v>
                </c:pt>
                <c:pt idx="118">
                  <c:v>1948</c:v>
                </c:pt>
                <c:pt idx="119">
                  <c:v>1949</c:v>
                </c:pt>
                <c:pt idx="120">
                  <c:v>1950</c:v>
                </c:pt>
                <c:pt idx="121">
                  <c:v>1951</c:v>
                </c:pt>
                <c:pt idx="122">
                  <c:v>1952</c:v>
                </c:pt>
                <c:pt idx="123">
                  <c:v>1953</c:v>
                </c:pt>
                <c:pt idx="124">
                  <c:v>1954</c:v>
                </c:pt>
                <c:pt idx="125">
                  <c:v>1955</c:v>
                </c:pt>
                <c:pt idx="126">
                  <c:v>1956</c:v>
                </c:pt>
                <c:pt idx="127">
                  <c:v>1957</c:v>
                </c:pt>
                <c:pt idx="128">
                  <c:v>1958</c:v>
                </c:pt>
                <c:pt idx="129">
                  <c:v>1959</c:v>
                </c:pt>
                <c:pt idx="130">
                  <c:v>1960</c:v>
                </c:pt>
                <c:pt idx="131">
                  <c:v>1961</c:v>
                </c:pt>
                <c:pt idx="132">
                  <c:v>1962</c:v>
                </c:pt>
                <c:pt idx="133">
                  <c:v>1963</c:v>
                </c:pt>
                <c:pt idx="134">
                  <c:v>1964</c:v>
                </c:pt>
                <c:pt idx="135">
                  <c:v>1965</c:v>
                </c:pt>
                <c:pt idx="136">
                  <c:v>1966</c:v>
                </c:pt>
                <c:pt idx="137">
                  <c:v>1967</c:v>
                </c:pt>
                <c:pt idx="138">
                  <c:v>1968</c:v>
                </c:pt>
                <c:pt idx="139">
                  <c:v>1969</c:v>
                </c:pt>
                <c:pt idx="140">
                  <c:v>1970</c:v>
                </c:pt>
                <c:pt idx="141">
                  <c:v>1971</c:v>
                </c:pt>
                <c:pt idx="142">
                  <c:v>1972</c:v>
                </c:pt>
                <c:pt idx="143">
                  <c:v>1973</c:v>
                </c:pt>
                <c:pt idx="144">
                  <c:v>1974</c:v>
                </c:pt>
                <c:pt idx="145">
                  <c:v>1975</c:v>
                </c:pt>
                <c:pt idx="146">
                  <c:v>1976</c:v>
                </c:pt>
                <c:pt idx="147">
                  <c:v>1977</c:v>
                </c:pt>
                <c:pt idx="148">
                  <c:v>1978</c:v>
                </c:pt>
                <c:pt idx="149">
                  <c:v>1979</c:v>
                </c:pt>
                <c:pt idx="150">
                  <c:v>1980</c:v>
                </c:pt>
                <c:pt idx="151">
                  <c:v>1981</c:v>
                </c:pt>
                <c:pt idx="152">
                  <c:v>1982</c:v>
                </c:pt>
                <c:pt idx="153">
                  <c:v>1983</c:v>
                </c:pt>
                <c:pt idx="154">
                  <c:v>1984</c:v>
                </c:pt>
                <c:pt idx="155">
                  <c:v>1985</c:v>
                </c:pt>
                <c:pt idx="156">
                  <c:v>1986</c:v>
                </c:pt>
                <c:pt idx="157">
                  <c:v>1987</c:v>
                </c:pt>
                <c:pt idx="158">
                  <c:v>1988</c:v>
                </c:pt>
                <c:pt idx="159">
                  <c:v>1989</c:v>
                </c:pt>
                <c:pt idx="160">
                  <c:v>1990</c:v>
                </c:pt>
                <c:pt idx="161">
                  <c:v>1991</c:v>
                </c:pt>
                <c:pt idx="162">
                  <c:v>1992</c:v>
                </c:pt>
                <c:pt idx="163">
                  <c:v>1993</c:v>
                </c:pt>
                <c:pt idx="164">
                  <c:v>1994</c:v>
                </c:pt>
                <c:pt idx="165">
                  <c:v>1995</c:v>
                </c:pt>
                <c:pt idx="166">
                  <c:v>1996</c:v>
                </c:pt>
                <c:pt idx="167">
                  <c:v>1997</c:v>
                </c:pt>
                <c:pt idx="168">
                  <c:v>1998</c:v>
                </c:pt>
                <c:pt idx="169">
                  <c:v>1999</c:v>
                </c:pt>
                <c:pt idx="170">
                  <c:v>2000</c:v>
                </c:pt>
                <c:pt idx="171">
                  <c:v>2001</c:v>
                </c:pt>
                <c:pt idx="172">
                  <c:v>2002</c:v>
                </c:pt>
                <c:pt idx="173">
                  <c:v>2003</c:v>
                </c:pt>
                <c:pt idx="174">
                  <c:v>2004</c:v>
                </c:pt>
                <c:pt idx="175">
                  <c:v>2005</c:v>
                </c:pt>
                <c:pt idx="176">
                  <c:v>2006</c:v>
                </c:pt>
                <c:pt idx="177">
                  <c:v>2007</c:v>
                </c:pt>
                <c:pt idx="178">
                  <c:v>2008</c:v>
                </c:pt>
                <c:pt idx="179">
                  <c:v>2009</c:v>
                </c:pt>
                <c:pt idx="180">
                  <c:v>2010</c:v>
                </c:pt>
                <c:pt idx="181">
                  <c:v>2011</c:v>
                </c:pt>
                <c:pt idx="182">
                  <c:v>2012</c:v>
                </c:pt>
                <c:pt idx="183">
                  <c:v>2013</c:v>
                </c:pt>
                <c:pt idx="184">
                  <c:v>2014</c:v>
                </c:pt>
                <c:pt idx="185">
                  <c:v>2015</c:v>
                </c:pt>
                <c:pt idx="186">
                  <c:v>2016</c:v>
                </c:pt>
                <c:pt idx="187">
                  <c:v>2017</c:v>
                </c:pt>
                <c:pt idx="188">
                  <c:v>2018</c:v>
                </c:pt>
                <c:pt idx="189">
                  <c:v>2019</c:v>
                </c:pt>
                <c:pt idx="190">
                  <c:v>2020</c:v>
                </c:pt>
                <c:pt idx="191">
                  <c:v>2021</c:v>
                </c:pt>
                <c:pt idx="192">
                  <c:v>2022</c:v>
                </c:pt>
                <c:pt idx="193">
                  <c:v>2023</c:v>
                </c:pt>
                <c:pt idx="194">
                  <c:v>2024</c:v>
                </c:pt>
                <c:pt idx="195">
                  <c:v>2025</c:v>
                </c:pt>
                <c:pt idx="196">
                  <c:v>2026</c:v>
                </c:pt>
                <c:pt idx="197">
                  <c:v>2027</c:v>
                </c:pt>
                <c:pt idx="198">
                  <c:v>2028</c:v>
                </c:pt>
                <c:pt idx="199">
                  <c:v>2029</c:v>
                </c:pt>
                <c:pt idx="200">
                  <c:v>2030</c:v>
                </c:pt>
                <c:pt idx="201">
                  <c:v>2031</c:v>
                </c:pt>
                <c:pt idx="202">
                  <c:v>2032</c:v>
                </c:pt>
                <c:pt idx="203">
                  <c:v>2033</c:v>
                </c:pt>
                <c:pt idx="204">
                  <c:v>2034</c:v>
                </c:pt>
                <c:pt idx="205">
                  <c:v>2035</c:v>
                </c:pt>
                <c:pt idx="206">
                  <c:v>2036</c:v>
                </c:pt>
                <c:pt idx="207">
                  <c:v>2037</c:v>
                </c:pt>
                <c:pt idx="208">
                  <c:v>2038</c:v>
                </c:pt>
                <c:pt idx="209">
                  <c:v>2039</c:v>
                </c:pt>
                <c:pt idx="210">
                  <c:v>2040</c:v>
                </c:pt>
                <c:pt idx="211">
                  <c:v>2041</c:v>
                </c:pt>
                <c:pt idx="212">
                  <c:v>2042</c:v>
                </c:pt>
                <c:pt idx="213">
                  <c:v>2043</c:v>
                </c:pt>
                <c:pt idx="214">
                  <c:v>2044</c:v>
                </c:pt>
                <c:pt idx="215">
                  <c:v>2045</c:v>
                </c:pt>
                <c:pt idx="216">
                  <c:v>2046</c:v>
                </c:pt>
                <c:pt idx="217">
                  <c:v>2047</c:v>
                </c:pt>
                <c:pt idx="218">
                  <c:v>2048</c:v>
                </c:pt>
                <c:pt idx="219">
                  <c:v>2049</c:v>
                </c:pt>
                <c:pt idx="220">
                  <c:v>2050</c:v>
                </c:pt>
                <c:pt idx="221">
                  <c:v>2051</c:v>
                </c:pt>
                <c:pt idx="222">
                  <c:v>2052</c:v>
                </c:pt>
                <c:pt idx="223">
                  <c:v>2053</c:v>
                </c:pt>
                <c:pt idx="224">
                  <c:v>2054</c:v>
                </c:pt>
                <c:pt idx="225">
                  <c:v>2055</c:v>
                </c:pt>
                <c:pt idx="226">
                  <c:v>2056</c:v>
                </c:pt>
                <c:pt idx="227">
                  <c:v>2057</c:v>
                </c:pt>
                <c:pt idx="228">
                  <c:v>2058</c:v>
                </c:pt>
                <c:pt idx="229">
                  <c:v>2059</c:v>
                </c:pt>
                <c:pt idx="230">
                  <c:v>2060</c:v>
                </c:pt>
                <c:pt idx="231">
                  <c:v>2061</c:v>
                </c:pt>
                <c:pt idx="232">
                  <c:v>2062</c:v>
                </c:pt>
                <c:pt idx="233">
                  <c:v>2063</c:v>
                </c:pt>
                <c:pt idx="234">
                  <c:v>2064</c:v>
                </c:pt>
                <c:pt idx="235">
                  <c:v>2065</c:v>
                </c:pt>
                <c:pt idx="236">
                  <c:v>2066</c:v>
                </c:pt>
                <c:pt idx="237">
                  <c:v>2067</c:v>
                </c:pt>
                <c:pt idx="238">
                  <c:v>2068</c:v>
                </c:pt>
                <c:pt idx="239">
                  <c:v>2069</c:v>
                </c:pt>
                <c:pt idx="240">
                  <c:v>2070</c:v>
                </c:pt>
                <c:pt idx="241">
                  <c:v>2071</c:v>
                </c:pt>
                <c:pt idx="242">
                  <c:v>2072</c:v>
                </c:pt>
                <c:pt idx="243">
                  <c:v>2073</c:v>
                </c:pt>
                <c:pt idx="244">
                  <c:v>2074</c:v>
                </c:pt>
                <c:pt idx="245">
                  <c:v>2075</c:v>
                </c:pt>
                <c:pt idx="246">
                  <c:v>2076</c:v>
                </c:pt>
                <c:pt idx="247">
                  <c:v>2077</c:v>
                </c:pt>
                <c:pt idx="248">
                  <c:v>2078</c:v>
                </c:pt>
                <c:pt idx="249">
                  <c:v>2079</c:v>
                </c:pt>
                <c:pt idx="250">
                  <c:v>2080</c:v>
                </c:pt>
                <c:pt idx="251">
                  <c:v>2081</c:v>
                </c:pt>
                <c:pt idx="252">
                  <c:v>2082</c:v>
                </c:pt>
                <c:pt idx="253">
                  <c:v>2083</c:v>
                </c:pt>
                <c:pt idx="254">
                  <c:v>2084</c:v>
                </c:pt>
                <c:pt idx="255">
                  <c:v>2085</c:v>
                </c:pt>
                <c:pt idx="256">
                  <c:v>2086</c:v>
                </c:pt>
                <c:pt idx="257">
                  <c:v>2087</c:v>
                </c:pt>
                <c:pt idx="258">
                  <c:v>2088</c:v>
                </c:pt>
                <c:pt idx="259">
                  <c:v>2089</c:v>
                </c:pt>
                <c:pt idx="260">
                  <c:v>2090</c:v>
                </c:pt>
                <c:pt idx="261">
                  <c:v>2091</c:v>
                </c:pt>
                <c:pt idx="262">
                  <c:v>2092</c:v>
                </c:pt>
                <c:pt idx="263">
                  <c:v>2093</c:v>
                </c:pt>
                <c:pt idx="264">
                  <c:v>2094</c:v>
                </c:pt>
                <c:pt idx="265">
                  <c:v>2095</c:v>
                </c:pt>
                <c:pt idx="266">
                  <c:v>2096</c:v>
                </c:pt>
                <c:pt idx="267">
                  <c:v>2097</c:v>
                </c:pt>
                <c:pt idx="268">
                  <c:v>2098</c:v>
                </c:pt>
                <c:pt idx="269">
                  <c:v>2099</c:v>
                </c:pt>
                <c:pt idx="270">
                  <c:v>2100</c:v>
                </c:pt>
                <c:pt idx="271">
                  <c:v>2101</c:v>
                </c:pt>
                <c:pt idx="272">
                  <c:v>2102</c:v>
                </c:pt>
                <c:pt idx="273">
                  <c:v>2103</c:v>
                </c:pt>
                <c:pt idx="274">
                  <c:v>2104</c:v>
                </c:pt>
                <c:pt idx="275">
                  <c:v>2105</c:v>
                </c:pt>
                <c:pt idx="276">
                  <c:v>2106</c:v>
                </c:pt>
                <c:pt idx="277">
                  <c:v>2107</c:v>
                </c:pt>
                <c:pt idx="278">
                  <c:v>2108</c:v>
                </c:pt>
                <c:pt idx="279">
                  <c:v>2109</c:v>
                </c:pt>
                <c:pt idx="280">
                  <c:v>2110</c:v>
                </c:pt>
                <c:pt idx="281">
                  <c:v>2111</c:v>
                </c:pt>
                <c:pt idx="282">
                  <c:v>2112</c:v>
                </c:pt>
                <c:pt idx="283">
                  <c:v>2113</c:v>
                </c:pt>
                <c:pt idx="284">
                  <c:v>2114</c:v>
                </c:pt>
                <c:pt idx="285">
                  <c:v>2115</c:v>
                </c:pt>
                <c:pt idx="286">
                  <c:v>2116</c:v>
                </c:pt>
                <c:pt idx="287">
                  <c:v>2117</c:v>
                </c:pt>
                <c:pt idx="288">
                  <c:v>2118</c:v>
                </c:pt>
                <c:pt idx="289">
                  <c:v>2119</c:v>
                </c:pt>
              </c:numCache>
            </c:numRef>
          </c:xVal>
          <c:yVal>
            <c:numRef>
              <c:f>'United Kingdom'!$E$13:$E$302</c:f>
              <c:numCache>
                <c:formatCode>0.0</c:formatCode>
                <c:ptCount val="290"/>
                <c:pt idx="0">
                  <c:v>30.5</c:v>
                </c:pt>
                <c:pt idx="1">
                  <c:v>31.5</c:v>
                </c:pt>
                <c:pt idx="2">
                  <c:v>32.1</c:v>
                </c:pt>
                <c:pt idx="3">
                  <c:v>32.9</c:v>
                </c:pt>
                <c:pt idx="4">
                  <c:v>33.799999999999997</c:v>
                </c:pt>
                <c:pt idx="5">
                  <c:v>35.200000000000003</c:v>
                </c:pt>
                <c:pt idx="6">
                  <c:v>36.4</c:v>
                </c:pt>
                <c:pt idx="7">
                  <c:v>37.799999999999997</c:v>
                </c:pt>
                <c:pt idx="8">
                  <c:v>39.299999999999997</c:v>
                </c:pt>
                <c:pt idx="9">
                  <c:v>40.799999999999997</c:v>
                </c:pt>
                <c:pt idx="10">
                  <c:v>42.6</c:v>
                </c:pt>
                <c:pt idx="11">
                  <c:v>43.8</c:v>
                </c:pt>
                <c:pt idx="12">
                  <c:v>44.2</c:v>
                </c:pt>
                <c:pt idx="13">
                  <c:v>46</c:v>
                </c:pt>
                <c:pt idx="14">
                  <c:v>47.6</c:v>
                </c:pt>
                <c:pt idx="15">
                  <c:v>51.1</c:v>
                </c:pt>
                <c:pt idx="16">
                  <c:v>53.1</c:v>
                </c:pt>
                <c:pt idx="17">
                  <c:v>54</c:v>
                </c:pt>
                <c:pt idx="18">
                  <c:v>56.6</c:v>
                </c:pt>
                <c:pt idx="19">
                  <c:v>59.3</c:v>
                </c:pt>
                <c:pt idx="20">
                  <c:v>62.5</c:v>
                </c:pt>
                <c:pt idx="21">
                  <c:v>65.2</c:v>
                </c:pt>
                <c:pt idx="22">
                  <c:v>68.3</c:v>
                </c:pt>
                <c:pt idx="23">
                  <c:v>71.2</c:v>
                </c:pt>
                <c:pt idx="24">
                  <c:v>75.099999999999994</c:v>
                </c:pt>
                <c:pt idx="25">
                  <c:v>76.400000000000006</c:v>
                </c:pt>
                <c:pt idx="26">
                  <c:v>79</c:v>
                </c:pt>
                <c:pt idx="27">
                  <c:v>81.900000000000006</c:v>
                </c:pt>
                <c:pt idx="28">
                  <c:v>80.3</c:v>
                </c:pt>
                <c:pt idx="29">
                  <c:v>82.8</c:v>
                </c:pt>
                <c:pt idx="30">
                  <c:v>87.9</c:v>
                </c:pt>
                <c:pt idx="31">
                  <c:v>89.2</c:v>
                </c:pt>
                <c:pt idx="32">
                  <c:v>91.1</c:v>
                </c:pt>
                <c:pt idx="33">
                  <c:v>95.7</c:v>
                </c:pt>
                <c:pt idx="34">
                  <c:v>99.1</c:v>
                </c:pt>
                <c:pt idx="35">
                  <c:v>102</c:v>
                </c:pt>
                <c:pt idx="36">
                  <c:v>105</c:v>
                </c:pt>
                <c:pt idx="37">
                  <c:v>106</c:v>
                </c:pt>
                <c:pt idx="38">
                  <c:v>108</c:v>
                </c:pt>
                <c:pt idx="39">
                  <c:v>111</c:v>
                </c:pt>
                <c:pt idx="40">
                  <c:v>115</c:v>
                </c:pt>
                <c:pt idx="41">
                  <c:v>121</c:v>
                </c:pt>
                <c:pt idx="42">
                  <c:v>125</c:v>
                </c:pt>
                <c:pt idx="43">
                  <c:v>130</c:v>
                </c:pt>
                <c:pt idx="44">
                  <c:v>129</c:v>
                </c:pt>
                <c:pt idx="45">
                  <c:v>135</c:v>
                </c:pt>
                <c:pt idx="46">
                  <c:v>136</c:v>
                </c:pt>
                <c:pt idx="47">
                  <c:v>136</c:v>
                </c:pt>
                <c:pt idx="48">
                  <c:v>135</c:v>
                </c:pt>
                <c:pt idx="49">
                  <c:v>136</c:v>
                </c:pt>
                <c:pt idx="50">
                  <c:v>149</c:v>
                </c:pt>
                <c:pt idx="51">
                  <c:v>157</c:v>
                </c:pt>
                <c:pt idx="52">
                  <c:v>159</c:v>
                </c:pt>
                <c:pt idx="53">
                  <c:v>166</c:v>
                </c:pt>
                <c:pt idx="54">
                  <c:v>163</c:v>
                </c:pt>
                <c:pt idx="55">
                  <c:v>162</c:v>
                </c:pt>
                <c:pt idx="56">
                  <c:v>160</c:v>
                </c:pt>
                <c:pt idx="57">
                  <c:v>165</c:v>
                </c:pt>
                <c:pt idx="58">
                  <c:v>173</c:v>
                </c:pt>
                <c:pt idx="59">
                  <c:v>180</c:v>
                </c:pt>
                <c:pt idx="60">
                  <c:v>185</c:v>
                </c:pt>
                <c:pt idx="61">
                  <c:v>188</c:v>
                </c:pt>
                <c:pt idx="62">
                  <c:v>185</c:v>
                </c:pt>
                <c:pt idx="63">
                  <c:v>167</c:v>
                </c:pt>
                <c:pt idx="64">
                  <c:v>191</c:v>
                </c:pt>
                <c:pt idx="65">
                  <c:v>193</c:v>
                </c:pt>
                <c:pt idx="66">
                  <c:v>198</c:v>
                </c:pt>
                <c:pt idx="67">
                  <c:v>205</c:v>
                </c:pt>
                <c:pt idx="68">
                  <c:v>205</c:v>
                </c:pt>
                <c:pt idx="69">
                  <c:v>224</c:v>
                </c:pt>
                <c:pt idx="70">
                  <c:v>229</c:v>
                </c:pt>
                <c:pt idx="71">
                  <c:v>223</c:v>
                </c:pt>
                <c:pt idx="72">
                  <c:v>231</c:v>
                </c:pt>
                <c:pt idx="73">
                  <c:v>234</c:v>
                </c:pt>
                <c:pt idx="74">
                  <c:v>236</c:v>
                </c:pt>
                <c:pt idx="75">
                  <c:v>240</c:v>
                </c:pt>
                <c:pt idx="76">
                  <c:v>255</c:v>
                </c:pt>
                <c:pt idx="77">
                  <c:v>272</c:v>
                </c:pt>
                <c:pt idx="78">
                  <c:v>266</c:v>
                </c:pt>
                <c:pt idx="79">
                  <c:v>268</c:v>
                </c:pt>
                <c:pt idx="80">
                  <c:v>269</c:v>
                </c:pt>
                <c:pt idx="81">
                  <c:v>276</c:v>
                </c:pt>
                <c:pt idx="82">
                  <c:v>265</c:v>
                </c:pt>
                <c:pt idx="83">
                  <c:v>292</c:v>
                </c:pt>
                <c:pt idx="84">
                  <c:v>270</c:v>
                </c:pt>
                <c:pt idx="85">
                  <c:v>257</c:v>
                </c:pt>
                <c:pt idx="86">
                  <c:v>260</c:v>
                </c:pt>
                <c:pt idx="87">
                  <c:v>252</c:v>
                </c:pt>
                <c:pt idx="88">
                  <c:v>231</c:v>
                </c:pt>
                <c:pt idx="89">
                  <c:v>233</c:v>
                </c:pt>
                <c:pt idx="90">
                  <c:v>233</c:v>
                </c:pt>
                <c:pt idx="91">
                  <c:v>166</c:v>
                </c:pt>
                <c:pt idx="92">
                  <c:v>254</c:v>
                </c:pt>
                <c:pt idx="93">
                  <c:v>280</c:v>
                </c:pt>
                <c:pt idx="94">
                  <c:v>271</c:v>
                </c:pt>
                <c:pt idx="95">
                  <c:v>247</c:v>
                </c:pt>
                <c:pt idx="96">
                  <c:v>128</c:v>
                </c:pt>
                <c:pt idx="97">
                  <c:v>255</c:v>
                </c:pt>
                <c:pt idx="98">
                  <c:v>241</c:v>
                </c:pt>
                <c:pt idx="99">
                  <c:v>262</c:v>
                </c:pt>
                <c:pt idx="100">
                  <c:v>248</c:v>
                </c:pt>
                <c:pt idx="101">
                  <c:v>223</c:v>
                </c:pt>
                <c:pt idx="102">
                  <c:v>212</c:v>
                </c:pt>
                <c:pt idx="103">
                  <c:v>210</c:v>
                </c:pt>
                <c:pt idx="104">
                  <c:v>224</c:v>
                </c:pt>
                <c:pt idx="105">
                  <c:v>226</c:v>
                </c:pt>
                <c:pt idx="106">
                  <c:v>232</c:v>
                </c:pt>
                <c:pt idx="107">
                  <c:v>244</c:v>
                </c:pt>
                <c:pt idx="108">
                  <c:v>231</c:v>
                </c:pt>
                <c:pt idx="109">
                  <c:v>235</c:v>
                </c:pt>
                <c:pt idx="110">
                  <c:v>228</c:v>
                </c:pt>
                <c:pt idx="111">
                  <c:v>210</c:v>
                </c:pt>
                <c:pt idx="112">
                  <c:v>208</c:v>
                </c:pt>
                <c:pt idx="113">
                  <c:v>202</c:v>
                </c:pt>
                <c:pt idx="114">
                  <c:v>196</c:v>
                </c:pt>
                <c:pt idx="115">
                  <c:v>186</c:v>
                </c:pt>
                <c:pt idx="116">
                  <c:v>193</c:v>
                </c:pt>
                <c:pt idx="117">
                  <c:v>200</c:v>
                </c:pt>
                <c:pt idx="118">
                  <c:v>211</c:v>
                </c:pt>
                <c:pt idx="119">
                  <c:v>219</c:v>
                </c:pt>
                <c:pt idx="120">
                  <c:v>220</c:v>
                </c:pt>
                <c:pt idx="121">
                  <c:v>226</c:v>
                </c:pt>
                <c:pt idx="122">
                  <c:v>228</c:v>
                </c:pt>
                <c:pt idx="123">
                  <c:v>227</c:v>
                </c:pt>
                <c:pt idx="124">
                  <c:v>227</c:v>
                </c:pt>
                <c:pt idx="125">
                  <c:v>225</c:v>
                </c:pt>
                <c:pt idx="126">
                  <c:v>226</c:v>
                </c:pt>
                <c:pt idx="127">
                  <c:v>227</c:v>
                </c:pt>
                <c:pt idx="128">
                  <c:v>219</c:v>
                </c:pt>
                <c:pt idx="129">
                  <c:v>209</c:v>
                </c:pt>
                <c:pt idx="130">
                  <c:v>197</c:v>
                </c:pt>
                <c:pt idx="131">
                  <c:v>194</c:v>
                </c:pt>
                <c:pt idx="132">
                  <c:v>201</c:v>
                </c:pt>
                <c:pt idx="133">
                  <c:v>199</c:v>
                </c:pt>
                <c:pt idx="134">
                  <c:v>198</c:v>
                </c:pt>
                <c:pt idx="135">
                  <c:v>192</c:v>
                </c:pt>
                <c:pt idx="136">
                  <c:v>179</c:v>
                </c:pt>
                <c:pt idx="137">
                  <c:v>178</c:v>
                </c:pt>
                <c:pt idx="138">
                  <c:v>170</c:v>
                </c:pt>
                <c:pt idx="139">
                  <c:v>156</c:v>
                </c:pt>
                <c:pt idx="140">
                  <c:v>147</c:v>
                </c:pt>
                <c:pt idx="141">
                  <c:v>149</c:v>
                </c:pt>
                <c:pt idx="142">
                  <c:v>122</c:v>
                </c:pt>
                <c:pt idx="143">
                  <c:v>132</c:v>
                </c:pt>
                <c:pt idx="144">
                  <c:v>110</c:v>
                </c:pt>
                <c:pt idx="145">
                  <c:v>129</c:v>
                </c:pt>
                <c:pt idx="146">
                  <c:v>124</c:v>
                </c:pt>
                <c:pt idx="147">
                  <c:v>122</c:v>
                </c:pt>
                <c:pt idx="148">
                  <c:v>122</c:v>
                </c:pt>
                <c:pt idx="149">
                  <c:v>121</c:v>
                </c:pt>
                <c:pt idx="150">
                  <c:v>130</c:v>
                </c:pt>
                <c:pt idx="151">
                  <c:v>127.47</c:v>
                </c:pt>
                <c:pt idx="152">
                  <c:v>124.71</c:v>
                </c:pt>
                <c:pt idx="153">
                  <c:v>119.25</c:v>
                </c:pt>
                <c:pt idx="154">
                  <c:v>51.18</c:v>
                </c:pt>
                <c:pt idx="155">
                  <c:v>94.11</c:v>
                </c:pt>
                <c:pt idx="156">
                  <c:v>108.1</c:v>
                </c:pt>
                <c:pt idx="157">
                  <c:v>104.53</c:v>
                </c:pt>
                <c:pt idx="158">
                  <c:v>104.07</c:v>
                </c:pt>
                <c:pt idx="159">
                  <c:v>99.82</c:v>
                </c:pt>
                <c:pt idx="160">
                  <c:v>92.76</c:v>
                </c:pt>
                <c:pt idx="161">
                  <c:v>94.2</c:v>
                </c:pt>
                <c:pt idx="162">
                  <c:v>84.49</c:v>
                </c:pt>
                <c:pt idx="163">
                  <c:v>68.2</c:v>
                </c:pt>
                <c:pt idx="164">
                  <c:v>48.97</c:v>
                </c:pt>
                <c:pt idx="165">
                  <c:v>53.04</c:v>
                </c:pt>
                <c:pt idx="166">
                  <c:v>50.2</c:v>
                </c:pt>
                <c:pt idx="167">
                  <c:v>48.5</c:v>
                </c:pt>
                <c:pt idx="168">
                  <c:v>41.178000000000004</c:v>
                </c:pt>
                <c:pt idx="169">
                  <c:v>37.076999999999998</c:v>
                </c:pt>
                <c:pt idx="170">
                  <c:v>31.197782666666601</c:v>
                </c:pt>
                <c:pt idx="171">
                  <c:v>31.930256000000004</c:v>
                </c:pt>
                <c:pt idx="172">
                  <c:v>29.989155</c:v>
                </c:pt>
                <c:pt idx="173">
                  <c:v>28.278728999999998</c:v>
                </c:pt>
                <c:pt idx="174">
                  <c:v>25.096057000000002</c:v>
                </c:pt>
                <c:pt idx="175">
                  <c:v>20.498293</c:v>
                </c:pt>
                <c:pt idx="176">
                  <c:v>18.517161999999999</c:v>
                </c:pt>
                <c:pt idx="177">
                  <c:v>17.007327</c:v>
                </c:pt>
                <c:pt idx="178" formatCode="#,##0.0\ ;\-#,##0.0\ ;&quot;-&quot;\ ">
                  <c:v>18.053242571428601</c:v>
                </c:pt>
                <c:pt idx="179" formatCode="#,##0.0\ ;\-#,##0.0\ ;&quot;-&quot;\ ">
                  <c:v>17.873633820922901</c:v>
                </c:pt>
              </c:numCache>
            </c:numRef>
          </c:yVal>
          <c:smooth val="1"/>
          <c:extLst>
            <c:ext xmlns:c16="http://schemas.microsoft.com/office/drawing/2014/chart" uri="{C3380CC4-5D6E-409C-BE32-E72D297353CC}">
              <c16:uniqueId val="{00000000-D84B-FD4A-833E-6DBE212F093B}"/>
            </c:ext>
          </c:extLst>
        </c:ser>
        <c:dLbls>
          <c:showLegendKey val="0"/>
          <c:showVal val="0"/>
          <c:showCatName val="0"/>
          <c:showSerName val="0"/>
          <c:showPercent val="0"/>
          <c:showBubbleSize val="0"/>
        </c:dLbls>
        <c:axId val="126988288"/>
        <c:axId val="126989824"/>
      </c:scatterChart>
      <c:valAx>
        <c:axId val="126988288"/>
        <c:scaling>
          <c:orientation val="minMax"/>
          <c:max val="2020"/>
          <c:min val="1820"/>
        </c:scaling>
        <c:delete val="0"/>
        <c:axPos val="b"/>
        <c:numFmt formatCode="0"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26989824"/>
        <c:crosses val="autoZero"/>
        <c:crossBetween val="midCat"/>
        <c:majorUnit val="50"/>
        <c:minorUnit val="10"/>
      </c:valAx>
      <c:valAx>
        <c:axId val="126989824"/>
        <c:scaling>
          <c:orientation val="minMax"/>
          <c:max val="30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24667729930888"/>
              <c:y val="0.18400809273842275"/>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26988288"/>
        <c:crosses val="max"/>
        <c:crossBetween val="midCat"/>
        <c:majorUnit val="100"/>
        <c:minorUnit val="5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260947644702333E-2"/>
          <c:y val="5.7060002916302532E-2"/>
          <c:w val="0.85074248494060001"/>
          <c:h val="0.77264654418197765"/>
        </c:manualLayout>
      </c:layout>
      <c:scatterChart>
        <c:scatterStyle val="smoothMarker"/>
        <c:varyColors val="0"/>
        <c:ser>
          <c:idx val="1"/>
          <c:order val="0"/>
          <c:tx>
            <c:strRef>
              <c:f>'United Kingdom'!$H$11</c:f>
              <c:strCache>
                <c:ptCount val="1"/>
                <c:pt idx="0">
                  <c:v>Q historical</c:v>
                </c:pt>
              </c:strCache>
            </c:strRef>
          </c:tx>
          <c:spPr>
            <a:ln w="15875">
              <a:solidFill>
                <a:srgbClr val="333399"/>
              </a:solidFill>
            </a:ln>
          </c:spPr>
          <c:marker>
            <c:symbol val="none"/>
          </c:marker>
          <c:xVal>
            <c:numRef>
              <c:f>'United Kingdom'!$D$83:$D$297</c:f>
              <c:numCache>
                <c:formatCode>0</c:formatCode>
                <c:ptCount val="215"/>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pt idx="13">
                  <c:v>1913</c:v>
                </c:pt>
                <c:pt idx="14">
                  <c:v>1914</c:v>
                </c:pt>
                <c:pt idx="15">
                  <c:v>1915</c:v>
                </c:pt>
                <c:pt idx="16">
                  <c:v>1916</c:v>
                </c:pt>
                <c:pt idx="17">
                  <c:v>1917</c:v>
                </c:pt>
                <c:pt idx="18">
                  <c:v>1918</c:v>
                </c:pt>
                <c:pt idx="19">
                  <c:v>1919</c:v>
                </c:pt>
                <c:pt idx="20">
                  <c:v>1920</c:v>
                </c:pt>
                <c:pt idx="21">
                  <c:v>1921</c:v>
                </c:pt>
                <c:pt idx="22">
                  <c:v>1922</c:v>
                </c:pt>
                <c:pt idx="23">
                  <c:v>1923</c:v>
                </c:pt>
                <c:pt idx="24">
                  <c:v>1924</c:v>
                </c:pt>
                <c:pt idx="25">
                  <c:v>1925</c:v>
                </c:pt>
                <c:pt idx="26">
                  <c:v>1926</c:v>
                </c:pt>
                <c:pt idx="27">
                  <c:v>1927</c:v>
                </c:pt>
                <c:pt idx="28">
                  <c:v>1928</c:v>
                </c:pt>
                <c:pt idx="29">
                  <c:v>1929</c:v>
                </c:pt>
                <c:pt idx="30">
                  <c:v>1930</c:v>
                </c:pt>
                <c:pt idx="31">
                  <c:v>1931</c:v>
                </c:pt>
                <c:pt idx="32">
                  <c:v>1932</c:v>
                </c:pt>
                <c:pt idx="33">
                  <c:v>1933</c:v>
                </c:pt>
                <c:pt idx="34">
                  <c:v>1934</c:v>
                </c:pt>
                <c:pt idx="35">
                  <c:v>1935</c:v>
                </c:pt>
                <c:pt idx="36">
                  <c:v>1936</c:v>
                </c:pt>
                <c:pt idx="37">
                  <c:v>1937</c:v>
                </c:pt>
                <c:pt idx="38">
                  <c:v>1938</c:v>
                </c:pt>
                <c:pt idx="39">
                  <c:v>1939</c:v>
                </c:pt>
                <c:pt idx="40">
                  <c:v>1940</c:v>
                </c:pt>
                <c:pt idx="41">
                  <c:v>1941</c:v>
                </c:pt>
                <c:pt idx="42">
                  <c:v>1942</c:v>
                </c:pt>
                <c:pt idx="43">
                  <c:v>1943</c:v>
                </c:pt>
                <c:pt idx="44">
                  <c:v>1944</c:v>
                </c:pt>
                <c:pt idx="45">
                  <c:v>1945</c:v>
                </c:pt>
                <c:pt idx="46">
                  <c:v>1946</c:v>
                </c:pt>
                <c:pt idx="47">
                  <c:v>1947</c:v>
                </c:pt>
                <c:pt idx="48">
                  <c:v>1948</c:v>
                </c:pt>
                <c:pt idx="49">
                  <c:v>1949</c:v>
                </c:pt>
                <c:pt idx="50">
                  <c:v>1950</c:v>
                </c:pt>
                <c:pt idx="51">
                  <c:v>1951</c:v>
                </c:pt>
                <c:pt idx="52">
                  <c:v>1952</c:v>
                </c:pt>
                <c:pt idx="53">
                  <c:v>1953</c:v>
                </c:pt>
                <c:pt idx="54">
                  <c:v>1954</c:v>
                </c:pt>
                <c:pt idx="55">
                  <c:v>1955</c:v>
                </c:pt>
                <c:pt idx="56">
                  <c:v>1956</c:v>
                </c:pt>
                <c:pt idx="57">
                  <c:v>1957</c:v>
                </c:pt>
                <c:pt idx="58">
                  <c:v>1958</c:v>
                </c:pt>
                <c:pt idx="59">
                  <c:v>1959</c:v>
                </c:pt>
                <c:pt idx="60">
                  <c:v>1960</c:v>
                </c:pt>
                <c:pt idx="61">
                  <c:v>1961</c:v>
                </c:pt>
                <c:pt idx="62">
                  <c:v>1962</c:v>
                </c:pt>
                <c:pt idx="63">
                  <c:v>1963</c:v>
                </c:pt>
                <c:pt idx="64">
                  <c:v>1964</c:v>
                </c:pt>
                <c:pt idx="65">
                  <c:v>1965</c:v>
                </c:pt>
                <c:pt idx="66">
                  <c:v>1966</c:v>
                </c:pt>
                <c:pt idx="67">
                  <c:v>1967</c:v>
                </c:pt>
                <c:pt idx="68">
                  <c:v>1968</c:v>
                </c:pt>
                <c:pt idx="69">
                  <c:v>1969</c:v>
                </c:pt>
                <c:pt idx="70">
                  <c:v>1970</c:v>
                </c:pt>
                <c:pt idx="71">
                  <c:v>1971</c:v>
                </c:pt>
                <c:pt idx="72">
                  <c:v>1972</c:v>
                </c:pt>
                <c:pt idx="73">
                  <c:v>1973</c:v>
                </c:pt>
                <c:pt idx="74">
                  <c:v>1974</c:v>
                </c:pt>
                <c:pt idx="75">
                  <c:v>1975</c:v>
                </c:pt>
                <c:pt idx="76">
                  <c:v>1976</c:v>
                </c:pt>
                <c:pt idx="77">
                  <c:v>1977</c:v>
                </c:pt>
                <c:pt idx="78">
                  <c:v>1978</c:v>
                </c:pt>
                <c:pt idx="79">
                  <c:v>1979</c:v>
                </c:pt>
                <c:pt idx="80">
                  <c:v>1980</c:v>
                </c:pt>
                <c:pt idx="81">
                  <c:v>1981</c:v>
                </c:pt>
                <c:pt idx="82">
                  <c:v>1982</c:v>
                </c:pt>
                <c:pt idx="83">
                  <c:v>1983</c:v>
                </c:pt>
                <c:pt idx="84">
                  <c:v>1984</c:v>
                </c:pt>
                <c:pt idx="85">
                  <c:v>1985</c:v>
                </c:pt>
                <c:pt idx="86">
                  <c:v>1986</c:v>
                </c:pt>
                <c:pt idx="87">
                  <c:v>1987</c:v>
                </c:pt>
                <c:pt idx="88">
                  <c:v>1988</c:v>
                </c:pt>
                <c:pt idx="89">
                  <c:v>1989</c:v>
                </c:pt>
                <c:pt idx="90">
                  <c:v>1990</c:v>
                </c:pt>
                <c:pt idx="91">
                  <c:v>1991</c:v>
                </c:pt>
                <c:pt idx="92">
                  <c:v>1992</c:v>
                </c:pt>
                <c:pt idx="93">
                  <c:v>1993</c:v>
                </c:pt>
                <c:pt idx="94">
                  <c:v>1994</c:v>
                </c:pt>
                <c:pt idx="95">
                  <c:v>1995</c:v>
                </c:pt>
                <c:pt idx="96">
                  <c:v>1996</c:v>
                </c:pt>
                <c:pt idx="97">
                  <c:v>1997</c:v>
                </c:pt>
                <c:pt idx="98">
                  <c:v>1998</c:v>
                </c:pt>
                <c:pt idx="99">
                  <c:v>1999</c:v>
                </c:pt>
                <c:pt idx="100">
                  <c:v>2000</c:v>
                </c:pt>
                <c:pt idx="101">
                  <c:v>2001</c:v>
                </c:pt>
                <c:pt idx="102">
                  <c:v>2002</c:v>
                </c:pt>
                <c:pt idx="103">
                  <c:v>2003</c:v>
                </c:pt>
                <c:pt idx="104">
                  <c:v>2004</c:v>
                </c:pt>
                <c:pt idx="105">
                  <c:v>2005</c:v>
                </c:pt>
                <c:pt idx="106">
                  <c:v>2006</c:v>
                </c:pt>
                <c:pt idx="107">
                  <c:v>2007</c:v>
                </c:pt>
                <c:pt idx="108">
                  <c:v>2008</c:v>
                </c:pt>
                <c:pt idx="109">
                  <c:v>2009</c:v>
                </c:pt>
                <c:pt idx="110">
                  <c:v>2010</c:v>
                </c:pt>
                <c:pt idx="111">
                  <c:v>2011</c:v>
                </c:pt>
                <c:pt idx="112">
                  <c:v>2012</c:v>
                </c:pt>
                <c:pt idx="113">
                  <c:v>2013</c:v>
                </c:pt>
                <c:pt idx="114">
                  <c:v>2014</c:v>
                </c:pt>
                <c:pt idx="115">
                  <c:v>2015</c:v>
                </c:pt>
                <c:pt idx="116">
                  <c:v>2016</c:v>
                </c:pt>
                <c:pt idx="117">
                  <c:v>2017</c:v>
                </c:pt>
                <c:pt idx="118">
                  <c:v>2018</c:v>
                </c:pt>
                <c:pt idx="119">
                  <c:v>2019</c:v>
                </c:pt>
                <c:pt idx="120">
                  <c:v>2020</c:v>
                </c:pt>
                <c:pt idx="121">
                  <c:v>2021</c:v>
                </c:pt>
                <c:pt idx="122">
                  <c:v>2022</c:v>
                </c:pt>
                <c:pt idx="123">
                  <c:v>2023</c:v>
                </c:pt>
                <c:pt idx="124">
                  <c:v>2024</c:v>
                </c:pt>
                <c:pt idx="125">
                  <c:v>2025</c:v>
                </c:pt>
                <c:pt idx="126">
                  <c:v>2026</c:v>
                </c:pt>
                <c:pt idx="127">
                  <c:v>2027</c:v>
                </c:pt>
                <c:pt idx="128">
                  <c:v>2028</c:v>
                </c:pt>
                <c:pt idx="129">
                  <c:v>2029</c:v>
                </c:pt>
                <c:pt idx="130">
                  <c:v>2030</c:v>
                </c:pt>
                <c:pt idx="131">
                  <c:v>2031</c:v>
                </c:pt>
                <c:pt idx="132">
                  <c:v>2032</c:v>
                </c:pt>
                <c:pt idx="133">
                  <c:v>2033</c:v>
                </c:pt>
                <c:pt idx="134">
                  <c:v>2034</c:v>
                </c:pt>
                <c:pt idx="135">
                  <c:v>2035</c:v>
                </c:pt>
                <c:pt idx="136">
                  <c:v>2036</c:v>
                </c:pt>
                <c:pt idx="137">
                  <c:v>2037</c:v>
                </c:pt>
                <c:pt idx="138">
                  <c:v>2038</c:v>
                </c:pt>
                <c:pt idx="139">
                  <c:v>2039</c:v>
                </c:pt>
                <c:pt idx="140">
                  <c:v>2040</c:v>
                </c:pt>
                <c:pt idx="141">
                  <c:v>2041</c:v>
                </c:pt>
                <c:pt idx="142">
                  <c:v>2042</c:v>
                </c:pt>
                <c:pt idx="143">
                  <c:v>2043</c:v>
                </c:pt>
                <c:pt idx="144">
                  <c:v>2044</c:v>
                </c:pt>
                <c:pt idx="145">
                  <c:v>2045</c:v>
                </c:pt>
                <c:pt idx="146">
                  <c:v>2046</c:v>
                </c:pt>
                <c:pt idx="147">
                  <c:v>2047</c:v>
                </c:pt>
                <c:pt idx="148">
                  <c:v>2048</c:v>
                </c:pt>
                <c:pt idx="149">
                  <c:v>2049</c:v>
                </c:pt>
                <c:pt idx="150">
                  <c:v>2050</c:v>
                </c:pt>
                <c:pt idx="151">
                  <c:v>2051</c:v>
                </c:pt>
                <c:pt idx="152">
                  <c:v>2052</c:v>
                </c:pt>
                <c:pt idx="153">
                  <c:v>2053</c:v>
                </c:pt>
                <c:pt idx="154">
                  <c:v>2054</c:v>
                </c:pt>
                <c:pt idx="155">
                  <c:v>2055</c:v>
                </c:pt>
                <c:pt idx="156">
                  <c:v>2056</c:v>
                </c:pt>
                <c:pt idx="157">
                  <c:v>2057</c:v>
                </c:pt>
                <c:pt idx="158">
                  <c:v>2058</c:v>
                </c:pt>
                <c:pt idx="159">
                  <c:v>2059</c:v>
                </c:pt>
                <c:pt idx="160">
                  <c:v>2060</c:v>
                </c:pt>
                <c:pt idx="161">
                  <c:v>2061</c:v>
                </c:pt>
                <c:pt idx="162">
                  <c:v>2062</c:v>
                </c:pt>
                <c:pt idx="163">
                  <c:v>2063</c:v>
                </c:pt>
                <c:pt idx="164">
                  <c:v>2064</c:v>
                </c:pt>
                <c:pt idx="165">
                  <c:v>2065</c:v>
                </c:pt>
                <c:pt idx="166">
                  <c:v>2066</c:v>
                </c:pt>
                <c:pt idx="167">
                  <c:v>2067</c:v>
                </c:pt>
                <c:pt idx="168">
                  <c:v>2068</c:v>
                </c:pt>
                <c:pt idx="169">
                  <c:v>2069</c:v>
                </c:pt>
                <c:pt idx="170">
                  <c:v>2070</c:v>
                </c:pt>
                <c:pt idx="171">
                  <c:v>2071</c:v>
                </c:pt>
                <c:pt idx="172">
                  <c:v>2072</c:v>
                </c:pt>
                <c:pt idx="173">
                  <c:v>2073</c:v>
                </c:pt>
                <c:pt idx="174">
                  <c:v>2074</c:v>
                </c:pt>
                <c:pt idx="175">
                  <c:v>2075</c:v>
                </c:pt>
                <c:pt idx="176">
                  <c:v>2076</c:v>
                </c:pt>
                <c:pt idx="177">
                  <c:v>2077</c:v>
                </c:pt>
                <c:pt idx="178">
                  <c:v>2078</c:v>
                </c:pt>
                <c:pt idx="179">
                  <c:v>2079</c:v>
                </c:pt>
                <c:pt idx="180">
                  <c:v>2080</c:v>
                </c:pt>
                <c:pt idx="181">
                  <c:v>2081</c:v>
                </c:pt>
                <c:pt idx="182">
                  <c:v>2082</c:v>
                </c:pt>
                <c:pt idx="183">
                  <c:v>2083</c:v>
                </c:pt>
                <c:pt idx="184">
                  <c:v>2084</c:v>
                </c:pt>
                <c:pt idx="185">
                  <c:v>2085</c:v>
                </c:pt>
                <c:pt idx="186">
                  <c:v>2086</c:v>
                </c:pt>
                <c:pt idx="187">
                  <c:v>2087</c:v>
                </c:pt>
                <c:pt idx="188">
                  <c:v>2088</c:v>
                </c:pt>
                <c:pt idx="189">
                  <c:v>2089</c:v>
                </c:pt>
                <c:pt idx="190">
                  <c:v>2090</c:v>
                </c:pt>
                <c:pt idx="191">
                  <c:v>2091</c:v>
                </c:pt>
                <c:pt idx="192">
                  <c:v>2092</c:v>
                </c:pt>
                <c:pt idx="193">
                  <c:v>2093</c:v>
                </c:pt>
                <c:pt idx="194">
                  <c:v>2094</c:v>
                </c:pt>
                <c:pt idx="195">
                  <c:v>2095</c:v>
                </c:pt>
                <c:pt idx="196">
                  <c:v>2096</c:v>
                </c:pt>
                <c:pt idx="197">
                  <c:v>2097</c:v>
                </c:pt>
                <c:pt idx="198">
                  <c:v>2098</c:v>
                </c:pt>
                <c:pt idx="199">
                  <c:v>2099</c:v>
                </c:pt>
                <c:pt idx="200">
                  <c:v>2100</c:v>
                </c:pt>
                <c:pt idx="201">
                  <c:v>2101</c:v>
                </c:pt>
                <c:pt idx="202">
                  <c:v>2102</c:v>
                </c:pt>
                <c:pt idx="203">
                  <c:v>2103</c:v>
                </c:pt>
                <c:pt idx="204">
                  <c:v>2104</c:v>
                </c:pt>
                <c:pt idx="205">
                  <c:v>2105</c:v>
                </c:pt>
                <c:pt idx="206">
                  <c:v>2106</c:v>
                </c:pt>
                <c:pt idx="207">
                  <c:v>2107</c:v>
                </c:pt>
                <c:pt idx="208">
                  <c:v>2108</c:v>
                </c:pt>
                <c:pt idx="209">
                  <c:v>2109</c:v>
                </c:pt>
                <c:pt idx="210">
                  <c:v>2110</c:v>
                </c:pt>
                <c:pt idx="211">
                  <c:v>2111</c:v>
                </c:pt>
                <c:pt idx="212">
                  <c:v>2112</c:v>
                </c:pt>
                <c:pt idx="213">
                  <c:v>2113</c:v>
                </c:pt>
                <c:pt idx="214">
                  <c:v>2114</c:v>
                </c:pt>
              </c:numCache>
            </c:numRef>
          </c:xVal>
          <c:yVal>
            <c:numRef>
              <c:f>'United Kingdom'!$H$83:$H$297</c:f>
              <c:numCache>
                <c:formatCode>0.0</c:formatCode>
                <c:ptCount val="215"/>
                <c:pt idx="0">
                  <c:v>27.854189841447859</c:v>
                </c:pt>
                <c:pt idx="1">
                  <c:v>27.699795110134481</c:v>
                </c:pt>
                <c:pt idx="2">
                  <c:v>27.609656609282055</c:v>
                </c:pt>
                <c:pt idx="3">
                  <c:v>27.568409091361872</c:v>
                </c:pt>
                <c:pt idx="4">
                  <c:v>27.560799854443946</c:v>
                </c:pt>
                <c:pt idx="5">
                  <c:v>27.582483531705442</c:v>
                </c:pt>
                <c:pt idx="6">
                  <c:v>27.665363173678873</c:v>
                </c:pt>
                <c:pt idx="7">
                  <c:v>27.837123964387956</c:v>
                </c:pt>
                <c:pt idx="8">
                  <c:v>28.048341213344205</c:v>
                </c:pt>
                <c:pt idx="9">
                  <c:v>28.284528972408268</c:v>
                </c:pt>
                <c:pt idx="10">
                  <c:v>28.531942627274109</c:v>
                </c:pt>
                <c:pt idx="11">
                  <c:v>28.795609436360813</c:v>
                </c:pt>
                <c:pt idx="12">
                  <c:v>29.035337770193088</c:v>
                </c:pt>
                <c:pt idx="13">
                  <c:v>29.309615575313085</c:v>
                </c:pt>
                <c:pt idx="14">
                  <c:v>29.553550442625912</c:v>
                </c:pt>
                <c:pt idx="15">
                  <c:v>29.739394245095706</c:v>
                </c:pt>
                <c:pt idx="16">
                  <c:v>29.880014595669689</c:v>
                </c:pt>
                <c:pt idx="17">
                  <c:v>29.966376614575925</c:v>
                </c:pt>
                <c:pt idx="18">
                  <c:v>29.972748863149938</c:v>
                </c:pt>
                <c:pt idx="19">
                  <c:v>29.919927693222117</c:v>
                </c:pt>
                <c:pt idx="20">
                  <c:v>29.821887118487449</c:v>
                </c:pt>
                <c:pt idx="21">
                  <c:v>29.604831432916839</c:v>
                </c:pt>
                <c:pt idx="22">
                  <c:v>29.405457463321216</c:v>
                </c:pt>
                <c:pt idx="23">
                  <c:v>29.25208586342891</c:v>
                </c:pt>
                <c:pt idx="24">
                  <c:v>29.127658916792431</c:v>
                </c:pt>
                <c:pt idx="25">
                  <c:v>29.003271248460365</c:v>
                </c:pt>
                <c:pt idx="26">
                  <c:v>28.769875226970601</c:v>
                </c:pt>
                <c:pt idx="27">
                  <c:v>28.566929214965622</c:v>
                </c:pt>
                <c:pt idx="28">
                  <c:v>28.380267218083137</c:v>
                </c:pt>
                <c:pt idx="29">
                  <c:v>28.226555788809943</c:v>
                </c:pt>
                <c:pt idx="30">
                  <c:v>28.091646101697044</c:v>
                </c:pt>
                <c:pt idx="31">
                  <c:v>27.956383824555381</c:v>
                </c:pt>
                <c:pt idx="32">
                  <c:v>27.816196041707695</c:v>
                </c:pt>
                <c:pt idx="33">
                  <c:v>27.673786495238843</c:v>
                </c:pt>
                <c:pt idx="34">
                  <c:v>27.541206487289234</c:v>
                </c:pt>
                <c:pt idx="35">
                  <c:v>27.420566764371898</c:v>
                </c:pt>
                <c:pt idx="36">
                  <c:v>27.315754382346618</c:v>
                </c:pt>
                <c:pt idx="37">
                  <c:v>27.233124119929002</c:v>
                </c:pt>
                <c:pt idx="38">
                  <c:v>27.16395829608156</c:v>
                </c:pt>
                <c:pt idx="39">
                  <c:v>27.11010935189994</c:v>
                </c:pt>
                <c:pt idx="40">
                  <c:v>27.067240690202091</c:v>
                </c:pt>
                <c:pt idx="41">
                  <c:v>27.026253663850579</c:v>
                </c:pt>
                <c:pt idx="42">
                  <c:v>26.987695577646083</c:v>
                </c:pt>
                <c:pt idx="43">
                  <c:v>26.950150655300693</c:v>
                </c:pt>
                <c:pt idx="44">
                  <c:v>26.912541303541104</c:v>
                </c:pt>
                <c:pt idx="45">
                  <c:v>26.87234663146825</c:v>
                </c:pt>
                <c:pt idx="46">
                  <c:v>26.834637840746456</c:v>
                </c:pt>
                <c:pt idx="47">
                  <c:v>26.803470079028248</c:v>
                </c:pt>
                <c:pt idx="48">
                  <c:v>26.783733610743184</c:v>
                </c:pt>
                <c:pt idx="49">
                  <c:v>26.778324727457264</c:v>
                </c:pt>
                <c:pt idx="50">
                  <c:v>26.786891710933958</c:v>
                </c:pt>
                <c:pt idx="51">
                  <c:v>26.810989968541396</c:v>
                </c:pt>
                <c:pt idx="52">
                  <c:v>26.850282318011743</c:v>
                </c:pt>
                <c:pt idx="53">
                  <c:v>26.903168529701851</c:v>
                </c:pt>
                <c:pt idx="54">
                  <c:v>26.968528267084253</c:v>
                </c:pt>
                <c:pt idx="55">
                  <c:v>27.044521793878946</c:v>
                </c:pt>
                <c:pt idx="56">
                  <c:v>27.130674325482666</c:v>
                </c:pt>
                <c:pt idx="57">
                  <c:v>27.226502725397655</c:v>
                </c:pt>
                <c:pt idx="58">
                  <c:v>27.328024130311725</c:v>
                </c:pt>
                <c:pt idx="59">
                  <c:v>27.431131234570138</c:v>
                </c:pt>
                <c:pt idx="60">
                  <c:v>27.531741792266292</c:v>
                </c:pt>
                <c:pt idx="61">
                  <c:v>27.629903969459168</c:v>
                </c:pt>
                <c:pt idx="62">
                  <c:v>27.729235377342821</c:v>
                </c:pt>
                <c:pt idx="63">
                  <c:v>27.829486807023819</c:v>
                </c:pt>
                <c:pt idx="64">
                  <c:v>27.930788087686103</c:v>
                </c:pt>
                <c:pt idx="65">
                  <c:v>28.031520035077431</c:v>
                </c:pt>
                <c:pt idx="66">
                  <c:v>28.128015079156736</c:v>
                </c:pt>
                <c:pt idx="67">
                  <c:v>28.221306043554165</c:v>
                </c:pt>
                <c:pt idx="68">
                  <c:v>28.309990861408149</c:v>
                </c:pt>
                <c:pt idx="69">
                  <c:v>28.391123686006335</c:v>
                </c:pt>
                <c:pt idx="70">
                  <c:v>28.46396080784606</c:v>
                </c:pt>
                <c:pt idx="71">
                  <c:v>28.531147249636465</c:v>
                </c:pt>
                <c:pt idx="72">
                  <c:v>28.586715979791386</c:v>
                </c:pt>
                <c:pt idx="73">
                  <c:v>28.636003159231581</c:v>
                </c:pt>
                <c:pt idx="74">
                  <c:v>28.675005887138187</c:v>
                </c:pt>
                <c:pt idx="75">
                  <c:v>28.710735616928151</c:v>
                </c:pt>
                <c:pt idx="76">
                  <c:v>28.743069163547347</c:v>
                </c:pt>
                <c:pt idx="77">
                  <c:v>28.7726316196885</c:v>
                </c:pt>
                <c:pt idx="78">
                  <c:v>28.8004098857297</c:v>
                </c:pt>
                <c:pt idx="79">
                  <c:v>28.82700843173582</c:v>
                </c:pt>
                <c:pt idx="80">
                  <c:v>28.855227058803589</c:v>
                </c:pt>
                <c:pt idx="81">
                  <c:v>28.884860774699398</c:v>
                </c:pt>
                <c:pt idx="82">
                  <c:v>28.915657268267747</c:v>
                </c:pt>
                <c:pt idx="83">
                  <c:v>28.946756321413311</c:v>
                </c:pt>
                <c:pt idx="84">
                  <c:v>28.963741115581403</c:v>
                </c:pt>
                <c:pt idx="85">
                  <c:v>28.978374936849296</c:v>
                </c:pt>
                <c:pt idx="86">
                  <c:v>28.994306043463052</c:v>
                </c:pt>
                <c:pt idx="87">
                  <c:v>29.01115122342657</c:v>
                </c:pt>
                <c:pt idx="88">
                  <c:v>29.029193133469999</c:v>
                </c:pt>
                <c:pt idx="89">
                  <c:v>29.047886902988559</c:v>
                </c:pt>
                <c:pt idx="90">
                  <c:v>29.066160613194654</c:v>
                </c:pt>
                <c:pt idx="91">
                  <c:v>29.084801535784443</c:v>
                </c:pt>
                <c:pt idx="92">
                  <c:v>29.102230221875068</c:v>
                </c:pt>
                <c:pt idx="93">
                  <c:v>29.115828149755671</c:v>
                </c:pt>
                <c:pt idx="94">
                  <c:v>29.123019222808249</c:v>
                </c:pt>
                <c:pt idx="95">
                  <c:v>29.125923706233824</c:v>
                </c:pt>
                <c:pt idx="96">
                  <c:v>29.125056403921096</c:v>
                </c:pt>
                <c:pt idx="97">
                  <c:v>29.121017728055367</c:v>
                </c:pt>
                <c:pt idx="98">
                  <c:v>29.113463263230269</c:v>
                </c:pt>
                <c:pt idx="99">
                  <c:v>29.102605164864045</c:v>
                </c:pt>
                <c:pt idx="100">
                  <c:v>29.088403193358833</c:v>
                </c:pt>
                <c:pt idx="101">
                  <c:v>29.07167845513505</c:v>
                </c:pt>
                <c:pt idx="102">
                  <c:v>29.052778808261124</c:v>
                </c:pt>
                <c:pt idx="103">
                  <c:v>29.032023887717614</c:v>
                </c:pt>
                <c:pt idx="104">
                  <c:v>29.00952755090076</c:v>
                </c:pt>
                <c:pt idx="105">
                  <c:v>28.985259476389682</c:v>
                </c:pt>
                <c:pt idx="106">
                  <c:v>28.959458400912041</c:v>
                </c:pt>
                <c:pt idx="107">
                  <c:v>28.9323719996409</c:v>
                </c:pt>
                <c:pt idx="108">
                  <c:v>28.904414193479557</c:v>
                </c:pt>
                <c:pt idx="109">
                  <c:v>28.875830974615702</c:v>
                </c:pt>
              </c:numCache>
            </c:numRef>
          </c:yVal>
          <c:smooth val="1"/>
          <c:extLst>
            <c:ext xmlns:c16="http://schemas.microsoft.com/office/drawing/2014/chart" uri="{C3380CC4-5D6E-409C-BE32-E72D297353CC}">
              <c16:uniqueId val="{00000000-6545-3D44-906C-090496671068}"/>
            </c:ext>
          </c:extLst>
        </c:ser>
        <c:ser>
          <c:idx val="0"/>
          <c:order val="1"/>
          <c:tx>
            <c:strRef>
              <c:f>'United Kingdom'!$O$11</c:f>
              <c:strCache>
                <c:ptCount val="1"/>
                <c:pt idx="0">
                  <c:v>Q reserves</c:v>
                </c:pt>
              </c:strCache>
            </c:strRef>
          </c:tx>
          <c:spPr>
            <a:ln>
              <a:noFill/>
            </a:ln>
          </c:spPr>
          <c:marker>
            <c:symbol val="circle"/>
            <c:size val="6"/>
            <c:spPr>
              <a:noFill/>
              <a:ln w="15875">
                <a:solidFill>
                  <a:srgbClr val="333399"/>
                </a:solidFill>
              </a:ln>
            </c:spPr>
          </c:marker>
          <c:xVal>
            <c:numRef>
              <c:f>'United Kingdom'!$N$12:$N$100</c:f>
              <c:numCache>
                <c:formatCode>General</c:formatCode>
                <c:ptCount val="89"/>
                <c:pt idx="0">
                  <c:v>1861</c:v>
                </c:pt>
                <c:pt idx="1">
                  <c:v>1871</c:v>
                </c:pt>
                <c:pt idx="2">
                  <c:v>1913</c:v>
                </c:pt>
                <c:pt idx="3">
                  <c:v>1936</c:v>
                </c:pt>
                <c:pt idx="4">
                  <c:v>1937</c:v>
                </c:pt>
                <c:pt idx="5">
                  <c:v>1938</c:v>
                </c:pt>
                <c:pt idx="6">
                  <c:v>1948</c:v>
                </c:pt>
                <c:pt idx="7">
                  <c:v>1952</c:v>
                </c:pt>
                <c:pt idx="8">
                  <c:v>1954</c:v>
                </c:pt>
                <c:pt idx="9">
                  <c:v>1956</c:v>
                </c:pt>
                <c:pt idx="10">
                  <c:v>1960</c:v>
                </c:pt>
                <c:pt idx="11">
                  <c:v>1962</c:v>
                </c:pt>
                <c:pt idx="12">
                  <c:v>1968</c:v>
                </c:pt>
                <c:pt idx="13">
                  <c:v>1974</c:v>
                </c:pt>
                <c:pt idx="14">
                  <c:v>1980</c:v>
                </c:pt>
                <c:pt idx="15">
                  <c:v>1986</c:v>
                </c:pt>
                <c:pt idx="16">
                  <c:v>1989</c:v>
                </c:pt>
                <c:pt idx="17">
                  <c:v>1992</c:v>
                </c:pt>
                <c:pt idx="18">
                  <c:v>1995</c:v>
                </c:pt>
                <c:pt idx="19">
                  <c:v>1998</c:v>
                </c:pt>
                <c:pt idx="20">
                  <c:v>2001</c:v>
                </c:pt>
                <c:pt idx="21">
                  <c:v>2004</c:v>
                </c:pt>
                <c:pt idx="22">
                  <c:v>2007</c:v>
                </c:pt>
                <c:pt idx="23">
                  <c:v>2010</c:v>
                </c:pt>
              </c:numCache>
            </c:numRef>
          </c:xVal>
          <c:yVal>
            <c:numRef>
              <c:f>'United Kingdom'!$O$12:$O$100</c:f>
              <c:numCache>
                <c:formatCode>0.0</c:formatCode>
                <c:ptCount val="89"/>
                <c:pt idx="0">
                  <c:v>83.789294805116356</c:v>
                </c:pt>
                <c:pt idx="1">
                  <c:v>152.54951272359983</c:v>
                </c:pt>
                <c:pt idx="2">
                  <c:v>201.44496139776791</c:v>
                </c:pt>
                <c:pt idx="3">
                  <c:v>192.64496139776793</c:v>
                </c:pt>
                <c:pt idx="4">
                  <c:v>192.07196139776795</c:v>
                </c:pt>
                <c:pt idx="5">
                  <c:v>192.07196139776795</c:v>
                </c:pt>
                <c:pt idx="6">
                  <c:v>191.85996139776793</c:v>
                </c:pt>
                <c:pt idx="7">
                  <c:v>191.93596139776793</c:v>
                </c:pt>
                <c:pt idx="8">
                  <c:v>192.13196139776792</c:v>
                </c:pt>
                <c:pt idx="9">
                  <c:v>191.90396139776794</c:v>
                </c:pt>
                <c:pt idx="10">
                  <c:v>191.90396139776794</c:v>
                </c:pt>
                <c:pt idx="11">
                  <c:v>191.89996139776792</c:v>
                </c:pt>
                <c:pt idx="12">
                  <c:v>39.361961397767942</c:v>
                </c:pt>
                <c:pt idx="13">
                  <c:v>28.608961397767938</c:v>
                </c:pt>
                <c:pt idx="14">
                  <c:v>70.595961397767937</c:v>
                </c:pt>
                <c:pt idx="15">
                  <c:v>30.618571397767937</c:v>
                </c:pt>
                <c:pt idx="16">
                  <c:v>30.125311397767938</c:v>
                </c:pt>
                <c:pt idx="17">
                  <c:v>30.421961397767937</c:v>
                </c:pt>
                <c:pt idx="18">
                  <c:v>29.368851397767937</c:v>
                </c:pt>
                <c:pt idx="19">
                  <c:v>28.521061397767937</c:v>
                </c:pt>
                <c:pt idx="20">
                  <c:v>28.647816397767937</c:v>
                </c:pt>
                <c:pt idx="21">
                  <c:v>27.4609335914346</c:v>
                </c:pt>
                <c:pt idx="22">
                  <c:v>27.4698066704346</c:v>
                </c:pt>
                <c:pt idx="23">
                  <c:v>27.596384402006031</c:v>
                </c:pt>
              </c:numCache>
            </c:numRef>
          </c:yVal>
          <c:smooth val="1"/>
          <c:extLst>
            <c:ext xmlns:c16="http://schemas.microsoft.com/office/drawing/2014/chart" uri="{C3380CC4-5D6E-409C-BE32-E72D297353CC}">
              <c16:uniqueId val="{00000001-6545-3D44-906C-090496671068}"/>
            </c:ext>
          </c:extLst>
        </c:ser>
        <c:ser>
          <c:idx val="2"/>
          <c:order val="2"/>
          <c:tx>
            <c:v>Q early</c:v>
          </c:tx>
          <c:spPr>
            <a:ln w="15875">
              <a:solidFill>
                <a:srgbClr val="333399"/>
              </a:solidFill>
              <a:prstDash val="lgDash"/>
            </a:ln>
          </c:spPr>
          <c:marker>
            <c:symbol val="none"/>
          </c:marker>
          <c:xVal>
            <c:numRef>
              <c:f>'United Kingdom'!$D$60:$D$82</c:f>
              <c:numCache>
                <c:formatCode>0</c:formatCode>
                <c:ptCount val="23"/>
                <c:pt idx="0">
                  <c:v>1877</c:v>
                </c:pt>
                <c:pt idx="1">
                  <c:v>1878</c:v>
                </c:pt>
                <c:pt idx="2">
                  <c:v>1879</c:v>
                </c:pt>
                <c:pt idx="3">
                  <c:v>1880</c:v>
                </c:pt>
                <c:pt idx="4">
                  <c:v>1881</c:v>
                </c:pt>
                <c:pt idx="5">
                  <c:v>1882</c:v>
                </c:pt>
                <c:pt idx="6">
                  <c:v>1883</c:v>
                </c:pt>
                <c:pt idx="7">
                  <c:v>1884</c:v>
                </c:pt>
                <c:pt idx="8">
                  <c:v>1885</c:v>
                </c:pt>
                <c:pt idx="9">
                  <c:v>1886</c:v>
                </c:pt>
                <c:pt idx="10">
                  <c:v>1887</c:v>
                </c:pt>
                <c:pt idx="11">
                  <c:v>1888</c:v>
                </c:pt>
                <c:pt idx="12">
                  <c:v>1889</c:v>
                </c:pt>
                <c:pt idx="13">
                  <c:v>1890</c:v>
                </c:pt>
                <c:pt idx="14">
                  <c:v>1891</c:v>
                </c:pt>
                <c:pt idx="15">
                  <c:v>1892</c:v>
                </c:pt>
                <c:pt idx="16">
                  <c:v>1893</c:v>
                </c:pt>
                <c:pt idx="17">
                  <c:v>1894</c:v>
                </c:pt>
                <c:pt idx="18">
                  <c:v>1895</c:v>
                </c:pt>
                <c:pt idx="19">
                  <c:v>1896</c:v>
                </c:pt>
                <c:pt idx="20">
                  <c:v>1897</c:v>
                </c:pt>
                <c:pt idx="21">
                  <c:v>1898</c:v>
                </c:pt>
                <c:pt idx="22">
                  <c:v>1899</c:v>
                </c:pt>
              </c:numCache>
            </c:numRef>
          </c:xVal>
          <c:yVal>
            <c:numRef>
              <c:f>'United Kingdom'!$H$60:$H$82</c:f>
              <c:numCache>
                <c:formatCode>0.0</c:formatCode>
                <c:ptCount val="23"/>
                <c:pt idx="0">
                  <c:v>365.66777212788577</c:v>
                </c:pt>
                <c:pt idx="1">
                  <c:v>171.91244441624144</c:v>
                </c:pt>
                <c:pt idx="2">
                  <c:v>111.18343862875642</c:v>
                </c:pt>
                <c:pt idx="3">
                  <c:v>84.628797281641013</c:v>
                </c:pt>
                <c:pt idx="4">
                  <c:v>70.502033260745392</c:v>
                </c:pt>
                <c:pt idx="5">
                  <c:v>61.609140593407972</c:v>
                </c:pt>
                <c:pt idx="6">
                  <c:v>55.791661733823418</c:v>
                </c:pt>
                <c:pt idx="7">
                  <c:v>51.288940759813087</c:v>
                </c:pt>
                <c:pt idx="8">
                  <c:v>47.49353156413904</c:v>
                </c:pt>
                <c:pt idx="9">
                  <c:v>44.098384270737704</c:v>
                </c:pt>
                <c:pt idx="10">
                  <c:v>41.192968046767049</c:v>
                </c:pt>
                <c:pt idx="11">
                  <c:v>38.835653345714583</c:v>
                </c:pt>
                <c:pt idx="12">
                  <c:v>36.971039439508182</c:v>
                </c:pt>
                <c:pt idx="13">
                  <c:v>35.495129379796985</c:v>
                </c:pt>
                <c:pt idx="14">
                  <c:v>34.299220778410444</c:v>
                </c:pt>
                <c:pt idx="15">
                  <c:v>33.23414815032816</c:v>
                </c:pt>
                <c:pt idx="16">
                  <c:v>32.057777171455051</c:v>
                </c:pt>
                <c:pt idx="17">
                  <c:v>31.063060653272142</c:v>
                </c:pt>
                <c:pt idx="18">
                  <c:v>30.208493619246813</c:v>
                </c:pt>
                <c:pt idx="19">
                  <c:v>29.486506474482749</c:v>
                </c:pt>
                <c:pt idx="20">
                  <c:v>28.89939662003529</c:v>
                </c:pt>
                <c:pt idx="21">
                  <c:v>28.401738580440295</c:v>
                </c:pt>
                <c:pt idx="22">
                  <c:v>28.063509513710454</c:v>
                </c:pt>
              </c:numCache>
            </c:numRef>
          </c:yVal>
          <c:smooth val="1"/>
          <c:extLst>
            <c:ext xmlns:c16="http://schemas.microsoft.com/office/drawing/2014/chart" uri="{C3380CC4-5D6E-409C-BE32-E72D297353CC}">
              <c16:uniqueId val="{00000002-6545-3D44-906C-090496671068}"/>
            </c:ext>
          </c:extLst>
        </c:ser>
        <c:dLbls>
          <c:showLegendKey val="0"/>
          <c:showVal val="0"/>
          <c:showCatName val="0"/>
          <c:showSerName val="0"/>
          <c:showPercent val="0"/>
          <c:showBubbleSize val="0"/>
        </c:dLbls>
        <c:axId val="128397312"/>
        <c:axId val="128398848"/>
      </c:scatterChart>
      <c:valAx>
        <c:axId val="128397312"/>
        <c:scaling>
          <c:orientation val="minMax"/>
          <c:max val="2020"/>
          <c:min val="1820"/>
        </c:scaling>
        <c:delete val="0"/>
        <c:axPos val="b"/>
        <c:numFmt formatCode="0"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28398848"/>
        <c:crosses val="autoZero"/>
        <c:crossBetween val="midCat"/>
        <c:majorUnit val="50"/>
        <c:minorUnit val="10"/>
      </c:valAx>
      <c:valAx>
        <c:axId val="128398848"/>
        <c:scaling>
          <c:orientation val="minMax"/>
          <c:max val="202"/>
          <c:min val="0"/>
        </c:scaling>
        <c:delete val="0"/>
        <c:axPos val="r"/>
        <c:title>
          <c:tx>
            <c:rich>
              <a:bodyPr rot="-5400000" vert="horz"/>
              <a:lstStyle/>
              <a:p>
                <a:pPr>
                  <a:defRPr sz="1200" b="0">
                    <a:solidFill>
                      <a:srgbClr val="333399"/>
                    </a:solidFill>
                  </a:defRPr>
                </a:pPr>
                <a:r>
                  <a:rPr lang="en-US" sz="1200" b="0">
                    <a:solidFill>
                      <a:srgbClr val="333399"/>
                    </a:solidFill>
                  </a:rPr>
                  <a:t>Long-term production, Gt</a:t>
                </a:r>
              </a:p>
            </c:rich>
          </c:tx>
          <c:layout>
            <c:manualLayout>
              <c:xMode val="edge"/>
              <c:yMode val="edge"/>
              <c:x val="0.9624667729930888"/>
              <c:y val="0.17011348630407541"/>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28397312"/>
        <c:crosses val="max"/>
        <c:crossBetween val="midCat"/>
        <c:majorUnit val="100"/>
        <c:minorUnit val="5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182506645268104E-2"/>
          <c:y val="5.7060002916302532E-2"/>
          <c:w val="0.86262550779885705"/>
          <c:h val="0.77264654418197765"/>
        </c:manualLayout>
      </c:layout>
      <c:scatterChart>
        <c:scatterStyle val="smoothMarker"/>
        <c:varyColors val="0"/>
        <c:ser>
          <c:idx val="1"/>
          <c:order val="0"/>
          <c:tx>
            <c:v>zero</c:v>
          </c:tx>
          <c:spPr>
            <a:ln w="15875">
              <a:solidFill>
                <a:srgbClr val="808080"/>
              </a:solidFill>
              <a:prstDash val="solid"/>
            </a:ln>
          </c:spPr>
          <c:marker>
            <c:symbol val="none"/>
          </c:marker>
          <c:xVal>
            <c:numRef>
              <c:f>('United Kingdom'!$E$3,'United Kingdom'!$E$4)</c:f>
              <c:numCache>
                <c:formatCode>General</c:formatCode>
                <c:ptCount val="2"/>
                <c:pt idx="0">
                  <c:v>1829</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0-1664-9D41-B8AD-93C61AC46C41}"/>
            </c:ext>
          </c:extLst>
        </c:ser>
        <c:ser>
          <c:idx val="2"/>
          <c:order val="1"/>
          <c:tx>
            <c:v>Mines privatized</c:v>
          </c:tx>
          <c:spPr>
            <a:ln w="15875">
              <a:solidFill>
                <a:srgbClr val="808080"/>
              </a:solidFill>
            </a:ln>
          </c:spPr>
          <c:marker>
            <c:symbol val="none"/>
          </c:marker>
          <c:xVal>
            <c:numLit>
              <c:formatCode>General</c:formatCode>
              <c:ptCount val="2"/>
              <c:pt idx="0">
                <c:v>1994</c:v>
              </c:pt>
              <c:pt idx="1">
                <c:v>1994</c:v>
              </c:pt>
            </c:numLit>
          </c:xVal>
          <c:yVal>
            <c:numLit>
              <c:formatCode>General</c:formatCode>
              <c:ptCount val="2"/>
              <c:pt idx="0">
                <c:v>-0.5</c:v>
              </c:pt>
              <c:pt idx="1">
                <c:v>0.5</c:v>
              </c:pt>
            </c:numLit>
          </c:yVal>
          <c:smooth val="1"/>
          <c:extLst>
            <c:ext xmlns:c16="http://schemas.microsoft.com/office/drawing/2014/chart" uri="{C3380CC4-5D6E-409C-BE32-E72D297353CC}">
              <c16:uniqueId val="{00000001-1664-9D41-B8AD-93C61AC46C41}"/>
            </c:ext>
          </c:extLst>
        </c:ser>
        <c:ser>
          <c:idx val="3"/>
          <c:order val="2"/>
          <c:tx>
            <c:v>Mines nationalized</c:v>
          </c:tx>
          <c:spPr>
            <a:ln w="15875">
              <a:solidFill>
                <a:srgbClr val="808080"/>
              </a:solidFill>
            </a:ln>
          </c:spPr>
          <c:marker>
            <c:symbol val="none"/>
          </c:marker>
          <c:xVal>
            <c:numLit>
              <c:formatCode>General</c:formatCode>
              <c:ptCount val="2"/>
              <c:pt idx="0">
                <c:v>1946</c:v>
              </c:pt>
              <c:pt idx="1">
                <c:v>1946</c:v>
              </c:pt>
            </c:numLit>
          </c:xVal>
          <c:yVal>
            <c:numLit>
              <c:formatCode>General</c:formatCode>
              <c:ptCount val="2"/>
              <c:pt idx="0">
                <c:v>-0.5</c:v>
              </c:pt>
              <c:pt idx="1">
                <c:v>0.5</c:v>
              </c:pt>
            </c:numLit>
          </c:yVal>
          <c:smooth val="1"/>
          <c:extLst>
            <c:ext xmlns:c16="http://schemas.microsoft.com/office/drawing/2014/chart" uri="{C3380CC4-5D6E-409C-BE32-E72D297353CC}">
              <c16:uniqueId val="{00000002-1664-9D41-B8AD-93C61AC46C41}"/>
            </c:ext>
          </c:extLst>
        </c:ser>
        <c:ser>
          <c:idx val="4"/>
          <c:order val="3"/>
          <c:tx>
            <c:v>1913 peak on the eve of World War I</c:v>
          </c:tx>
          <c:spPr>
            <a:ln w="15875">
              <a:solidFill>
                <a:srgbClr val="808080"/>
              </a:solidFill>
            </a:ln>
          </c:spPr>
          <c:marker>
            <c:symbol val="none"/>
          </c:marker>
          <c:xVal>
            <c:numLit>
              <c:formatCode>General</c:formatCode>
              <c:ptCount val="2"/>
              <c:pt idx="0">
                <c:v>1913</c:v>
              </c:pt>
              <c:pt idx="1">
                <c:v>1913</c:v>
              </c:pt>
            </c:numLit>
          </c:xVal>
          <c:yVal>
            <c:numLit>
              <c:formatCode>General</c:formatCode>
              <c:ptCount val="2"/>
              <c:pt idx="0">
                <c:v>-0.5</c:v>
              </c:pt>
              <c:pt idx="1">
                <c:v>0.5</c:v>
              </c:pt>
            </c:numLit>
          </c:yVal>
          <c:smooth val="1"/>
          <c:extLst>
            <c:ext xmlns:c16="http://schemas.microsoft.com/office/drawing/2014/chart" uri="{C3380CC4-5D6E-409C-BE32-E72D297353CC}">
              <c16:uniqueId val="{00000003-1664-9D41-B8AD-93C61AC46C41}"/>
            </c:ext>
          </c:extLst>
        </c:ser>
        <c:ser>
          <c:idx val="0"/>
          <c:order val="4"/>
          <c:tx>
            <c:strRef>
              <c:f>'United Kingdom'!$I$11</c:f>
              <c:strCache>
                <c:ptCount val="1"/>
                <c:pt idx="0">
                  <c:v>r y</c:v>
                </c:pt>
              </c:strCache>
            </c:strRef>
          </c:tx>
          <c:spPr>
            <a:ln w="15875">
              <a:solidFill>
                <a:srgbClr val="008000"/>
              </a:solidFill>
            </a:ln>
          </c:spPr>
          <c:marker>
            <c:symbol val="none"/>
          </c:marker>
          <c:xVal>
            <c:numRef>
              <c:f>'United Kingdom'!$D$12:$D$297</c:f>
              <c:numCache>
                <c:formatCode>0</c:formatCode>
                <c:ptCount val="286"/>
                <c:pt idx="0">
                  <c:v>1829</c:v>
                </c:pt>
                <c:pt idx="1">
                  <c:v>1830</c:v>
                </c:pt>
                <c:pt idx="2">
                  <c:v>1831</c:v>
                </c:pt>
                <c:pt idx="3">
                  <c:v>1832</c:v>
                </c:pt>
                <c:pt idx="4">
                  <c:v>1833</c:v>
                </c:pt>
                <c:pt idx="5">
                  <c:v>1834</c:v>
                </c:pt>
                <c:pt idx="6">
                  <c:v>1835</c:v>
                </c:pt>
                <c:pt idx="7">
                  <c:v>1836</c:v>
                </c:pt>
                <c:pt idx="8">
                  <c:v>1837</c:v>
                </c:pt>
                <c:pt idx="9">
                  <c:v>1838</c:v>
                </c:pt>
                <c:pt idx="10">
                  <c:v>1839</c:v>
                </c:pt>
                <c:pt idx="11">
                  <c:v>1840</c:v>
                </c:pt>
                <c:pt idx="12">
                  <c:v>1841</c:v>
                </c:pt>
                <c:pt idx="13">
                  <c:v>1842</c:v>
                </c:pt>
                <c:pt idx="14">
                  <c:v>1843</c:v>
                </c:pt>
                <c:pt idx="15">
                  <c:v>1844</c:v>
                </c:pt>
                <c:pt idx="16">
                  <c:v>1845</c:v>
                </c:pt>
                <c:pt idx="17">
                  <c:v>1846</c:v>
                </c:pt>
                <c:pt idx="18">
                  <c:v>1847</c:v>
                </c:pt>
                <c:pt idx="19">
                  <c:v>1848</c:v>
                </c:pt>
                <c:pt idx="20">
                  <c:v>1849</c:v>
                </c:pt>
                <c:pt idx="21">
                  <c:v>1850</c:v>
                </c:pt>
                <c:pt idx="22">
                  <c:v>1851</c:v>
                </c:pt>
                <c:pt idx="23">
                  <c:v>1852</c:v>
                </c:pt>
                <c:pt idx="24">
                  <c:v>1853</c:v>
                </c:pt>
                <c:pt idx="25">
                  <c:v>1854</c:v>
                </c:pt>
                <c:pt idx="26">
                  <c:v>1855</c:v>
                </c:pt>
                <c:pt idx="27">
                  <c:v>1856</c:v>
                </c:pt>
                <c:pt idx="28">
                  <c:v>1857</c:v>
                </c:pt>
                <c:pt idx="29">
                  <c:v>1858</c:v>
                </c:pt>
                <c:pt idx="30">
                  <c:v>1859</c:v>
                </c:pt>
                <c:pt idx="31">
                  <c:v>1860</c:v>
                </c:pt>
                <c:pt idx="32">
                  <c:v>1861</c:v>
                </c:pt>
                <c:pt idx="33">
                  <c:v>1862</c:v>
                </c:pt>
                <c:pt idx="34">
                  <c:v>1863</c:v>
                </c:pt>
                <c:pt idx="35">
                  <c:v>1864</c:v>
                </c:pt>
                <c:pt idx="36">
                  <c:v>1865</c:v>
                </c:pt>
                <c:pt idx="37">
                  <c:v>1866</c:v>
                </c:pt>
                <c:pt idx="38">
                  <c:v>1867</c:v>
                </c:pt>
                <c:pt idx="39">
                  <c:v>1868</c:v>
                </c:pt>
                <c:pt idx="40">
                  <c:v>1869</c:v>
                </c:pt>
                <c:pt idx="41">
                  <c:v>1870</c:v>
                </c:pt>
                <c:pt idx="42">
                  <c:v>1871</c:v>
                </c:pt>
                <c:pt idx="43">
                  <c:v>1872</c:v>
                </c:pt>
                <c:pt idx="44">
                  <c:v>1873</c:v>
                </c:pt>
                <c:pt idx="45">
                  <c:v>1874</c:v>
                </c:pt>
                <c:pt idx="46">
                  <c:v>1875</c:v>
                </c:pt>
                <c:pt idx="47">
                  <c:v>1876</c:v>
                </c:pt>
                <c:pt idx="48">
                  <c:v>1877</c:v>
                </c:pt>
                <c:pt idx="49">
                  <c:v>1878</c:v>
                </c:pt>
                <c:pt idx="50">
                  <c:v>1879</c:v>
                </c:pt>
                <c:pt idx="51">
                  <c:v>1880</c:v>
                </c:pt>
                <c:pt idx="52">
                  <c:v>1881</c:v>
                </c:pt>
                <c:pt idx="53">
                  <c:v>1882</c:v>
                </c:pt>
                <c:pt idx="54">
                  <c:v>1883</c:v>
                </c:pt>
                <c:pt idx="55">
                  <c:v>1884</c:v>
                </c:pt>
                <c:pt idx="56">
                  <c:v>1885</c:v>
                </c:pt>
                <c:pt idx="57">
                  <c:v>1886</c:v>
                </c:pt>
                <c:pt idx="58">
                  <c:v>1887</c:v>
                </c:pt>
                <c:pt idx="59">
                  <c:v>1888</c:v>
                </c:pt>
                <c:pt idx="60">
                  <c:v>1889</c:v>
                </c:pt>
                <c:pt idx="61">
                  <c:v>1890</c:v>
                </c:pt>
                <c:pt idx="62">
                  <c:v>1891</c:v>
                </c:pt>
                <c:pt idx="63">
                  <c:v>1892</c:v>
                </c:pt>
                <c:pt idx="64">
                  <c:v>1893</c:v>
                </c:pt>
                <c:pt idx="65">
                  <c:v>1894</c:v>
                </c:pt>
                <c:pt idx="66">
                  <c:v>1895</c:v>
                </c:pt>
                <c:pt idx="67">
                  <c:v>1896</c:v>
                </c:pt>
                <c:pt idx="68">
                  <c:v>1897</c:v>
                </c:pt>
                <c:pt idx="69">
                  <c:v>1898</c:v>
                </c:pt>
                <c:pt idx="70">
                  <c:v>1899</c:v>
                </c:pt>
                <c:pt idx="71">
                  <c:v>1900</c:v>
                </c:pt>
                <c:pt idx="72">
                  <c:v>1901</c:v>
                </c:pt>
                <c:pt idx="73">
                  <c:v>1902</c:v>
                </c:pt>
                <c:pt idx="74">
                  <c:v>1903</c:v>
                </c:pt>
                <c:pt idx="75">
                  <c:v>1904</c:v>
                </c:pt>
                <c:pt idx="76">
                  <c:v>1905</c:v>
                </c:pt>
                <c:pt idx="77">
                  <c:v>1906</c:v>
                </c:pt>
                <c:pt idx="78">
                  <c:v>1907</c:v>
                </c:pt>
                <c:pt idx="79">
                  <c:v>1908</c:v>
                </c:pt>
                <c:pt idx="80">
                  <c:v>1909</c:v>
                </c:pt>
                <c:pt idx="81">
                  <c:v>1910</c:v>
                </c:pt>
                <c:pt idx="82">
                  <c:v>1911</c:v>
                </c:pt>
                <c:pt idx="83">
                  <c:v>1912</c:v>
                </c:pt>
                <c:pt idx="84">
                  <c:v>1913</c:v>
                </c:pt>
                <c:pt idx="85">
                  <c:v>1914</c:v>
                </c:pt>
                <c:pt idx="86">
                  <c:v>1915</c:v>
                </c:pt>
                <c:pt idx="87">
                  <c:v>1916</c:v>
                </c:pt>
                <c:pt idx="88">
                  <c:v>1917</c:v>
                </c:pt>
                <c:pt idx="89">
                  <c:v>1918</c:v>
                </c:pt>
                <c:pt idx="90">
                  <c:v>1919</c:v>
                </c:pt>
                <c:pt idx="91">
                  <c:v>1920</c:v>
                </c:pt>
                <c:pt idx="92">
                  <c:v>1921</c:v>
                </c:pt>
                <c:pt idx="93">
                  <c:v>1922</c:v>
                </c:pt>
                <c:pt idx="94">
                  <c:v>1923</c:v>
                </c:pt>
                <c:pt idx="95">
                  <c:v>1924</c:v>
                </c:pt>
                <c:pt idx="96">
                  <c:v>1925</c:v>
                </c:pt>
                <c:pt idx="97">
                  <c:v>1926</c:v>
                </c:pt>
                <c:pt idx="98">
                  <c:v>1927</c:v>
                </c:pt>
                <c:pt idx="99">
                  <c:v>1928</c:v>
                </c:pt>
                <c:pt idx="100">
                  <c:v>1929</c:v>
                </c:pt>
                <c:pt idx="101">
                  <c:v>1930</c:v>
                </c:pt>
                <c:pt idx="102">
                  <c:v>1931</c:v>
                </c:pt>
                <c:pt idx="103">
                  <c:v>1932</c:v>
                </c:pt>
                <c:pt idx="104">
                  <c:v>1933</c:v>
                </c:pt>
                <c:pt idx="105">
                  <c:v>1934</c:v>
                </c:pt>
                <c:pt idx="106">
                  <c:v>1935</c:v>
                </c:pt>
                <c:pt idx="107">
                  <c:v>1936</c:v>
                </c:pt>
                <c:pt idx="108">
                  <c:v>1937</c:v>
                </c:pt>
                <c:pt idx="109">
                  <c:v>1938</c:v>
                </c:pt>
                <c:pt idx="110">
                  <c:v>1939</c:v>
                </c:pt>
                <c:pt idx="111">
                  <c:v>1940</c:v>
                </c:pt>
                <c:pt idx="112">
                  <c:v>1941</c:v>
                </c:pt>
                <c:pt idx="113">
                  <c:v>1942</c:v>
                </c:pt>
                <c:pt idx="114">
                  <c:v>1943</c:v>
                </c:pt>
                <c:pt idx="115">
                  <c:v>1944</c:v>
                </c:pt>
                <c:pt idx="116">
                  <c:v>1945</c:v>
                </c:pt>
                <c:pt idx="117">
                  <c:v>1946</c:v>
                </c:pt>
                <c:pt idx="118">
                  <c:v>1947</c:v>
                </c:pt>
                <c:pt idx="119">
                  <c:v>1948</c:v>
                </c:pt>
                <c:pt idx="120">
                  <c:v>1949</c:v>
                </c:pt>
                <c:pt idx="121">
                  <c:v>1950</c:v>
                </c:pt>
                <c:pt idx="122">
                  <c:v>1951</c:v>
                </c:pt>
                <c:pt idx="123">
                  <c:v>1952</c:v>
                </c:pt>
                <c:pt idx="124">
                  <c:v>1953</c:v>
                </c:pt>
                <c:pt idx="125">
                  <c:v>1954</c:v>
                </c:pt>
                <c:pt idx="126">
                  <c:v>1955</c:v>
                </c:pt>
                <c:pt idx="127">
                  <c:v>1956</c:v>
                </c:pt>
                <c:pt idx="128">
                  <c:v>1957</c:v>
                </c:pt>
                <c:pt idx="129">
                  <c:v>1958</c:v>
                </c:pt>
                <c:pt idx="130">
                  <c:v>1959</c:v>
                </c:pt>
                <c:pt idx="131">
                  <c:v>1960</c:v>
                </c:pt>
                <c:pt idx="132">
                  <c:v>1961</c:v>
                </c:pt>
                <c:pt idx="133">
                  <c:v>1962</c:v>
                </c:pt>
                <c:pt idx="134">
                  <c:v>1963</c:v>
                </c:pt>
                <c:pt idx="135">
                  <c:v>1964</c:v>
                </c:pt>
                <c:pt idx="136">
                  <c:v>1965</c:v>
                </c:pt>
                <c:pt idx="137">
                  <c:v>1966</c:v>
                </c:pt>
                <c:pt idx="138">
                  <c:v>1967</c:v>
                </c:pt>
                <c:pt idx="139">
                  <c:v>1968</c:v>
                </c:pt>
                <c:pt idx="140">
                  <c:v>1969</c:v>
                </c:pt>
                <c:pt idx="141">
                  <c:v>1970</c:v>
                </c:pt>
                <c:pt idx="142">
                  <c:v>1971</c:v>
                </c:pt>
                <c:pt idx="143">
                  <c:v>1972</c:v>
                </c:pt>
                <c:pt idx="144">
                  <c:v>1973</c:v>
                </c:pt>
                <c:pt idx="145">
                  <c:v>1974</c:v>
                </c:pt>
                <c:pt idx="146">
                  <c:v>1975</c:v>
                </c:pt>
                <c:pt idx="147">
                  <c:v>1976</c:v>
                </c:pt>
                <c:pt idx="148">
                  <c:v>1977</c:v>
                </c:pt>
                <c:pt idx="149">
                  <c:v>1978</c:v>
                </c:pt>
                <c:pt idx="150">
                  <c:v>1979</c:v>
                </c:pt>
                <c:pt idx="151">
                  <c:v>1980</c:v>
                </c:pt>
                <c:pt idx="152">
                  <c:v>1981</c:v>
                </c:pt>
                <c:pt idx="153">
                  <c:v>1982</c:v>
                </c:pt>
                <c:pt idx="154">
                  <c:v>1983</c:v>
                </c:pt>
                <c:pt idx="155">
                  <c:v>1984</c:v>
                </c:pt>
                <c:pt idx="156">
                  <c:v>1985</c:v>
                </c:pt>
                <c:pt idx="157">
                  <c:v>1986</c:v>
                </c:pt>
                <c:pt idx="158">
                  <c:v>1987</c:v>
                </c:pt>
                <c:pt idx="159">
                  <c:v>1988</c:v>
                </c:pt>
                <c:pt idx="160">
                  <c:v>1989</c:v>
                </c:pt>
                <c:pt idx="161">
                  <c:v>1990</c:v>
                </c:pt>
                <c:pt idx="162">
                  <c:v>1991</c:v>
                </c:pt>
                <c:pt idx="163">
                  <c:v>1992</c:v>
                </c:pt>
                <c:pt idx="164">
                  <c:v>1993</c:v>
                </c:pt>
                <c:pt idx="165">
                  <c:v>1994</c:v>
                </c:pt>
                <c:pt idx="166">
                  <c:v>1995</c:v>
                </c:pt>
                <c:pt idx="167">
                  <c:v>1996</c:v>
                </c:pt>
                <c:pt idx="168">
                  <c:v>1997</c:v>
                </c:pt>
                <c:pt idx="169">
                  <c:v>1998</c:v>
                </c:pt>
                <c:pt idx="170">
                  <c:v>1999</c:v>
                </c:pt>
                <c:pt idx="171">
                  <c:v>2000</c:v>
                </c:pt>
                <c:pt idx="172">
                  <c:v>2001</c:v>
                </c:pt>
                <c:pt idx="173">
                  <c:v>2002</c:v>
                </c:pt>
                <c:pt idx="174">
                  <c:v>2003</c:v>
                </c:pt>
                <c:pt idx="175">
                  <c:v>2004</c:v>
                </c:pt>
                <c:pt idx="176">
                  <c:v>2005</c:v>
                </c:pt>
                <c:pt idx="177">
                  <c:v>2006</c:v>
                </c:pt>
                <c:pt idx="178">
                  <c:v>2007</c:v>
                </c:pt>
                <c:pt idx="179">
                  <c:v>2008</c:v>
                </c:pt>
                <c:pt idx="180">
                  <c:v>2009</c:v>
                </c:pt>
                <c:pt idx="181">
                  <c:v>2010</c:v>
                </c:pt>
                <c:pt idx="182">
                  <c:v>2011</c:v>
                </c:pt>
                <c:pt idx="183">
                  <c:v>2012</c:v>
                </c:pt>
                <c:pt idx="184">
                  <c:v>2013</c:v>
                </c:pt>
                <c:pt idx="185">
                  <c:v>2014</c:v>
                </c:pt>
                <c:pt idx="186">
                  <c:v>2015</c:v>
                </c:pt>
                <c:pt idx="187">
                  <c:v>2016</c:v>
                </c:pt>
                <c:pt idx="188">
                  <c:v>2017</c:v>
                </c:pt>
                <c:pt idx="189">
                  <c:v>2018</c:v>
                </c:pt>
                <c:pt idx="190">
                  <c:v>2019</c:v>
                </c:pt>
                <c:pt idx="191">
                  <c:v>2020</c:v>
                </c:pt>
                <c:pt idx="192">
                  <c:v>2021</c:v>
                </c:pt>
                <c:pt idx="193">
                  <c:v>2022</c:v>
                </c:pt>
                <c:pt idx="194">
                  <c:v>2023</c:v>
                </c:pt>
                <c:pt idx="195">
                  <c:v>2024</c:v>
                </c:pt>
                <c:pt idx="196">
                  <c:v>2025</c:v>
                </c:pt>
                <c:pt idx="197">
                  <c:v>2026</c:v>
                </c:pt>
                <c:pt idx="198">
                  <c:v>2027</c:v>
                </c:pt>
                <c:pt idx="199">
                  <c:v>2028</c:v>
                </c:pt>
                <c:pt idx="200">
                  <c:v>2029</c:v>
                </c:pt>
                <c:pt idx="201">
                  <c:v>2030</c:v>
                </c:pt>
                <c:pt idx="202">
                  <c:v>2031</c:v>
                </c:pt>
                <c:pt idx="203">
                  <c:v>2032</c:v>
                </c:pt>
                <c:pt idx="204">
                  <c:v>2033</c:v>
                </c:pt>
                <c:pt idx="205">
                  <c:v>2034</c:v>
                </c:pt>
                <c:pt idx="206">
                  <c:v>2035</c:v>
                </c:pt>
                <c:pt idx="207">
                  <c:v>2036</c:v>
                </c:pt>
                <c:pt idx="208">
                  <c:v>2037</c:v>
                </c:pt>
                <c:pt idx="209">
                  <c:v>2038</c:v>
                </c:pt>
                <c:pt idx="210">
                  <c:v>2039</c:v>
                </c:pt>
                <c:pt idx="211">
                  <c:v>2040</c:v>
                </c:pt>
                <c:pt idx="212">
                  <c:v>2041</c:v>
                </c:pt>
                <c:pt idx="213">
                  <c:v>2042</c:v>
                </c:pt>
                <c:pt idx="214">
                  <c:v>2043</c:v>
                </c:pt>
                <c:pt idx="215">
                  <c:v>2044</c:v>
                </c:pt>
                <c:pt idx="216">
                  <c:v>2045</c:v>
                </c:pt>
                <c:pt idx="217">
                  <c:v>2046</c:v>
                </c:pt>
                <c:pt idx="218">
                  <c:v>2047</c:v>
                </c:pt>
                <c:pt idx="219">
                  <c:v>2048</c:v>
                </c:pt>
                <c:pt idx="220">
                  <c:v>2049</c:v>
                </c:pt>
                <c:pt idx="221">
                  <c:v>2050</c:v>
                </c:pt>
                <c:pt idx="222">
                  <c:v>2051</c:v>
                </c:pt>
                <c:pt idx="223">
                  <c:v>2052</c:v>
                </c:pt>
                <c:pt idx="224">
                  <c:v>2053</c:v>
                </c:pt>
                <c:pt idx="225">
                  <c:v>2054</c:v>
                </c:pt>
                <c:pt idx="226">
                  <c:v>2055</c:v>
                </c:pt>
                <c:pt idx="227">
                  <c:v>2056</c:v>
                </c:pt>
                <c:pt idx="228">
                  <c:v>2057</c:v>
                </c:pt>
                <c:pt idx="229">
                  <c:v>2058</c:v>
                </c:pt>
                <c:pt idx="230">
                  <c:v>2059</c:v>
                </c:pt>
                <c:pt idx="231">
                  <c:v>2060</c:v>
                </c:pt>
                <c:pt idx="232">
                  <c:v>2061</c:v>
                </c:pt>
                <c:pt idx="233">
                  <c:v>2062</c:v>
                </c:pt>
                <c:pt idx="234">
                  <c:v>2063</c:v>
                </c:pt>
                <c:pt idx="235">
                  <c:v>2064</c:v>
                </c:pt>
                <c:pt idx="236">
                  <c:v>2065</c:v>
                </c:pt>
                <c:pt idx="237">
                  <c:v>2066</c:v>
                </c:pt>
                <c:pt idx="238">
                  <c:v>2067</c:v>
                </c:pt>
                <c:pt idx="239">
                  <c:v>2068</c:v>
                </c:pt>
                <c:pt idx="240">
                  <c:v>2069</c:v>
                </c:pt>
                <c:pt idx="241">
                  <c:v>2070</c:v>
                </c:pt>
                <c:pt idx="242">
                  <c:v>2071</c:v>
                </c:pt>
                <c:pt idx="243">
                  <c:v>2072</c:v>
                </c:pt>
                <c:pt idx="244">
                  <c:v>2073</c:v>
                </c:pt>
                <c:pt idx="245">
                  <c:v>2074</c:v>
                </c:pt>
                <c:pt idx="246">
                  <c:v>2075</c:v>
                </c:pt>
                <c:pt idx="247">
                  <c:v>2076</c:v>
                </c:pt>
                <c:pt idx="248">
                  <c:v>2077</c:v>
                </c:pt>
                <c:pt idx="249">
                  <c:v>2078</c:v>
                </c:pt>
                <c:pt idx="250">
                  <c:v>2079</c:v>
                </c:pt>
                <c:pt idx="251">
                  <c:v>2080</c:v>
                </c:pt>
                <c:pt idx="252">
                  <c:v>2081</c:v>
                </c:pt>
                <c:pt idx="253">
                  <c:v>2082</c:v>
                </c:pt>
                <c:pt idx="254">
                  <c:v>2083</c:v>
                </c:pt>
                <c:pt idx="255">
                  <c:v>2084</c:v>
                </c:pt>
                <c:pt idx="256">
                  <c:v>2085</c:v>
                </c:pt>
                <c:pt idx="257">
                  <c:v>2086</c:v>
                </c:pt>
                <c:pt idx="258">
                  <c:v>2087</c:v>
                </c:pt>
                <c:pt idx="259">
                  <c:v>2088</c:v>
                </c:pt>
                <c:pt idx="260">
                  <c:v>2089</c:v>
                </c:pt>
                <c:pt idx="261">
                  <c:v>2090</c:v>
                </c:pt>
                <c:pt idx="262">
                  <c:v>2091</c:v>
                </c:pt>
                <c:pt idx="263">
                  <c:v>2092</c:v>
                </c:pt>
                <c:pt idx="264">
                  <c:v>2093</c:v>
                </c:pt>
                <c:pt idx="265">
                  <c:v>2094</c:v>
                </c:pt>
                <c:pt idx="266">
                  <c:v>2095</c:v>
                </c:pt>
                <c:pt idx="267">
                  <c:v>2096</c:v>
                </c:pt>
                <c:pt idx="268">
                  <c:v>2097</c:v>
                </c:pt>
                <c:pt idx="269">
                  <c:v>2098</c:v>
                </c:pt>
                <c:pt idx="270">
                  <c:v>2099</c:v>
                </c:pt>
                <c:pt idx="271">
                  <c:v>2100</c:v>
                </c:pt>
                <c:pt idx="272">
                  <c:v>2101</c:v>
                </c:pt>
                <c:pt idx="273">
                  <c:v>2102</c:v>
                </c:pt>
                <c:pt idx="274">
                  <c:v>2103</c:v>
                </c:pt>
                <c:pt idx="275">
                  <c:v>2104</c:v>
                </c:pt>
                <c:pt idx="276">
                  <c:v>2105</c:v>
                </c:pt>
                <c:pt idx="277">
                  <c:v>2106</c:v>
                </c:pt>
                <c:pt idx="278">
                  <c:v>2107</c:v>
                </c:pt>
                <c:pt idx="279">
                  <c:v>2108</c:v>
                </c:pt>
                <c:pt idx="280">
                  <c:v>2109</c:v>
                </c:pt>
                <c:pt idx="281">
                  <c:v>2110</c:v>
                </c:pt>
                <c:pt idx="282">
                  <c:v>2111</c:v>
                </c:pt>
                <c:pt idx="283">
                  <c:v>2112</c:v>
                </c:pt>
                <c:pt idx="284">
                  <c:v>2113</c:v>
                </c:pt>
                <c:pt idx="285">
                  <c:v>2114</c:v>
                </c:pt>
              </c:numCache>
            </c:numRef>
          </c:xVal>
          <c:yVal>
            <c:numRef>
              <c:f>'United Kingdom'!$I$12:$I$297</c:f>
              <c:numCache>
                <c:formatCode>0.00</c:formatCode>
                <c:ptCount val="286"/>
                <c:pt idx="0">
                  <c:v>0.10161152009823127</c:v>
                </c:pt>
                <c:pt idx="1">
                  <c:v>5.4722219572568065E-2</c:v>
                </c:pt>
                <c:pt idx="2">
                  <c:v>7.7759738621807628E-3</c:v>
                </c:pt>
                <c:pt idx="3">
                  <c:v>-5.1634211549981046E-2</c:v>
                </c:pt>
                <c:pt idx="4">
                  <c:v>-0.11762305461707001</c:v>
                </c:pt>
                <c:pt idx="5">
                  <c:v>-0.18770355457650112</c:v>
                </c:pt>
                <c:pt idx="6">
                  <c:v>-0.249180555995963</c:v>
                </c:pt>
                <c:pt idx="7">
                  <c:v>-0.30872850548689712</c:v>
                </c:pt>
                <c:pt idx="8">
                  <c:v>-0.36240270399434849</c:v>
                </c:pt>
                <c:pt idx="9">
                  <c:v>-0.40916455613523794</c:v>
                </c:pt>
                <c:pt idx="10">
                  <c:v>-0.45046938378163759</c:v>
                </c:pt>
                <c:pt idx="11">
                  <c:v>-0.48092726965023758</c:v>
                </c:pt>
                <c:pt idx="12">
                  <c:v>-0.51540107836945026</c:v>
                </c:pt>
                <c:pt idx="13">
                  <c:v>-0.57118254575175342</c:v>
                </c:pt>
                <c:pt idx="14">
                  <c:v>-0.61859290482902907</c:v>
                </c:pt>
                <c:pt idx="15">
                  <c:v>-0.66311518634370259</c:v>
                </c:pt>
                <c:pt idx="16">
                  <c:v>-0.66940818953617054</c:v>
                </c:pt>
                <c:pt idx="17">
                  <c:v>-0.66964079550211864</c:v>
                </c:pt>
                <c:pt idx="18">
                  <c:v>-0.6849798532132354</c:v>
                </c:pt>
                <c:pt idx="19">
                  <c:v>-0.68531031666725539</c:v>
                </c:pt>
                <c:pt idx="20">
                  <c:v>-0.67116973816428072</c:v>
                </c:pt>
                <c:pt idx="21">
                  <c:v>-0.63662167957977545</c:v>
                </c:pt>
                <c:pt idx="22">
                  <c:v>-0.5923630011025125</c:v>
                </c:pt>
                <c:pt idx="23">
                  <c:v>-0.53412666432723199</c:v>
                </c:pt>
                <c:pt idx="24">
                  <c:v>-0.46712065155452365</c:v>
                </c:pt>
                <c:pt idx="25">
                  <c:v>-0.37886534913218384</c:v>
                </c:pt>
                <c:pt idx="26">
                  <c:v>-0.30820371258846535</c:v>
                </c:pt>
                <c:pt idx="27">
                  <c:v>-0.23703463577930961</c:v>
                </c:pt>
                <c:pt idx="28">
                  <c:v>-0.16241979731171341</c:v>
                </c:pt>
                <c:pt idx="29">
                  <c:v>-0.14182706523683919</c:v>
                </c:pt>
                <c:pt idx="30">
                  <c:v>-0.12139989612433055</c:v>
                </c:pt>
                <c:pt idx="31">
                  <c:v>-7.1241531010855397E-2</c:v>
                </c:pt>
                <c:pt idx="32">
                  <c:v>-3.8094563467439002E-2</c:v>
                </c:pt>
                <c:pt idx="33">
                  <c:v>-1.4521609215535136E-2</c:v>
                </c:pt>
                <c:pt idx="34">
                  <c:v>2.8645577059251082E-2</c:v>
                </c:pt>
                <c:pt idx="35">
                  <c:v>7.6525472092725977E-2</c:v>
                </c:pt>
                <c:pt idx="36">
                  <c:v>0.12299398803406802</c:v>
                </c:pt>
                <c:pt idx="37">
                  <c:v>0.16851915670395101</c:v>
                </c:pt>
                <c:pt idx="38">
                  <c:v>0.19351434815234825</c:v>
                </c:pt>
                <c:pt idx="39">
                  <c:v>0.20839921126002992</c:v>
                </c:pt>
                <c:pt idx="40">
                  <c:v>0.22249496112021916</c:v>
                </c:pt>
                <c:pt idx="41">
                  <c:v>0.24413830848652651</c:v>
                </c:pt>
                <c:pt idx="42">
                  <c:v>0.28928385480116958</c:v>
                </c:pt>
                <c:pt idx="43">
                  <c:v>0.33897980582446507</c:v>
                </c:pt>
                <c:pt idx="44">
                  <c:v>0.40044951608388146</c:v>
                </c:pt>
                <c:pt idx="45">
                  <c:v>0.42528713536376017</c:v>
                </c:pt>
                <c:pt idx="46">
                  <c:v>0.46939626814037183</c:v>
                </c:pt>
                <c:pt idx="47">
                  <c:v>0.49375434010767094</c:v>
                </c:pt>
                <c:pt idx="48">
                  <c:v>0.49227197765549136</c:v>
                </c:pt>
                <c:pt idx="49">
                  <c:v>0.45946597867259698</c:v>
                </c:pt>
                <c:pt idx="50">
                  <c:v>0.41111521693051145</c:v>
                </c:pt>
                <c:pt idx="51">
                  <c:v>0.42914303662473685</c:v>
                </c:pt>
                <c:pt idx="52">
                  <c:v>0.475730224203744</c:v>
                </c:pt>
                <c:pt idx="53">
                  <c:v>0.51007981987095263</c:v>
                </c:pt>
                <c:pt idx="54">
                  <c:v>0.56426350071137676</c:v>
                </c:pt>
                <c:pt idx="55">
                  <c:v>0.57545666729038203</c:v>
                </c:pt>
                <c:pt idx="56">
                  <c:v>0.55839892259791668</c:v>
                </c:pt>
                <c:pt idx="57">
                  <c:v>0.50892270408417062</c:v>
                </c:pt>
                <c:pt idx="58">
                  <c:v>0.4692791918059811</c:v>
                </c:pt>
                <c:pt idx="59">
                  <c:v>0.45580501847598498</c:v>
                </c:pt>
                <c:pt idx="60">
                  <c:v>0.46141531519810997</c:v>
                </c:pt>
                <c:pt idx="61">
                  <c:v>0.47416938534706787</c:v>
                </c:pt>
                <c:pt idx="62">
                  <c:v>0.48308307000479545</c:v>
                </c:pt>
                <c:pt idx="63">
                  <c:v>0.45717158967045179</c:v>
                </c:pt>
                <c:pt idx="64">
                  <c:v>0.32145886596754281</c:v>
                </c:pt>
                <c:pt idx="65">
                  <c:v>0.29348300928813842</c:v>
                </c:pt>
                <c:pt idx="66">
                  <c:v>0.25885903275207056</c:v>
                </c:pt>
                <c:pt idx="67">
                  <c:v>0.23272160480178172</c:v>
                </c:pt>
                <c:pt idx="68">
                  <c:v>0.22445075005293802</c:v>
                </c:pt>
                <c:pt idx="69">
                  <c:v>0.20036127053208475</c:v>
                </c:pt>
                <c:pt idx="70">
                  <c:v>0.24977991711216418</c:v>
                </c:pt>
                <c:pt idx="71">
                  <c:v>0.30552474377100225</c:v>
                </c:pt>
                <c:pt idx="72">
                  <c:v>0.31810076540500631</c:v>
                </c:pt>
                <c:pt idx="73">
                  <c:v>0.3519504255832544</c:v>
                </c:pt>
                <c:pt idx="74">
                  <c:v>0.38466571690537421</c:v>
                </c:pt>
                <c:pt idx="75">
                  <c:v>0.41238990084366378</c:v>
                </c:pt>
                <c:pt idx="76">
                  <c:v>0.44430397900441676</c:v>
                </c:pt>
                <c:pt idx="77">
                  <c:v>0.52716496028392612</c:v>
                </c:pt>
                <c:pt idx="78">
                  <c:v>0.66802746163057236</c:v>
                </c:pt>
                <c:pt idx="79">
                  <c:v>0.77071828588941571</c:v>
                </c:pt>
                <c:pt idx="80">
                  <c:v>0.86980455287402947</c:v>
                </c:pt>
                <c:pt idx="81">
                  <c:v>0.96203950549124784</c:v>
                </c:pt>
                <c:pt idx="82">
                  <c:v>1.0723457282706477</c:v>
                </c:pt>
                <c:pt idx="83">
                  <c:v>1.1294866147432003</c:v>
                </c:pt>
                <c:pt idx="84">
                  <c:v>1.2852826966727662</c:v>
                </c:pt>
                <c:pt idx="85">
                  <c:v>1.3464913040138526</c:v>
                </c:pt>
                <c:pt idx="86">
                  <c:v>1.3507033047496861</c:v>
                </c:pt>
                <c:pt idx="87">
                  <c:v>1.3615169352415251</c:v>
                </c:pt>
                <c:pt idx="88">
                  <c:v>1.3369840185459907</c:v>
                </c:pt>
                <c:pt idx="89">
                  <c:v>1.2280381917244085</c:v>
                </c:pt>
                <c:pt idx="90">
                  <c:v>1.1242798033522376</c:v>
                </c:pt>
                <c:pt idx="91">
                  <c:v>1.0184635299249294</c:v>
                </c:pt>
                <c:pt idx="92">
                  <c:v>0.65452842472996053</c:v>
                </c:pt>
                <c:pt idx="93">
                  <c:v>0.62661692740653052</c:v>
                </c:pt>
                <c:pt idx="94">
                  <c:v>0.69721839307590017</c:v>
                </c:pt>
                <c:pt idx="95">
                  <c:v>0.733153031718075</c:v>
                </c:pt>
                <c:pt idx="96">
                  <c:v>0.6777506267537774</c:v>
                </c:pt>
                <c:pt idx="97">
                  <c:v>0.16760109505048604</c:v>
                </c:pt>
                <c:pt idx="98">
                  <c:v>0.14455061453122653</c:v>
                </c:pt>
                <c:pt idx="99">
                  <c:v>6.9642862090404378E-2</c:v>
                </c:pt>
                <c:pt idx="100">
                  <c:v>7.7932670767722811E-2</c:v>
                </c:pt>
                <c:pt idx="101">
                  <c:v>3.5432819633115287E-2</c:v>
                </c:pt>
                <c:pt idx="102">
                  <c:v>-0.10052535215186253</c:v>
                </c:pt>
                <c:pt idx="103">
                  <c:v>-0.27599738745675495</c:v>
                </c:pt>
                <c:pt idx="104">
                  <c:v>-0.45587528727082827</c:v>
                </c:pt>
                <c:pt idx="105">
                  <c:v>-0.57694281834756111</c:v>
                </c:pt>
                <c:pt idx="106">
                  <c:v>-0.68535787831888229</c:v>
                </c:pt>
                <c:pt idx="107">
                  <c:v>-0.76454976411400821</c:v>
                </c:pt>
                <c:pt idx="108">
                  <c:v>-0.78942378365059085</c:v>
                </c:pt>
                <c:pt idx="109">
                  <c:v>-0.85931824144699931</c:v>
                </c:pt>
                <c:pt idx="110">
                  <c:v>-0.90554768257197793</c:v>
                </c:pt>
                <c:pt idx="111">
                  <c:v>-0.97227064994649481</c:v>
                </c:pt>
                <c:pt idx="112">
                  <c:v>-1.1052190431305462</c:v>
                </c:pt>
                <c:pt idx="113">
                  <c:v>-1.2388502679455087</c:v>
                </c:pt>
                <c:pt idx="114">
                  <c:v>-1.3897510721694744</c:v>
                </c:pt>
                <c:pt idx="115">
                  <c:v>-1.5581108889846291</c:v>
                </c:pt>
                <c:pt idx="116">
                  <c:v>-1.7613818953284408</c:v>
                </c:pt>
                <c:pt idx="117">
                  <c:v>-1.9264486462079731</c:v>
                </c:pt>
                <c:pt idx="118">
                  <c:v>-2.0518554306056558</c:v>
                </c:pt>
                <c:pt idx="119">
                  <c:v>-2.1181517417739997</c:v>
                </c:pt>
                <c:pt idx="120">
                  <c:v>-2.1362995689050877</c:v>
                </c:pt>
                <c:pt idx="121">
                  <c:v>-2.1359963231113852</c:v>
                </c:pt>
                <c:pt idx="122">
                  <c:v>-2.0928142094242048</c:v>
                </c:pt>
                <c:pt idx="123">
                  <c:v>-2.0232425013180091</c:v>
                </c:pt>
                <c:pt idx="124">
                  <c:v>-1.9400043564287444</c:v>
                </c:pt>
                <c:pt idx="125">
                  <c:v>-1.8371130849268411</c:v>
                </c:pt>
                <c:pt idx="126">
                  <c:v>-1.7231223988512738</c:v>
                </c:pt>
                <c:pt idx="127">
                  <c:v>-1.5817708163569932</c:v>
                </c:pt>
                <c:pt idx="128">
                  <c:v>-1.4110583983517699</c:v>
                </c:pt>
                <c:pt idx="129">
                  <c:v>-1.2567618497193962</c:v>
                </c:pt>
                <c:pt idx="130">
                  <c:v>-1.130709687409535</c:v>
                </c:pt>
                <c:pt idx="131">
                  <c:v>-1.0458384367036615</c:v>
                </c:pt>
                <c:pt idx="132">
                  <c:v>-0.95363240913707159</c:v>
                </c:pt>
                <c:pt idx="133">
                  <c:v>-0.79524261719348033</c:v>
                </c:pt>
                <c:pt idx="134">
                  <c:v>-0.61954082087027018</c:v>
                </c:pt>
                <c:pt idx="135">
                  <c:v>-0.41908230881199415</c:v>
                </c:pt>
                <c:pt idx="136">
                  <c:v>-0.22352057505690937</c:v>
                </c:pt>
                <c:pt idx="137">
                  <c:v>-7.8836239436441247E-2</c:v>
                </c:pt>
                <c:pt idx="138">
                  <c:v>9.0431177971368015E-2</c:v>
                </c:pt>
                <c:pt idx="139">
                  <c:v>0.2381676495906504</c:v>
                </c:pt>
                <c:pt idx="140">
                  <c:v>0.32003382206357855</c:v>
                </c:pt>
                <c:pt idx="141">
                  <c:v>0.36637678778993177</c:v>
                </c:pt>
                <c:pt idx="142">
                  <c:v>0.45546399539989579</c:v>
                </c:pt>
                <c:pt idx="143">
                  <c:v>0.37000230187209127</c:v>
                </c:pt>
                <c:pt idx="144">
                  <c:v>0.38416268935088738</c:v>
                </c:pt>
                <c:pt idx="145">
                  <c:v>0.25007998230648809</c:v>
                </c:pt>
                <c:pt idx="146">
                  <c:v>0.2911901694099015</c:v>
                </c:pt>
                <c:pt idx="147">
                  <c:v>0.31971840308028732</c:v>
                </c:pt>
                <c:pt idx="148">
                  <c:v>0.36006443892711104</c:v>
                </c:pt>
                <c:pt idx="149">
                  <c:v>0.4305622970434797</c:v>
                </c:pt>
                <c:pt idx="150">
                  <c:v>0.52420724326020718</c:v>
                </c:pt>
                <c:pt idx="151">
                  <c:v>0.73731792849457634</c:v>
                </c:pt>
                <c:pt idx="152">
                  <c:v>0.96823237547505414</c:v>
                </c:pt>
                <c:pt idx="153">
                  <c:v>1.2155121379178127</c:v>
                </c:pt>
                <c:pt idx="154">
                  <c:v>1.4513530130966501</c:v>
                </c:pt>
                <c:pt idx="155">
                  <c:v>0.99558926458780661</c:v>
                </c:pt>
                <c:pt idx="156">
                  <c:v>1.0194039154066559</c:v>
                </c:pt>
                <c:pt idx="157">
                  <c:v>1.2346340077072</c:v>
                </c:pt>
                <c:pt idx="158">
                  <c:v>1.4527831007549139</c:v>
                </c:pt>
                <c:pt idx="159">
                  <c:v>1.7112163324179619</c:v>
                </c:pt>
                <c:pt idx="160">
                  <c:v>1.964759262733196</c:v>
                </c:pt>
                <c:pt idx="161">
                  <c:v>2.1739984075902612</c:v>
                </c:pt>
                <c:pt idx="162">
                  <c:v>2.44956200880506</c:v>
                </c:pt>
                <c:pt idx="163">
                  <c:v>2.6379151810233452</c:v>
                </c:pt>
                <c:pt idx="164">
                  <c:v>2.6301613112325413</c:v>
                </c:pt>
                <c:pt idx="165">
                  <c:v>2.3620566281501851</c:v>
                </c:pt>
                <c:pt idx="166">
                  <c:v>2.1741837833701538</c:v>
                </c:pt>
                <c:pt idx="167">
                  <c:v>1.9624198781289124</c:v>
                </c:pt>
                <c:pt idx="168">
                  <c:v>1.7430659166534497</c:v>
                </c:pt>
                <c:pt idx="169">
                  <c:v>1.4213679216429682</c:v>
                </c:pt>
                <c:pt idx="170">
                  <c:v>1.0448943611011146</c:v>
                </c:pt>
                <c:pt idx="171">
                  <c:v>0.57933126814441493</c:v>
                </c:pt>
                <c:pt idx="172">
                  <c:v>0.13594198397936452</c:v>
                </c:pt>
                <c:pt idx="173">
                  <c:v>-0.33208192642746326</c:v>
                </c:pt>
                <c:pt idx="174">
                  <c:v>-0.8219767380421672</c:v>
                </c:pt>
                <c:pt idx="175">
                  <c:v>-1.3621555266315681</c:v>
                </c:pt>
                <c:pt idx="176">
                  <c:v>-1.9814478908851925</c:v>
                </c:pt>
                <c:pt idx="177">
                  <c:v>-2.6334610541939583</c:v>
                </c:pt>
                <c:pt idx="178">
                  <c:v>-3.3103577698975641</c:v>
                </c:pt>
                <c:pt idx="179">
                  <c:v>-3.9636413396453918</c:v>
                </c:pt>
                <c:pt idx="180">
                  <c:v>-4.6164873238230939</c:v>
                </c:pt>
              </c:numCache>
            </c:numRef>
          </c:yVal>
          <c:smooth val="1"/>
          <c:extLst>
            <c:ext xmlns:c16="http://schemas.microsoft.com/office/drawing/2014/chart" uri="{C3380CC4-5D6E-409C-BE32-E72D297353CC}">
              <c16:uniqueId val="{00000004-1664-9D41-B8AD-93C61AC46C41}"/>
            </c:ext>
          </c:extLst>
        </c:ser>
        <c:dLbls>
          <c:showLegendKey val="0"/>
          <c:showVal val="0"/>
          <c:showCatName val="0"/>
          <c:showSerName val="0"/>
          <c:showPercent val="0"/>
          <c:showBubbleSize val="0"/>
        </c:dLbls>
        <c:axId val="128429056"/>
        <c:axId val="128570112"/>
      </c:scatterChart>
      <c:valAx>
        <c:axId val="128429056"/>
        <c:scaling>
          <c:orientation val="minMax"/>
          <c:max val="2020"/>
          <c:min val="182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28570112"/>
        <c:crossesAt val="-100"/>
        <c:crossBetween val="midCat"/>
        <c:majorUnit val="50"/>
        <c:minorUnit val="10"/>
      </c:valAx>
      <c:valAx>
        <c:axId val="128570112"/>
        <c:scaling>
          <c:orientation val="minMax"/>
          <c:max val="5"/>
          <c:min val="-5"/>
        </c:scaling>
        <c:delete val="0"/>
        <c:axPos val="r"/>
        <c:title>
          <c:tx>
            <c:rich>
              <a:bodyPr rot="-5400000" vert="horz"/>
              <a:lstStyle/>
              <a:p>
                <a:pPr>
                  <a:defRPr sz="1200" b="0">
                    <a:solidFill>
                      <a:srgbClr val="333399"/>
                    </a:solidFill>
                  </a:defRPr>
                </a:pPr>
                <a:r>
                  <a:rPr lang="en-US" sz="1200" b="0">
                    <a:solidFill>
                      <a:srgbClr val="333399"/>
                    </a:solidFill>
                  </a:rPr>
                  <a:t>Residual, years</a:t>
                </a:r>
              </a:p>
            </c:rich>
          </c:tx>
          <c:layout>
            <c:manualLayout>
              <c:xMode val="edge"/>
              <c:yMode val="edge"/>
              <c:x val="0.9625265392781317"/>
              <c:y val="0.26229512977544472"/>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28429056"/>
        <c:crosses val="max"/>
        <c:crossBetween val="midCat"/>
        <c:majorUnit val="5"/>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260947644702333E-2"/>
          <c:y val="5.7060002916302532E-2"/>
          <c:w val="0.85074248494060001"/>
          <c:h val="0.77264654418197765"/>
        </c:manualLayout>
      </c:layout>
      <c:scatterChart>
        <c:scatterStyle val="smoothMarker"/>
        <c:varyColors val="0"/>
        <c:ser>
          <c:idx val="3"/>
          <c:order val="0"/>
          <c:tx>
            <c:v>Current long-term fit</c:v>
          </c:tx>
          <c:spPr>
            <a:ln w="15875">
              <a:solidFill>
                <a:srgbClr val="808080"/>
              </a:solidFill>
              <a:prstDash val="solid"/>
            </a:ln>
          </c:spPr>
          <c:marker>
            <c:symbol val="none"/>
          </c:marker>
          <c:xVal>
            <c:numLit>
              <c:formatCode>General</c:formatCode>
              <c:ptCount val="2"/>
              <c:pt idx="0">
                <c:v>1900</c:v>
              </c:pt>
              <c:pt idx="1">
                <c:v>2009</c:v>
              </c:pt>
            </c:numLit>
          </c:xVal>
          <c:yVal>
            <c:numRef>
              <c:f>('United Kingdom'!$F$1,'United Kingdom'!$F$1)</c:f>
              <c:numCache>
                <c:formatCode>0.0</c:formatCode>
                <c:ptCount val="2"/>
                <c:pt idx="0">
                  <c:v>28.875830974615702</c:v>
                </c:pt>
                <c:pt idx="1">
                  <c:v>28.875830974615702</c:v>
                </c:pt>
              </c:numCache>
            </c:numRef>
          </c:yVal>
          <c:smooth val="1"/>
          <c:extLst>
            <c:ext xmlns:c16="http://schemas.microsoft.com/office/drawing/2014/chart" uri="{C3380CC4-5D6E-409C-BE32-E72D297353CC}">
              <c16:uniqueId val="{00000000-F807-E74D-B910-0B9964CF7273}"/>
            </c:ext>
          </c:extLst>
        </c:ser>
        <c:ser>
          <c:idx val="1"/>
          <c:order val="1"/>
          <c:tx>
            <c:strRef>
              <c:f>'United Kingdom'!$F$11</c:f>
              <c:strCache>
                <c:ptCount val="1"/>
                <c:pt idx="0">
                  <c:v>q Gt</c:v>
                </c:pt>
              </c:strCache>
            </c:strRef>
          </c:tx>
          <c:spPr>
            <a:ln w="15875">
              <a:solidFill>
                <a:srgbClr val="008000"/>
              </a:solidFill>
            </a:ln>
          </c:spPr>
          <c:marker>
            <c:symbol val="none"/>
          </c:marker>
          <c:xVal>
            <c:numRef>
              <c:f>'United Kingdom'!$D$12:$D$302</c:f>
              <c:numCache>
                <c:formatCode>0</c:formatCode>
                <c:ptCount val="291"/>
                <c:pt idx="0">
                  <c:v>1829</c:v>
                </c:pt>
                <c:pt idx="1">
                  <c:v>1830</c:v>
                </c:pt>
                <c:pt idx="2">
                  <c:v>1831</c:v>
                </c:pt>
                <c:pt idx="3">
                  <c:v>1832</c:v>
                </c:pt>
                <c:pt idx="4">
                  <c:v>1833</c:v>
                </c:pt>
                <c:pt idx="5">
                  <c:v>1834</c:v>
                </c:pt>
                <c:pt idx="6">
                  <c:v>1835</c:v>
                </c:pt>
                <c:pt idx="7">
                  <c:v>1836</c:v>
                </c:pt>
                <c:pt idx="8">
                  <c:v>1837</c:v>
                </c:pt>
                <c:pt idx="9">
                  <c:v>1838</c:v>
                </c:pt>
                <c:pt idx="10">
                  <c:v>1839</c:v>
                </c:pt>
                <c:pt idx="11">
                  <c:v>1840</c:v>
                </c:pt>
                <c:pt idx="12">
                  <c:v>1841</c:v>
                </c:pt>
                <c:pt idx="13">
                  <c:v>1842</c:v>
                </c:pt>
                <c:pt idx="14">
                  <c:v>1843</c:v>
                </c:pt>
                <c:pt idx="15">
                  <c:v>1844</c:v>
                </c:pt>
                <c:pt idx="16">
                  <c:v>1845</c:v>
                </c:pt>
                <c:pt idx="17">
                  <c:v>1846</c:v>
                </c:pt>
                <c:pt idx="18">
                  <c:v>1847</c:v>
                </c:pt>
                <c:pt idx="19">
                  <c:v>1848</c:v>
                </c:pt>
                <c:pt idx="20">
                  <c:v>1849</c:v>
                </c:pt>
                <c:pt idx="21">
                  <c:v>1850</c:v>
                </c:pt>
                <c:pt idx="22">
                  <c:v>1851</c:v>
                </c:pt>
                <c:pt idx="23">
                  <c:v>1852</c:v>
                </c:pt>
                <c:pt idx="24">
                  <c:v>1853</c:v>
                </c:pt>
                <c:pt idx="25">
                  <c:v>1854</c:v>
                </c:pt>
                <c:pt idx="26">
                  <c:v>1855</c:v>
                </c:pt>
                <c:pt idx="27">
                  <c:v>1856</c:v>
                </c:pt>
                <c:pt idx="28">
                  <c:v>1857</c:v>
                </c:pt>
                <c:pt idx="29">
                  <c:v>1858</c:v>
                </c:pt>
                <c:pt idx="30">
                  <c:v>1859</c:v>
                </c:pt>
                <c:pt idx="31">
                  <c:v>1860</c:v>
                </c:pt>
                <c:pt idx="32">
                  <c:v>1861</c:v>
                </c:pt>
                <c:pt idx="33">
                  <c:v>1862</c:v>
                </c:pt>
                <c:pt idx="34">
                  <c:v>1863</c:v>
                </c:pt>
                <c:pt idx="35">
                  <c:v>1864</c:v>
                </c:pt>
                <c:pt idx="36">
                  <c:v>1865</c:v>
                </c:pt>
                <c:pt idx="37">
                  <c:v>1866</c:v>
                </c:pt>
                <c:pt idx="38">
                  <c:v>1867</c:v>
                </c:pt>
                <c:pt idx="39">
                  <c:v>1868</c:v>
                </c:pt>
                <c:pt idx="40">
                  <c:v>1869</c:v>
                </c:pt>
                <c:pt idx="41">
                  <c:v>1870</c:v>
                </c:pt>
                <c:pt idx="42">
                  <c:v>1871</c:v>
                </c:pt>
                <c:pt idx="43">
                  <c:v>1872</c:v>
                </c:pt>
                <c:pt idx="44">
                  <c:v>1873</c:v>
                </c:pt>
                <c:pt idx="45">
                  <c:v>1874</c:v>
                </c:pt>
                <c:pt idx="46">
                  <c:v>1875</c:v>
                </c:pt>
                <c:pt idx="47">
                  <c:v>1876</c:v>
                </c:pt>
                <c:pt idx="48">
                  <c:v>1877</c:v>
                </c:pt>
                <c:pt idx="49">
                  <c:v>1878</c:v>
                </c:pt>
                <c:pt idx="50">
                  <c:v>1879</c:v>
                </c:pt>
                <c:pt idx="51">
                  <c:v>1880</c:v>
                </c:pt>
                <c:pt idx="52">
                  <c:v>1881</c:v>
                </c:pt>
                <c:pt idx="53">
                  <c:v>1882</c:v>
                </c:pt>
                <c:pt idx="54">
                  <c:v>1883</c:v>
                </c:pt>
                <c:pt idx="55">
                  <c:v>1884</c:v>
                </c:pt>
                <c:pt idx="56">
                  <c:v>1885</c:v>
                </c:pt>
                <c:pt idx="57">
                  <c:v>1886</c:v>
                </c:pt>
                <c:pt idx="58">
                  <c:v>1887</c:v>
                </c:pt>
                <c:pt idx="59">
                  <c:v>1888</c:v>
                </c:pt>
                <c:pt idx="60">
                  <c:v>1889</c:v>
                </c:pt>
                <c:pt idx="61">
                  <c:v>1890</c:v>
                </c:pt>
                <c:pt idx="62">
                  <c:v>1891</c:v>
                </c:pt>
                <c:pt idx="63">
                  <c:v>1892</c:v>
                </c:pt>
                <c:pt idx="64">
                  <c:v>1893</c:v>
                </c:pt>
                <c:pt idx="65">
                  <c:v>1894</c:v>
                </c:pt>
                <c:pt idx="66">
                  <c:v>1895</c:v>
                </c:pt>
                <c:pt idx="67">
                  <c:v>1896</c:v>
                </c:pt>
                <c:pt idx="68">
                  <c:v>1897</c:v>
                </c:pt>
                <c:pt idx="69">
                  <c:v>1898</c:v>
                </c:pt>
                <c:pt idx="70">
                  <c:v>1899</c:v>
                </c:pt>
                <c:pt idx="71">
                  <c:v>1900</c:v>
                </c:pt>
                <c:pt idx="72">
                  <c:v>1901</c:v>
                </c:pt>
                <c:pt idx="73">
                  <c:v>1902</c:v>
                </c:pt>
                <c:pt idx="74">
                  <c:v>1903</c:v>
                </c:pt>
                <c:pt idx="75">
                  <c:v>1904</c:v>
                </c:pt>
                <c:pt idx="76">
                  <c:v>1905</c:v>
                </c:pt>
                <c:pt idx="77">
                  <c:v>1906</c:v>
                </c:pt>
                <c:pt idx="78">
                  <c:v>1907</c:v>
                </c:pt>
                <c:pt idx="79">
                  <c:v>1908</c:v>
                </c:pt>
                <c:pt idx="80">
                  <c:v>1909</c:v>
                </c:pt>
                <c:pt idx="81">
                  <c:v>1910</c:v>
                </c:pt>
                <c:pt idx="82">
                  <c:v>1911</c:v>
                </c:pt>
                <c:pt idx="83">
                  <c:v>1912</c:v>
                </c:pt>
                <c:pt idx="84">
                  <c:v>1913</c:v>
                </c:pt>
                <c:pt idx="85">
                  <c:v>1914</c:v>
                </c:pt>
                <c:pt idx="86">
                  <c:v>1915</c:v>
                </c:pt>
                <c:pt idx="87">
                  <c:v>1916</c:v>
                </c:pt>
                <c:pt idx="88">
                  <c:v>1917</c:v>
                </c:pt>
                <c:pt idx="89">
                  <c:v>1918</c:v>
                </c:pt>
                <c:pt idx="90">
                  <c:v>1919</c:v>
                </c:pt>
                <c:pt idx="91">
                  <c:v>1920</c:v>
                </c:pt>
                <c:pt idx="92">
                  <c:v>1921</c:v>
                </c:pt>
                <c:pt idx="93">
                  <c:v>1922</c:v>
                </c:pt>
                <c:pt idx="94">
                  <c:v>1923</c:v>
                </c:pt>
                <c:pt idx="95">
                  <c:v>1924</c:v>
                </c:pt>
                <c:pt idx="96">
                  <c:v>1925</c:v>
                </c:pt>
                <c:pt idx="97">
                  <c:v>1926</c:v>
                </c:pt>
                <c:pt idx="98">
                  <c:v>1927</c:v>
                </c:pt>
                <c:pt idx="99">
                  <c:v>1928</c:v>
                </c:pt>
                <c:pt idx="100">
                  <c:v>1929</c:v>
                </c:pt>
                <c:pt idx="101">
                  <c:v>1930</c:v>
                </c:pt>
                <c:pt idx="102">
                  <c:v>1931</c:v>
                </c:pt>
                <c:pt idx="103">
                  <c:v>1932</c:v>
                </c:pt>
                <c:pt idx="104">
                  <c:v>1933</c:v>
                </c:pt>
                <c:pt idx="105">
                  <c:v>1934</c:v>
                </c:pt>
                <c:pt idx="106">
                  <c:v>1935</c:v>
                </c:pt>
                <c:pt idx="107">
                  <c:v>1936</c:v>
                </c:pt>
                <c:pt idx="108">
                  <c:v>1937</c:v>
                </c:pt>
                <c:pt idx="109">
                  <c:v>1938</c:v>
                </c:pt>
                <c:pt idx="110">
                  <c:v>1939</c:v>
                </c:pt>
                <c:pt idx="111">
                  <c:v>1940</c:v>
                </c:pt>
                <c:pt idx="112">
                  <c:v>1941</c:v>
                </c:pt>
                <c:pt idx="113">
                  <c:v>1942</c:v>
                </c:pt>
                <c:pt idx="114">
                  <c:v>1943</c:v>
                </c:pt>
                <c:pt idx="115">
                  <c:v>1944</c:v>
                </c:pt>
                <c:pt idx="116">
                  <c:v>1945</c:v>
                </c:pt>
                <c:pt idx="117">
                  <c:v>1946</c:v>
                </c:pt>
                <c:pt idx="118">
                  <c:v>1947</c:v>
                </c:pt>
                <c:pt idx="119">
                  <c:v>1948</c:v>
                </c:pt>
                <c:pt idx="120">
                  <c:v>1949</c:v>
                </c:pt>
                <c:pt idx="121">
                  <c:v>1950</c:v>
                </c:pt>
                <c:pt idx="122">
                  <c:v>1951</c:v>
                </c:pt>
                <c:pt idx="123">
                  <c:v>1952</c:v>
                </c:pt>
                <c:pt idx="124">
                  <c:v>1953</c:v>
                </c:pt>
                <c:pt idx="125">
                  <c:v>1954</c:v>
                </c:pt>
                <c:pt idx="126">
                  <c:v>1955</c:v>
                </c:pt>
                <c:pt idx="127">
                  <c:v>1956</c:v>
                </c:pt>
                <c:pt idx="128">
                  <c:v>1957</c:v>
                </c:pt>
                <c:pt idx="129">
                  <c:v>1958</c:v>
                </c:pt>
                <c:pt idx="130">
                  <c:v>1959</c:v>
                </c:pt>
                <c:pt idx="131">
                  <c:v>1960</c:v>
                </c:pt>
                <c:pt idx="132">
                  <c:v>1961</c:v>
                </c:pt>
                <c:pt idx="133">
                  <c:v>1962</c:v>
                </c:pt>
                <c:pt idx="134">
                  <c:v>1963</c:v>
                </c:pt>
                <c:pt idx="135">
                  <c:v>1964</c:v>
                </c:pt>
                <c:pt idx="136">
                  <c:v>1965</c:v>
                </c:pt>
                <c:pt idx="137">
                  <c:v>1966</c:v>
                </c:pt>
                <c:pt idx="138">
                  <c:v>1967</c:v>
                </c:pt>
                <c:pt idx="139">
                  <c:v>1968</c:v>
                </c:pt>
                <c:pt idx="140">
                  <c:v>1969</c:v>
                </c:pt>
                <c:pt idx="141">
                  <c:v>1970</c:v>
                </c:pt>
                <c:pt idx="142">
                  <c:v>1971</c:v>
                </c:pt>
                <c:pt idx="143">
                  <c:v>1972</c:v>
                </c:pt>
                <c:pt idx="144">
                  <c:v>1973</c:v>
                </c:pt>
                <c:pt idx="145">
                  <c:v>1974</c:v>
                </c:pt>
                <c:pt idx="146">
                  <c:v>1975</c:v>
                </c:pt>
                <c:pt idx="147">
                  <c:v>1976</c:v>
                </c:pt>
                <c:pt idx="148">
                  <c:v>1977</c:v>
                </c:pt>
                <c:pt idx="149">
                  <c:v>1978</c:v>
                </c:pt>
                <c:pt idx="150">
                  <c:v>1979</c:v>
                </c:pt>
                <c:pt idx="151">
                  <c:v>1980</c:v>
                </c:pt>
                <c:pt idx="152">
                  <c:v>1981</c:v>
                </c:pt>
                <c:pt idx="153">
                  <c:v>1982</c:v>
                </c:pt>
                <c:pt idx="154">
                  <c:v>1983</c:v>
                </c:pt>
                <c:pt idx="155">
                  <c:v>1984</c:v>
                </c:pt>
                <c:pt idx="156">
                  <c:v>1985</c:v>
                </c:pt>
                <c:pt idx="157">
                  <c:v>1986</c:v>
                </c:pt>
                <c:pt idx="158">
                  <c:v>1987</c:v>
                </c:pt>
                <c:pt idx="159">
                  <c:v>1988</c:v>
                </c:pt>
                <c:pt idx="160">
                  <c:v>1989</c:v>
                </c:pt>
                <c:pt idx="161">
                  <c:v>1990</c:v>
                </c:pt>
                <c:pt idx="162">
                  <c:v>1991</c:v>
                </c:pt>
                <c:pt idx="163">
                  <c:v>1992</c:v>
                </c:pt>
                <c:pt idx="164">
                  <c:v>1993</c:v>
                </c:pt>
                <c:pt idx="165">
                  <c:v>1994</c:v>
                </c:pt>
                <c:pt idx="166">
                  <c:v>1995</c:v>
                </c:pt>
                <c:pt idx="167">
                  <c:v>1996</c:v>
                </c:pt>
                <c:pt idx="168">
                  <c:v>1997</c:v>
                </c:pt>
                <c:pt idx="169">
                  <c:v>1998</c:v>
                </c:pt>
                <c:pt idx="170">
                  <c:v>1999</c:v>
                </c:pt>
                <c:pt idx="171">
                  <c:v>2000</c:v>
                </c:pt>
                <c:pt idx="172">
                  <c:v>2001</c:v>
                </c:pt>
                <c:pt idx="173">
                  <c:v>2002</c:v>
                </c:pt>
                <c:pt idx="174">
                  <c:v>2003</c:v>
                </c:pt>
                <c:pt idx="175">
                  <c:v>2004</c:v>
                </c:pt>
                <c:pt idx="176">
                  <c:v>2005</c:v>
                </c:pt>
                <c:pt idx="177">
                  <c:v>2006</c:v>
                </c:pt>
                <c:pt idx="178">
                  <c:v>2007</c:v>
                </c:pt>
                <c:pt idx="179">
                  <c:v>2008</c:v>
                </c:pt>
                <c:pt idx="180">
                  <c:v>2009</c:v>
                </c:pt>
                <c:pt idx="181">
                  <c:v>2010</c:v>
                </c:pt>
                <c:pt idx="182">
                  <c:v>2011</c:v>
                </c:pt>
                <c:pt idx="183">
                  <c:v>2012</c:v>
                </c:pt>
                <c:pt idx="184">
                  <c:v>2013</c:v>
                </c:pt>
                <c:pt idx="185">
                  <c:v>2014</c:v>
                </c:pt>
                <c:pt idx="186">
                  <c:v>2015</c:v>
                </c:pt>
                <c:pt idx="187">
                  <c:v>2016</c:v>
                </c:pt>
                <c:pt idx="188">
                  <c:v>2017</c:v>
                </c:pt>
                <c:pt idx="189">
                  <c:v>2018</c:v>
                </c:pt>
                <c:pt idx="190">
                  <c:v>2019</c:v>
                </c:pt>
                <c:pt idx="191">
                  <c:v>2020</c:v>
                </c:pt>
                <c:pt idx="192">
                  <c:v>2021</c:v>
                </c:pt>
                <c:pt idx="193">
                  <c:v>2022</c:v>
                </c:pt>
                <c:pt idx="194">
                  <c:v>2023</c:v>
                </c:pt>
                <c:pt idx="195">
                  <c:v>2024</c:v>
                </c:pt>
                <c:pt idx="196">
                  <c:v>2025</c:v>
                </c:pt>
                <c:pt idx="197">
                  <c:v>2026</c:v>
                </c:pt>
                <c:pt idx="198">
                  <c:v>2027</c:v>
                </c:pt>
                <c:pt idx="199">
                  <c:v>2028</c:v>
                </c:pt>
                <c:pt idx="200">
                  <c:v>2029</c:v>
                </c:pt>
                <c:pt idx="201">
                  <c:v>2030</c:v>
                </c:pt>
                <c:pt idx="202">
                  <c:v>2031</c:v>
                </c:pt>
                <c:pt idx="203">
                  <c:v>2032</c:v>
                </c:pt>
                <c:pt idx="204">
                  <c:v>2033</c:v>
                </c:pt>
                <c:pt idx="205">
                  <c:v>2034</c:v>
                </c:pt>
                <c:pt idx="206">
                  <c:v>2035</c:v>
                </c:pt>
                <c:pt idx="207">
                  <c:v>2036</c:v>
                </c:pt>
                <c:pt idx="208">
                  <c:v>2037</c:v>
                </c:pt>
                <c:pt idx="209">
                  <c:v>2038</c:v>
                </c:pt>
                <c:pt idx="210">
                  <c:v>2039</c:v>
                </c:pt>
                <c:pt idx="211">
                  <c:v>2040</c:v>
                </c:pt>
                <c:pt idx="212">
                  <c:v>2041</c:v>
                </c:pt>
                <c:pt idx="213">
                  <c:v>2042</c:v>
                </c:pt>
                <c:pt idx="214">
                  <c:v>2043</c:v>
                </c:pt>
                <c:pt idx="215">
                  <c:v>2044</c:v>
                </c:pt>
                <c:pt idx="216">
                  <c:v>2045</c:v>
                </c:pt>
                <c:pt idx="217">
                  <c:v>2046</c:v>
                </c:pt>
                <c:pt idx="218">
                  <c:v>2047</c:v>
                </c:pt>
                <c:pt idx="219">
                  <c:v>2048</c:v>
                </c:pt>
                <c:pt idx="220">
                  <c:v>2049</c:v>
                </c:pt>
                <c:pt idx="221">
                  <c:v>2050</c:v>
                </c:pt>
                <c:pt idx="222">
                  <c:v>2051</c:v>
                </c:pt>
                <c:pt idx="223">
                  <c:v>2052</c:v>
                </c:pt>
                <c:pt idx="224">
                  <c:v>2053</c:v>
                </c:pt>
                <c:pt idx="225">
                  <c:v>2054</c:v>
                </c:pt>
                <c:pt idx="226">
                  <c:v>2055</c:v>
                </c:pt>
                <c:pt idx="227">
                  <c:v>2056</c:v>
                </c:pt>
                <c:pt idx="228">
                  <c:v>2057</c:v>
                </c:pt>
                <c:pt idx="229">
                  <c:v>2058</c:v>
                </c:pt>
                <c:pt idx="230">
                  <c:v>2059</c:v>
                </c:pt>
                <c:pt idx="231">
                  <c:v>2060</c:v>
                </c:pt>
                <c:pt idx="232">
                  <c:v>2061</c:v>
                </c:pt>
                <c:pt idx="233">
                  <c:v>2062</c:v>
                </c:pt>
                <c:pt idx="234">
                  <c:v>2063</c:v>
                </c:pt>
                <c:pt idx="235">
                  <c:v>2064</c:v>
                </c:pt>
                <c:pt idx="236">
                  <c:v>2065</c:v>
                </c:pt>
                <c:pt idx="237">
                  <c:v>2066</c:v>
                </c:pt>
                <c:pt idx="238">
                  <c:v>2067</c:v>
                </c:pt>
                <c:pt idx="239">
                  <c:v>2068</c:v>
                </c:pt>
                <c:pt idx="240">
                  <c:v>2069</c:v>
                </c:pt>
                <c:pt idx="241">
                  <c:v>2070</c:v>
                </c:pt>
                <c:pt idx="242">
                  <c:v>2071</c:v>
                </c:pt>
                <c:pt idx="243">
                  <c:v>2072</c:v>
                </c:pt>
                <c:pt idx="244">
                  <c:v>2073</c:v>
                </c:pt>
                <c:pt idx="245">
                  <c:v>2074</c:v>
                </c:pt>
                <c:pt idx="246">
                  <c:v>2075</c:v>
                </c:pt>
                <c:pt idx="247">
                  <c:v>2076</c:v>
                </c:pt>
                <c:pt idx="248">
                  <c:v>2077</c:v>
                </c:pt>
                <c:pt idx="249">
                  <c:v>2078</c:v>
                </c:pt>
                <c:pt idx="250">
                  <c:v>2079</c:v>
                </c:pt>
                <c:pt idx="251">
                  <c:v>2080</c:v>
                </c:pt>
                <c:pt idx="252">
                  <c:v>2081</c:v>
                </c:pt>
                <c:pt idx="253">
                  <c:v>2082</c:v>
                </c:pt>
                <c:pt idx="254">
                  <c:v>2083</c:v>
                </c:pt>
                <c:pt idx="255">
                  <c:v>2084</c:v>
                </c:pt>
                <c:pt idx="256">
                  <c:v>2085</c:v>
                </c:pt>
                <c:pt idx="257">
                  <c:v>2086</c:v>
                </c:pt>
                <c:pt idx="258">
                  <c:v>2087</c:v>
                </c:pt>
                <c:pt idx="259">
                  <c:v>2088</c:v>
                </c:pt>
                <c:pt idx="260">
                  <c:v>2089</c:v>
                </c:pt>
                <c:pt idx="261">
                  <c:v>2090</c:v>
                </c:pt>
                <c:pt idx="262">
                  <c:v>2091</c:v>
                </c:pt>
                <c:pt idx="263">
                  <c:v>2092</c:v>
                </c:pt>
                <c:pt idx="264">
                  <c:v>2093</c:v>
                </c:pt>
                <c:pt idx="265">
                  <c:v>2094</c:v>
                </c:pt>
                <c:pt idx="266">
                  <c:v>2095</c:v>
                </c:pt>
                <c:pt idx="267">
                  <c:v>2096</c:v>
                </c:pt>
                <c:pt idx="268">
                  <c:v>2097</c:v>
                </c:pt>
                <c:pt idx="269">
                  <c:v>2098</c:v>
                </c:pt>
                <c:pt idx="270">
                  <c:v>2099</c:v>
                </c:pt>
                <c:pt idx="271">
                  <c:v>2100</c:v>
                </c:pt>
                <c:pt idx="272">
                  <c:v>2101</c:v>
                </c:pt>
                <c:pt idx="273">
                  <c:v>2102</c:v>
                </c:pt>
                <c:pt idx="274">
                  <c:v>2103</c:v>
                </c:pt>
                <c:pt idx="275">
                  <c:v>2104</c:v>
                </c:pt>
                <c:pt idx="276">
                  <c:v>2105</c:v>
                </c:pt>
                <c:pt idx="277">
                  <c:v>2106</c:v>
                </c:pt>
                <c:pt idx="278">
                  <c:v>2107</c:v>
                </c:pt>
                <c:pt idx="279">
                  <c:v>2108</c:v>
                </c:pt>
                <c:pt idx="280">
                  <c:v>2109</c:v>
                </c:pt>
                <c:pt idx="281">
                  <c:v>2110</c:v>
                </c:pt>
                <c:pt idx="282">
                  <c:v>2111</c:v>
                </c:pt>
                <c:pt idx="283">
                  <c:v>2112</c:v>
                </c:pt>
                <c:pt idx="284">
                  <c:v>2113</c:v>
                </c:pt>
                <c:pt idx="285">
                  <c:v>2114</c:v>
                </c:pt>
                <c:pt idx="286">
                  <c:v>2115</c:v>
                </c:pt>
                <c:pt idx="287">
                  <c:v>2116</c:v>
                </c:pt>
                <c:pt idx="288">
                  <c:v>2117</c:v>
                </c:pt>
                <c:pt idx="289">
                  <c:v>2118</c:v>
                </c:pt>
                <c:pt idx="290">
                  <c:v>2119</c:v>
                </c:pt>
              </c:numCache>
            </c:numRef>
          </c:xVal>
          <c:yVal>
            <c:numRef>
              <c:f>'United Kingdom'!$F$12:$F$302</c:f>
              <c:numCache>
                <c:formatCode>0.0</c:formatCode>
                <c:ptCount val="291"/>
                <c:pt idx="0" formatCode="#,##0.0">
                  <c:v>0.89666139776793197</c:v>
                </c:pt>
                <c:pt idx="1">
                  <c:v>0.92716139776793194</c:v>
                </c:pt>
                <c:pt idx="2">
                  <c:v>0.95866139776793191</c:v>
                </c:pt>
                <c:pt idx="3">
                  <c:v>0.99076139776793193</c:v>
                </c:pt>
                <c:pt idx="4">
                  <c:v>1.0236613977679319</c:v>
                </c:pt>
                <c:pt idx="5">
                  <c:v>1.0574613977679319</c:v>
                </c:pt>
                <c:pt idx="6">
                  <c:v>1.0926613977679318</c:v>
                </c:pt>
                <c:pt idx="7">
                  <c:v>1.1290613977679318</c:v>
                </c:pt>
                <c:pt idx="8">
                  <c:v>1.1668613977679319</c:v>
                </c:pt>
                <c:pt idx="9">
                  <c:v>1.2061613977679317</c:v>
                </c:pt>
                <c:pt idx="10">
                  <c:v>1.2469613977679317</c:v>
                </c:pt>
                <c:pt idx="11">
                  <c:v>1.2895613977679317</c:v>
                </c:pt>
                <c:pt idx="12">
                  <c:v>1.3333613977679317</c:v>
                </c:pt>
                <c:pt idx="13">
                  <c:v>1.3775613977679317</c:v>
                </c:pt>
                <c:pt idx="14">
                  <c:v>1.4235613977679318</c:v>
                </c:pt>
                <c:pt idx="15">
                  <c:v>1.4711613977679319</c:v>
                </c:pt>
                <c:pt idx="16">
                  <c:v>1.5222613977679318</c:v>
                </c:pt>
                <c:pt idx="17">
                  <c:v>1.5753613977679317</c:v>
                </c:pt>
                <c:pt idx="18">
                  <c:v>1.6293613977679318</c:v>
                </c:pt>
                <c:pt idx="19">
                  <c:v>1.6859613977679317</c:v>
                </c:pt>
                <c:pt idx="20">
                  <c:v>1.7452613977679317</c:v>
                </c:pt>
                <c:pt idx="21">
                  <c:v>1.8077613977679317</c:v>
                </c:pt>
                <c:pt idx="22">
                  <c:v>1.8729613977679316</c:v>
                </c:pt>
                <c:pt idx="23">
                  <c:v>1.9412613977679316</c:v>
                </c:pt>
                <c:pt idx="24">
                  <c:v>2.0124613977679315</c:v>
                </c:pt>
                <c:pt idx="25">
                  <c:v>2.0875613977679315</c:v>
                </c:pt>
                <c:pt idx="26">
                  <c:v>2.1639613977679315</c:v>
                </c:pt>
                <c:pt idx="27">
                  <c:v>2.2429613977679317</c:v>
                </c:pt>
                <c:pt idx="28">
                  <c:v>2.3248613977679318</c:v>
                </c:pt>
                <c:pt idx="29">
                  <c:v>2.4051613977679316</c:v>
                </c:pt>
                <c:pt idx="30">
                  <c:v>2.4879613977679318</c:v>
                </c:pt>
                <c:pt idx="31">
                  <c:v>2.5758613977679317</c:v>
                </c:pt>
                <c:pt idx="32">
                  <c:v>2.6650613977679316</c:v>
                </c:pt>
                <c:pt idx="33">
                  <c:v>2.7561613977679316</c:v>
                </c:pt>
                <c:pt idx="34">
                  <c:v>2.8518613977679315</c:v>
                </c:pt>
                <c:pt idx="35">
                  <c:v>2.9509613977679314</c:v>
                </c:pt>
                <c:pt idx="36">
                  <c:v>3.0529613977679313</c:v>
                </c:pt>
                <c:pt idx="37">
                  <c:v>3.1579613977679313</c:v>
                </c:pt>
                <c:pt idx="38">
                  <c:v>3.2639613977679311</c:v>
                </c:pt>
                <c:pt idx="39">
                  <c:v>3.3719613977679312</c:v>
                </c:pt>
                <c:pt idx="40">
                  <c:v>3.4829613977679315</c:v>
                </c:pt>
                <c:pt idx="41">
                  <c:v>3.5979613977679317</c:v>
                </c:pt>
                <c:pt idx="42">
                  <c:v>3.7189613977679317</c:v>
                </c:pt>
                <c:pt idx="43">
                  <c:v>3.8439613977679317</c:v>
                </c:pt>
                <c:pt idx="44">
                  <c:v>3.9739613977679316</c:v>
                </c:pt>
                <c:pt idx="45">
                  <c:v>4.1029613977679311</c:v>
                </c:pt>
                <c:pt idx="46">
                  <c:v>4.2379613977679309</c:v>
                </c:pt>
                <c:pt idx="47">
                  <c:v>4.373961397767931</c:v>
                </c:pt>
                <c:pt idx="48">
                  <c:v>4.5099613977679311</c:v>
                </c:pt>
                <c:pt idx="49">
                  <c:v>4.6449613977679309</c:v>
                </c:pt>
                <c:pt idx="50">
                  <c:v>4.7809613977679311</c:v>
                </c:pt>
                <c:pt idx="51">
                  <c:v>4.9299613977679311</c:v>
                </c:pt>
                <c:pt idx="52">
                  <c:v>5.0869613977679311</c:v>
                </c:pt>
                <c:pt idx="53">
                  <c:v>5.2459613977679309</c:v>
                </c:pt>
                <c:pt idx="54">
                  <c:v>5.4119613977679313</c:v>
                </c:pt>
                <c:pt idx="55">
                  <c:v>5.5749613977679315</c:v>
                </c:pt>
                <c:pt idx="56">
                  <c:v>5.7369613977679315</c:v>
                </c:pt>
                <c:pt idx="57">
                  <c:v>5.8969613977679316</c:v>
                </c:pt>
                <c:pt idx="58">
                  <c:v>6.0619613977679316</c:v>
                </c:pt>
                <c:pt idx="59">
                  <c:v>6.2349613977679317</c:v>
                </c:pt>
                <c:pt idx="60">
                  <c:v>6.4149613977679314</c:v>
                </c:pt>
                <c:pt idx="61">
                  <c:v>6.599961397767931</c:v>
                </c:pt>
                <c:pt idx="62">
                  <c:v>6.7879613977679307</c:v>
                </c:pt>
                <c:pt idx="63">
                  <c:v>6.9729613977679303</c:v>
                </c:pt>
                <c:pt idx="64">
                  <c:v>7.1399613977679302</c:v>
                </c:pt>
                <c:pt idx="65">
                  <c:v>7.33096139776793</c:v>
                </c:pt>
                <c:pt idx="66">
                  <c:v>7.5239613977679296</c:v>
                </c:pt>
                <c:pt idx="67">
                  <c:v>7.72196139776793</c:v>
                </c:pt>
                <c:pt idx="68">
                  <c:v>7.9269613977679301</c:v>
                </c:pt>
                <c:pt idx="69">
                  <c:v>8.1319613977679293</c:v>
                </c:pt>
                <c:pt idx="70">
                  <c:v>8.3559613977679295</c:v>
                </c:pt>
                <c:pt idx="71">
                  <c:v>8.5849613977679287</c:v>
                </c:pt>
                <c:pt idx="72">
                  <c:v>8.8079613977679294</c:v>
                </c:pt>
                <c:pt idx="73">
                  <c:v>9.0389613977679293</c:v>
                </c:pt>
                <c:pt idx="74">
                  <c:v>9.2729613977679293</c:v>
                </c:pt>
                <c:pt idx="75">
                  <c:v>9.5089613977679299</c:v>
                </c:pt>
                <c:pt idx="76">
                  <c:v>9.7489613977679301</c:v>
                </c:pt>
                <c:pt idx="77">
                  <c:v>10.003961397767931</c:v>
                </c:pt>
                <c:pt idx="78">
                  <c:v>10.275961397767931</c:v>
                </c:pt>
                <c:pt idx="79">
                  <c:v>10.541961397767931</c:v>
                </c:pt>
                <c:pt idx="80">
                  <c:v>10.809961397767932</c:v>
                </c:pt>
                <c:pt idx="81">
                  <c:v>11.078961397767932</c:v>
                </c:pt>
                <c:pt idx="82">
                  <c:v>11.354961397767932</c:v>
                </c:pt>
                <c:pt idx="83">
                  <c:v>11.619961397767932</c:v>
                </c:pt>
                <c:pt idx="84">
                  <c:v>11.911961397767932</c:v>
                </c:pt>
                <c:pt idx="85">
                  <c:v>12.181961397767932</c:v>
                </c:pt>
                <c:pt idx="86">
                  <c:v>12.438961397767931</c:v>
                </c:pt>
                <c:pt idx="87">
                  <c:v>12.698961397767931</c:v>
                </c:pt>
                <c:pt idx="88">
                  <c:v>12.950961397767932</c:v>
                </c:pt>
                <c:pt idx="89">
                  <c:v>13.181961397767932</c:v>
                </c:pt>
                <c:pt idx="90">
                  <c:v>13.414961397767932</c:v>
                </c:pt>
                <c:pt idx="91">
                  <c:v>13.647961397767933</c:v>
                </c:pt>
                <c:pt idx="92">
                  <c:v>13.813961397767933</c:v>
                </c:pt>
                <c:pt idx="93">
                  <c:v>14.067961397767933</c:v>
                </c:pt>
                <c:pt idx="94">
                  <c:v>14.347961397767932</c:v>
                </c:pt>
                <c:pt idx="95">
                  <c:v>14.618961397767933</c:v>
                </c:pt>
                <c:pt idx="96">
                  <c:v>14.865961397767933</c:v>
                </c:pt>
                <c:pt idx="97">
                  <c:v>14.993961397767933</c:v>
                </c:pt>
                <c:pt idx="98">
                  <c:v>15.248961397767934</c:v>
                </c:pt>
                <c:pt idx="99">
                  <c:v>15.489961397767933</c:v>
                </c:pt>
                <c:pt idx="100">
                  <c:v>15.751961397767934</c:v>
                </c:pt>
                <c:pt idx="101">
                  <c:v>15.999961397767933</c:v>
                </c:pt>
                <c:pt idx="102">
                  <c:v>16.222961397767932</c:v>
                </c:pt>
                <c:pt idx="103">
                  <c:v>16.434961397767932</c:v>
                </c:pt>
                <c:pt idx="104">
                  <c:v>16.644961397767933</c:v>
                </c:pt>
                <c:pt idx="105">
                  <c:v>16.868961397767933</c:v>
                </c:pt>
                <c:pt idx="106">
                  <c:v>17.094961397767932</c:v>
                </c:pt>
                <c:pt idx="107">
                  <c:v>17.326961397767931</c:v>
                </c:pt>
                <c:pt idx="108">
                  <c:v>17.570961397767931</c:v>
                </c:pt>
                <c:pt idx="109">
                  <c:v>17.801961397767933</c:v>
                </c:pt>
                <c:pt idx="110">
                  <c:v>18.036961397767932</c:v>
                </c:pt>
                <c:pt idx="111">
                  <c:v>18.264961397767934</c:v>
                </c:pt>
                <c:pt idx="112">
                  <c:v>18.474961397767935</c:v>
                </c:pt>
                <c:pt idx="113">
                  <c:v>18.682961397767933</c:v>
                </c:pt>
                <c:pt idx="114">
                  <c:v>18.884961397767935</c:v>
                </c:pt>
                <c:pt idx="115">
                  <c:v>19.080961397767936</c:v>
                </c:pt>
                <c:pt idx="116">
                  <c:v>19.266961397767936</c:v>
                </c:pt>
                <c:pt idx="117">
                  <c:v>19.459961397767938</c:v>
                </c:pt>
                <c:pt idx="118">
                  <c:v>19.659961397767937</c:v>
                </c:pt>
                <c:pt idx="119">
                  <c:v>19.870961397767935</c:v>
                </c:pt>
                <c:pt idx="120">
                  <c:v>20.089961397767937</c:v>
                </c:pt>
                <c:pt idx="121">
                  <c:v>20.309961397767935</c:v>
                </c:pt>
                <c:pt idx="122">
                  <c:v>20.535961397767934</c:v>
                </c:pt>
                <c:pt idx="123">
                  <c:v>20.763961397767936</c:v>
                </c:pt>
                <c:pt idx="124">
                  <c:v>20.990961397767936</c:v>
                </c:pt>
                <c:pt idx="125">
                  <c:v>21.217961397767937</c:v>
                </c:pt>
                <c:pt idx="126">
                  <c:v>21.442961397767938</c:v>
                </c:pt>
                <c:pt idx="127">
                  <c:v>21.668961397767937</c:v>
                </c:pt>
                <c:pt idx="128">
                  <c:v>21.895961397767937</c:v>
                </c:pt>
                <c:pt idx="129">
                  <c:v>22.114961397767939</c:v>
                </c:pt>
                <c:pt idx="130">
                  <c:v>22.323961397767938</c:v>
                </c:pt>
                <c:pt idx="131">
                  <c:v>22.520961397767937</c:v>
                </c:pt>
                <c:pt idx="132">
                  <c:v>22.714961397767937</c:v>
                </c:pt>
                <c:pt idx="133">
                  <c:v>22.915961397767937</c:v>
                </c:pt>
                <c:pt idx="134">
                  <c:v>23.114961397767939</c:v>
                </c:pt>
                <c:pt idx="135">
                  <c:v>23.312961397767939</c:v>
                </c:pt>
                <c:pt idx="136">
                  <c:v>23.504961397767939</c:v>
                </c:pt>
                <c:pt idx="137">
                  <c:v>23.683961397767938</c:v>
                </c:pt>
                <c:pt idx="138">
                  <c:v>23.861961397767939</c:v>
                </c:pt>
                <c:pt idx="139">
                  <c:v>24.03196139776794</c:v>
                </c:pt>
                <c:pt idx="140">
                  <c:v>24.187961397767939</c:v>
                </c:pt>
                <c:pt idx="141">
                  <c:v>24.334961397767938</c:v>
                </c:pt>
                <c:pt idx="142">
                  <c:v>24.483961397767938</c:v>
                </c:pt>
                <c:pt idx="143">
                  <c:v>24.605961397767938</c:v>
                </c:pt>
                <c:pt idx="144">
                  <c:v>24.73796139776794</c:v>
                </c:pt>
                <c:pt idx="145">
                  <c:v>24.847961397767939</c:v>
                </c:pt>
                <c:pt idx="146">
                  <c:v>24.976961397767941</c:v>
                </c:pt>
                <c:pt idx="147">
                  <c:v>25.100961397767939</c:v>
                </c:pt>
                <c:pt idx="148">
                  <c:v>25.222961397767939</c:v>
                </c:pt>
                <c:pt idx="149">
                  <c:v>25.344961397767939</c:v>
                </c:pt>
                <c:pt idx="150">
                  <c:v>25.465961397767938</c:v>
                </c:pt>
                <c:pt idx="151">
                  <c:v>25.595961397767937</c:v>
                </c:pt>
                <c:pt idx="152">
                  <c:v>25.723431397767936</c:v>
                </c:pt>
                <c:pt idx="153">
                  <c:v>25.848141397767936</c:v>
                </c:pt>
                <c:pt idx="154">
                  <c:v>25.967391397767937</c:v>
                </c:pt>
                <c:pt idx="155">
                  <c:v>26.018571397767936</c:v>
                </c:pt>
                <c:pt idx="156">
                  <c:v>26.112681397767936</c:v>
                </c:pt>
                <c:pt idx="157">
                  <c:v>26.220781397767936</c:v>
                </c:pt>
                <c:pt idx="158">
                  <c:v>26.325311397767937</c:v>
                </c:pt>
                <c:pt idx="159">
                  <c:v>26.429381397767937</c:v>
                </c:pt>
                <c:pt idx="160">
                  <c:v>26.529201397767938</c:v>
                </c:pt>
                <c:pt idx="161">
                  <c:v>26.621961397767937</c:v>
                </c:pt>
                <c:pt idx="162">
                  <c:v>26.716161397767937</c:v>
                </c:pt>
                <c:pt idx="163">
                  <c:v>26.800651397767936</c:v>
                </c:pt>
                <c:pt idx="164">
                  <c:v>26.868851397767937</c:v>
                </c:pt>
                <c:pt idx="165">
                  <c:v>26.917821397767938</c:v>
                </c:pt>
                <c:pt idx="166">
                  <c:v>26.970861397767937</c:v>
                </c:pt>
                <c:pt idx="167">
                  <c:v>27.021061397767937</c:v>
                </c:pt>
                <c:pt idx="168">
                  <c:v>27.069561397767938</c:v>
                </c:pt>
                <c:pt idx="169">
                  <c:v>27.110739397767937</c:v>
                </c:pt>
                <c:pt idx="170">
                  <c:v>27.147816397767937</c:v>
                </c:pt>
                <c:pt idx="171">
                  <c:v>27.179014180434603</c:v>
                </c:pt>
                <c:pt idx="172">
                  <c:v>27.210944436434602</c:v>
                </c:pt>
                <c:pt idx="173">
                  <c:v>27.240933591434601</c:v>
                </c:pt>
                <c:pt idx="174">
                  <c:v>27.269212320434601</c:v>
                </c:pt>
                <c:pt idx="175">
                  <c:v>27.2943083774346</c:v>
                </c:pt>
                <c:pt idx="176">
                  <c:v>27.314806670434599</c:v>
                </c:pt>
                <c:pt idx="177">
                  <c:v>27.333323832434598</c:v>
                </c:pt>
                <c:pt idx="178">
                  <c:v>27.350331159434599</c:v>
                </c:pt>
                <c:pt idx="179">
                  <c:v>27.368384402006029</c:v>
                </c:pt>
                <c:pt idx="180">
                  <c:v>27.386258035826952</c:v>
                </c:pt>
              </c:numCache>
            </c:numRef>
          </c:yVal>
          <c:smooth val="1"/>
          <c:extLst>
            <c:ext xmlns:c16="http://schemas.microsoft.com/office/drawing/2014/chart" uri="{C3380CC4-5D6E-409C-BE32-E72D297353CC}">
              <c16:uniqueId val="{00000001-F807-E74D-B910-0B9964CF7273}"/>
            </c:ext>
          </c:extLst>
        </c:ser>
        <c:ser>
          <c:idx val="2"/>
          <c:order val="2"/>
          <c:tx>
            <c:strRef>
              <c:f>'United Kingdom'!$H$11</c:f>
              <c:strCache>
                <c:ptCount val="1"/>
                <c:pt idx="0">
                  <c:v>Q historical</c:v>
                </c:pt>
              </c:strCache>
            </c:strRef>
          </c:tx>
          <c:spPr>
            <a:ln w="15875">
              <a:solidFill>
                <a:srgbClr val="333399"/>
              </a:solidFill>
            </a:ln>
          </c:spPr>
          <c:marker>
            <c:symbol val="none"/>
          </c:marker>
          <c:xVal>
            <c:numRef>
              <c:f>'United Kingdom'!$D$83:$D$302</c:f>
              <c:numCache>
                <c:formatCode>0</c:formatCode>
                <c:ptCount val="220"/>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pt idx="13">
                  <c:v>1913</c:v>
                </c:pt>
                <c:pt idx="14">
                  <c:v>1914</c:v>
                </c:pt>
                <c:pt idx="15">
                  <c:v>1915</c:v>
                </c:pt>
                <c:pt idx="16">
                  <c:v>1916</c:v>
                </c:pt>
                <c:pt idx="17">
                  <c:v>1917</c:v>
                </c:pt>
                <c:pt idx="18">
                  <c:v>1918</c:v>
                </c:pt>
                <c:pt idx="19">
                  <c:v>1919</c:v>
                </c:pt>
                <c:pt idx="20">
                  <c:v>1920</c:v>
                </c:pt>
                <c:pt idx="21">
                  <c:v>1921</c:v>
                </c:pt>
                <c:pt idx="22">
                  <c:v>1922</c:v>
                </c:pt>
                <c:pt idx="23">
                  <c:v>1923</c:v>
                </c:pt>
                <c:pt idx="24">
                  <c:v>1924</c:v>
                </c:pt>
                <c:pt idx="25">
                  <c:v>1925</c:v>
                </c:pt>
                <c:pt idx="26">
                  <c:v>1926</c:v>
                </c:pt>
                <c:pt idx="27">
                  <c:v>1927</c:v>
                </c:pt>
                <c:pt idx="28">
                  <c:v>1928</c:v>
                </c:pt>
                <c:pt idx="29">
                  <c:v>1929</c:v>
                </c:pt>
                <c:pt idx="30">
                  <c:v>1930</c:v>
                </c:pt>
                <c:pt idx="31">
                  <c:v>1931</c:v>
                </c:pt>
                <c:pt idx="32">
                  <c:v>1932</c:v>
                </c:pt>
                <c:pt idx="33">
                  <c:v>1933</c:v>
                </c:pt>
                <c:pt idx="34">
                  <c:v>1934</c:v>
                </c:pt>
                <c:pt idx="35">
                  <c:v>1935</c:v>
                </c:pt>
                <c:pt idx="36">
                  <c:v>1936</c:v>
                </c:pt>
                <c:pt idx="37">
                  <c:v>1937</c:v>
                </c:pt>
                <c:pt idx="38">
                  <c:v>1938</c:v>
                </c:pt>
                <c:pt idx="39">
                  <c:v>1939</c:v>
                </c:pt>
                <c:pt idx="40">
                  <c:v>1940</c:v>
                </c:pt>
                <c:pt idx="41">
                  <c:v>1941</c:v>
                </c:pt>
                <c:pt idx="42">
                  <c:v>1942</c:v>
                </c:pt>
                <c:pt idx="43">
                  <c:v>1943</c:v>
                </c:pt>
                <c:pt idx="44">
                  <c:v>1944</c:v>
                </c:pt>
                <c:pt idx="45">
                  <c:v>1945</c:v>
                </c:pt>
                <c:pt idx="46">
                  <c:v>1946</c:v>
                </c:pt>
                <c:pt idx="47">
                  <c:v>1947</c:v>
                </c:pt>
                <c:pt idx="48">
                  <c:v>1948</c:v>
                </c:pt>
                <c:pt idx="49">
                  <c:v>1949</c:v>
                </c:pt>
                <c:pt idx="50">
                  <c:v>1950</c:v>
                </c:pt>
                <c:pt idx="51">
                  <c:v>1951</c:v>
                </c:pt>
                <c:pt idx="52">
                  <c:v>1952</c:v>
                </c:pt>
                <c:pt idx="53">
                  <c:v>1953</c:v>
                </c:pt>
                <c:pt idx="54">
                  <c:v>1954</c:v>
                </c:pt>
                <c:pt idx="55">
                  <c:v>1955</c:v>
                </c:pt>
                <c:pt idx="56">
                  <c:v>1956</c:v>
                </c:pt>
                <c:pt idx="57">
                  <c:v>1957</c:v>
                </c:pt>
                <c:pt idx="58">
                  <c:v>1958</c:v>
                </c:pt>
                <c:pt idx="59">
                  <c:v>1959</c:v>
                </c:pt>
                <c:pt idx="60">
                  <c:v>1960</c:v>
                </c:pt>
                <c:pt idx="61">
                  <c:v>1961</c:v>
                </c:pt>
                <c:pt idx="62">
                  <c:v>1962</c:v>
                </c:pt>
                <c:pt idx="63">
                  <c:v>1963</c:v>
                </c:pt>
                <c:pt idx="64">
                  <c:v>1964</c:v>
                </c:pt>
                <c:pt idx="65">
                  <c:v>1965</c:v>
                </c:pt>
                <c:pt idx="66">
                  <c:v>1966</c:v>
                </c:pt>
                <c:pt idx="67">
                  <c:v>1967</c:v>
                </c:pt>
                <c:pt idx="68">
                  <c:v>1968</c:v>
                </c:pt>
                <c:pt idx="69">
                  <c:v>1969</c:v>
                </c:pt>
                <c:pt idx="70">
                  <c:v>1970</c:v>
                </c:pt>
                <c:pt idx="71">
                  <c:v>1971</c:v>
                </c:pt>
                <c:pt idx="72">
                  <c:v>1972</c:v>
                </c:pt>
                <c:pt idx="73">
                  <c:v>1973</c:v>
                </c:pt>
                <c:pt idx="74">
                  <c:v>1974</c:v>
                </c:pt>
                <c:pt idx="75">
                  <c:v>1975</c:v>
                </c:pt>
                <c:pt idx="76">
                  <c:v>1976</c:v>
                </c:pt>
                <c:pt idx="77">
                  <c:v>1977</c:v>
                </c:pt>
                <c:pt idx="78">
                  <c:v>1978</c:v>
                </c:pt>
                <c:pt idx="79">
                  <c:v>1979</c:v>
                </c:pt>
                <c:pt idx="80">
                  <c:v>1980</c:v>
                </c:pt>
                <c:pt idx="81">
                  <c:v>1981</c:v>
                </c:pt>
                <c:pt idx="82">
                  <c:v>1982</c:v>
                </c:pt>
                <c:pt idx="83">
                  <c:v>1983</c:v>
                </c:pt>
                <c:pt idx="84">
                  <c:v>1984</c:v>
                </c:pt>
                <c:pt idx="85">
                  <c:v>1985</c:v>
                </c:pt>
                <c:pt idx="86">
                  <c:v>1986</c:v>
                </c:pt>
                <c:pt idx="87">
                  <c:v>1987</c:v>
                </c:pt>
                <c:pt idx="88">
                  <c:v>1988</c:v>
                </c:pt>
                <c:pt idx="89">
                  <c:v>1989</c:v>
                </c:pt>
                <c:pt idx="90">
                  <c:v>1990</c:v>
                </c:pt>
                <c:pt idx="91">
                  <c:v>1991</c:v>
                </c:pt>
                <c:pt idx="92">
                  <c:v>1992</c:v>
                </c:pt>
                <c:pt idx="93">
                  <c:v>1993</c:v>
                </c:pt>
                <c:pt idx="94">
                  <c:v>1994</c:v>
                </c:pt>
                <c:pt idx="95">
                  <c:v>1995</c:v>
                </c:pt>
                <c:pt idx="96">
                  <c:v>1996</c:v>
                </c:pt>
                <c:pt idx="97">
                  <c:v>1997</c:v>
                </c:pt>
                <c:pt idx="98">
                  <c:v>1998</c:v>
                </c:pt>
                <c:pt idx="99">
                  <c:v>1999</c:v>
                </c:pt>
                <c:pt idx="100">
                  <c:v>2000</c:v>
                </c:pt>
                <c:pt idx="101">
                  <c:v>2001</c:v>
                </c:pt>
                <c:pt idx="102">
                  <c:v>2002</c:v>
                </c:pt>
                <c:pt idx="103">
                  <c:v>2003</c:v>
                </c:pt>
                <c:pt idx="104">
                  <c:v>2004</c:v>
                </c:pt>
                <c:pt idx="105">
                  <c:v>2005</c:v>
                </c:pt>
                <c:pt idx="106">
                  <c:v>2006</c:v>
                </c:pt>
                <c:pt idx="107">
                  <c:v>2007</c:v>
                </c:pt>
                <c:pt idx="108">
                  <c:v>2008</c:v>
                </c:pt>
                <c:pt idx="109">
                  <c:v>2009</c:v>
                </c:pt>
                <c:pt idx="110">
                  <c:v>2010</c:v>
                </c:pt>
                <c:pt idx="111">
                  <c:v>2011</c:v>
                </c:pt>
                <c:pt idx="112">
                  <c:v>2012</c:v>
                </c:pt>
                <c:pt idx="113">
                  <c:v>2013</c:v>
                </c:pt>
                <c:pt idx="114">
                  <c:v>2014</c:v>
                </c:pt>
                <c:pt idx="115">
                  <c:v>2015</c:v>
                </c:pt>
                <c:pt idx="116">
                  <c:v>2016</c:v>
                </c:pt>
                <c:pt idx="117">
                  <c:v>2017</c:v>
                </c:pt>
                <c:pt idx="118">
                  <c:v>2018</c:v>
                </c:pt>
                <c:pt idx="119">
                  <c:v>2019</c:v>
                </c:pt>
                <c:pt idx="120">
                  <c:v>2020</c:v>
                </c:pt>
                <c:pt idx="121">
                  <c:v>2021</c:v>
                </c:pt>
                <c:pt idx="122">
                  <c:v>2022</c:v>
                </c:pt>
                <c:pt idx="123">
                  <c:v>2023</c:v>
                </c:pt>
                <c:pt idx="124">
                  <c:v>2024</c:v>
                </c:pt>
                <c:pt idx="125">
                  <c:v>2025</c:v>
                </c:pt>
                <c:pt idx="126">
                  <c:v>2026</c:v>
                </c:pt>
                <c:pt idx="127">
                  <c:v>2027</c:v>
                </c:pt>
                <c:pt idx="128">
                  <c:v>2028</c:v>
                </c:pt>
                <c:pt idx="129">
                  <c:v>2029</c:v>
                </c:pt>
                <c:pt idx="130">
                  <c:v>2030</c:v>
                </c:pt>
                <c:pt idx="131">
                  <c:v>2031</c:v>
                </c:pt>
                <c:pt idx="132">
                  <c:v>2032</c:v>
                </c:pt>
                <c:pt idx="133">
                  <c:v>2033</c:v>
                </c:pt>
                <c:pt idx="134">
                  <c:v>2034</c:v>
                </c:pt>
                <c:pt idx="135">
                  <c:v>2035</c:v>
                </c:pt>
                <c:pt idx="136">
                  <c:v>2036</c:v>
                </c:pt>
                <c:pt idx="137">
                  <c:v>2037</c:v>
                </c:pt>
                <c:pt idx="138">
                  <c:v>2038</c:v>
                </c:pt>
                <c:pt idx="139">
                  <c:v>2039</c:v>
                </c:pt>
                <c:pt idx="140">
                  <c:v>2040</c:v>
                </c:pt>
                <c:pt idx="141">
                  <c:v>2041</c:v>
                </c:pt>
                <c:pt idx="142">
                  <c:v>2042</c:v>
                </c:pt>
                <c:pt idx="143">
                  <c:v>2043</c:v>
                </c:pt>
                <c:pt idx="144">
                  <c:v>2044</c:v>
                </c:pt>
                <c:pt idx="145">
                  <c:v>2045</c:v>
                </c:pt>
                <c:pt idx="146">
                  <c:v>2046</c:v>
                </c:pt>
                <c:pt idx="147">
                  <c:v>2047</c:v>
                </c:pt>
                <c:pt idx="148">
                  <c:v>2048</c:v>
                </c:pt>
                <c:pt idx="149">
                  <c:v>2049</c:v>
                </c:pt>
                <c:pt idx="150">
                  <c:v>2050</c:v>
                </c:pt>
                <c:pt idx="151">
                  <c:v>2051</c:v>
                </c:pt>
                <c:pt idx="152">
                  <c:v>2052</c:v>
                </c:pt>
                <c:pt idx="153">
                  <c:v>2053</c:v>
                </c:pt>
                <c:pt idx="154">
                  <c:v>2054</c:v>
                </c:pt>
                <c:pt idx="155">
                  <c:v>2055</c:v>
                </c:pt>
                <c:pt idx="156">
                  <c:v>2056</c:v>
                </c:pt>
                <c:pt idx="157">
                  <c:v>2057</c:v>
                </c:pt>
                <c:pt idx="158">
                  <c:v>2058</c:v>
                </c:pt>
                <c:pt idx="159">
                  <c:v>2059</c:v>
                </c:pt>
                <c:pt idx="160">
                  <c:v>2060</c:v>
                </c:pt>
                <c:pt idx="161">
                  <c:v>2061</c:v>
                </c:pt>
                <c:pt idx="162">
                  <c:v>2062</c:v>
                </c:pt>
                <c:pt idx="163">
                  <c:v>2063</c:v>
                </c:pt>
                <c:pt idx="164">
                  <c:v>2064</c:v>
                </c:pt>
                <c:pt idx="165">
                  <c:v>2065</c:v>
                </c:pt>
                <c:pt idx="166">
                  <c:v>2066</c:v>
                </c:pt>
                <c:pt idx="167">
                  <c:v>2067</c:v>
                </c:pt>
                <c:pt idx="168">
                  <c:v>2068</c:v>
                </c:pt>
                <c:pt idx="169">
                  <c:v>2069</c:v>
                </c:pt>
                <c:pt idx="170">
                  <c:v>2070</c:v>
                </c:pt>
                <c:pt idx="171">
                  <c:v>2071</c:v>
                </c:pt>
                <c:pt idx="172">
                  <c:v>2072</c:v>
                </c:pt>
                <c:pt idx="173">
                  <c:v>2073</c:v>
                </c:pt>
                <c:pt idx="174">
                  <c:v>2074</c:v>
                </c:pt>
                <c:pt idx="175">
                  <c:v>2075</c:v>
                </c:pt>
                <c:pt idx="176">
                  <c:v>2076</c:v>
                </c:pt>
                <c:pt idx="177">
                  <c:v>2077</c:v>
                </c:pt>
                <c:pt idx="178">
                  <c:v>2078</c:v>
                </c:pt>
                <c:pt idx="179">
                  <c:v>2079</c:v>
                </c:pt>
                <c:pt idx="180">
                  <c:v>2080</c:v>
                </c:pt>
                <c:pt idx="181">
                  <c:v>2081</c:v>
                </c:pt>
                <c:pt idx="182">
                  <c:v>2082</c:v>
                </c:pt>
                <c:pt idx="183">
                  <c:v>2083</c:v>
                </c:pt>
                <c:pt idx="184">
                  <c:v>2084</c:v>
                </c:pt>
                <c:pt idx="185">
                  <c:v>2085</c:v>
                </c:pt>
                <c:pt idx="186">
                  <c:v>2086</c:v>
                </c:pt>
                <c:pt idx="187">
                  <c:v>2087</c:v>
                </c:pt>
                <c:pt idx="188">
                  <c:v>2088</c:v>
                </c:pt>
                <c:pt idx="189">
                  <c:v>2089</c:v>
                </c:pt>
                <c:pt idx="190">
                  <c:v>2090</c:v>
                </c:pt>
                <c:pt idx="191">
                  <c:v>2091</c:v>
                </c:pt>
                <c:pt idx="192">
                  <c:v>2092</c:v>
                </c:pt>
                <c:pt idx="193">
                  <c:v>2093</c:v>
                </c:pt>
                <c:pt idx="194">
                  <c:v>2094</c:v>
                </c:pt>
                <c:pt idx="195">
                  <c:v>2095</c:v>
                </c:pt>
                <c:pt idx="196">
                  <c:v>2096</c:v>
                </c:pt>
                <c:pt idx="197">
                  <c:v>2097</c:v>
                </c:pt>
                <c:pt idx="198">
                  <c:v>2098</c:v>
                </c:pt>
                <c:pt idx="199">
                  <c:v>2099</c:v>
                </c:pt>
                <c:pt idx="200">
                  <c:v>2100</c:v>
                </c:pt>
                <c:pt idx="201">
                  <c:v>2101</c:v>
                </c:pt>
                <c:pt idx="202">
                  <c:v>2102</c:v>
                </c:pt>
                <c:pt idx="203">
                  <c:v>2103</c:v>
                </c:pt>
                <c:pt idx="204">
                  <c:v>2104</c:v>
                </c:pt>
                <c:pt idx="205">
                  <c:v>2105</c:v>
                </c:pt>
                <c:pt idx="206">
                  <c:v>2106</c:v>
                </c:pt>
                <c:pt idx="207">
                  <c:v>2107</c:v>
                </c:pt>
                <c:pt idx="208">
                  <c:v>2108</c:v>
                </c:pt>
                <c:pt idx="209">
                  <c:v>2109</c:v>
                </c:pt>
                <c:pt idx="210">
                  <c:v>2110</c:v>
                </c:pt>
                <c:pt idx="211">
                  <c:v>2111</c:v>
                </c:pt>
                <c:pt idx="212">
                  <c:v>2112</c:v>
                </c:pt>
                <c:pt idx="213">
                  <c:v>2113</c:v>
                </c:pt>
                <c:pt idx="214">
                  <c:v>2114</c:v>
                </c:pt>
                <c:pt idx="215">
                  <c:v>2115</c:v>
                </c:pt>
                <c:pt idx="216">
                  <c:v>2116</c:v>
                </c:pt>
                <c:pt idx="217">
                  <c:v>2117</c:v>
                </c:pt>
                <c:pt idx="218">
                  <c:v>2118</c:v>
                </c:pt>
                <c:pt idx="219">
                  <c:v>2119</c:v>
                </c:pt>
              </c:numCache>
            </c:numRef>
          </c:xVal>
          <c:yVal>
            <c:numRef>
              <c:f>'United Kingdom'!$H$83:$H$302</c:f>
              <c:numCache>
                <c:formatCode>0.0</c:formatCode>
                <c:ptCount val="220"/>
                <c:pt idx="0">
                  <c:v>27.854189841447859</c:v>
                </c:pt>
                <c:pt idx="1">
                  <c:v>27.699795110134481</c:v>
                </c:pt>
                <c:pt idx="2">
                  <c:v>27.609656609282055</c:v>
                </c:pt>
                <c:pt idx="3">
                  <c:v>27.568409091361872</c:v>
                </c:pt>
                <c:pt idx="4">
                  <c:v>27.560799854443946</c:v>
                </c:pt>
                <c:pt idx="5">
                  <c:v>27.582483531705442</c:v>
                </c:pt>
                <c:pt idx="6">
                  <c:v>27.665363173678873</c:v>
                </c:pt>
                <c:pt idx="7">
                  <c:v>27.837123964387956</c:v>
                </c:pt>
                <c:pt idx="8">
                  <c:v>28.048341213344205</c:v>
                </c:pt>
                <c:pt idx="9">
                  <c:v>28.284528972408268</c:v>
                </c:pt>
                <c:pt idx="10">
                  <c:v>28.531942627274109</c:v>
                </c:pt>
                <c:pt idx="11">
                  <c:v>28.795609436360813</c:v>
                </c:pt>
                <c:pt idx="12">
                  <c:v>29.035337770193088</c:v>
                </c:pt>
                <c:pt idx="13">
                  <c:v>29.309615575313085</c:v>
                </c:pt>
                <c:pt idx="14">
                  <c:v>29.553550442625912</c:v>
                </c:pt>
                <c:pt idx="15">
                  <c:v>29.739394245095706</c:v>
                </c:pt>
                <c:pt idx="16">
                  <c:v>29.880014595669689</c:v>
                </c:pt>
                <c:pt idx="17">
                  <c:v>29.966376614575925</c:v>
                </c:pt>
                <c:pt idx="18">
                  <c:v>29.972748863149938</c:v>
                </c:pt>
                <c:pt idx="19">
                  <c:v>29.919927693222117</c:v>
                </c:pt>
                <c:pt idx="20">
                  <c:v>29.821887118487449</c:v>
                </c:pt>
                <c:pt idx="21">
                  <c:v>29.604831432916839</c:v>
                </c:pt>
                <c:pt idx="22">
                  <c:v>29.405457463321216</c:v>
                </c:pt>
                <c:pt idx="23">
                  <c:v>29.25208586342891</c:v>
                </c:pt>
                <c:pt idx="24">
                  <c:v>29.127658916792431</c:v>
                </c:pt>
                <c:pt idx="25">
                  <c:v>29.003271248460365</c:v>
                </c:pt>
                <c:pt idx="26">
                  <c:v>28.769875226970601</c:v>
                </c:pt>
                <c:pt idx="27">
                  <c:v>28.566929214965622</c:v>
                </c:pt>
                <c:pt idx="28">
                  <c:v>28.380267218083137</c:v>
                </c:pt>
                <c:pt idx="29">
                  <c:v>28.226555788809943</c:v>
                </c:pt>
                <c:pt idx="30">
                  <c:v>28.091646101697044</c:v>
                </c:pt>
                <c:pt idx="31">
                  <c:v>27.956383824555381</c:v>
                </c:pt>
                <c:pt idx="32">
                  <c:v>27.816196041707695</c:v>
                </c:pt>
                <c:pt idx="33">
                  <c:v>27.673786495238843</c:v>
                </c:pt>
                <c:pt idx="34">
                  <c:v>27.541206487289234</c:v>
                </c:pt>
                <c:pt idx="35">
                  <c:v>27.420566764371898</c:v>
                </c:pt>
                <c:pt idx="36">
                  <c:v>27.315754382346618</c:v>
                </c:pt>
                <c:pt idx="37">
                  <c:v>27.233124119929002</c:v>
                </c:pt>
                <c:pt idx="38">
                  <c:v>27.16395829608156</c:v>
                </c:pt>
                <c:pt idx="39">
                  <c:v>27.11010935189994</c:v>
                </c:pt>
                <c:pt idx="40">
                  <c:v>27.067240690202091</c:v>
                </c:pt>
                <c:pt idx="41">
                  <c:v>27.026253663850579</c:v>
                </c:pt>
                <c:pt idx="42">
                  <c:v>26.987695577646083</c:v>
                </c:pt>
                <c:pt idx="43">
                  <c:v>26.950150655300693</c:v>
                </c:pt>
                <c:pt idx="44">
                  <c:v>26.912541303541104</c:v>
                </c:pt>
                <c:pt idx="45">
                  <c:v>26.87234663146825</c:v>
                </c:pt>
                <c:pt idx="46">
                  <c:v>26.834637840746456</c:v>
                </c:pt>
                <c:pt idx="47">
                  <c:v>26.803470079028248</c:v>
                </c:pt>
                <c:pt idx="48">
                  <c:v>26.783733610743184</c:v>
                </c:pt>
                <c:pt idx="49">
                  <c:v>26.778324727457264</c:v>
                </c:pt>
                <c:pt idx="50">
                  <c:v>26.786891710933958</c:v>
                </c:pt>
                <c:pt idx="51">
                  <c:v>26.810989968541396</c:v>
                </c:pt>
                <c:pt idx="52">
                  <c:v>26.850282318011743</c:v>
                </c:pt>
                <c:pt idx="53">
                  <c:v>26.903168529701851</c:v>
                </c:pt>
                <c:pt idx="54">
                  <c:v>26.968528267084253</c:v>
                </c:pt>
                <c:pt idx="55">
                  <c:v>27.044521793878946</c:v>
                </c:pt>
                <c:pt idx="56">
                  <c:v>27.130674325482666</c:v>
                </c:pt>
                <c:pt idx="57">
                  <c:v>27.226502725397655</c:v>
                </c:pt>
                <c:pt idx="58">
                  <c:v>27.328024130311725</c:v>
                </c:pt>
                <c:pt idx="59">
                  <c:v>27.431131234570138</c:v>
                </c:pt>
                <c:pt idx="60">
                  <c:v>27.531741792266292</c:v>
                </c:pt>
                <c:pt idx="61">
                  <c:v>27.629903969459168</c:v>
                </c:pt>
                <c:pt idx="62">
                  <c:v>27.729235377342821</c:v>
                </c:pt>
                <c:pt idx="63">
                  <c:v>27.829486807023819</c:v>
                </c:pt>
                <c:pt idx="64">
                  <c:v>27.930788087686103</c:v>
                </c:pt>
                <c:pt idx="65">
                  <c:v>28.031520035077431</c:v>
                </c:pt>
                <c:pt idx="66">
                  <c:v>28.128015079156736</c:v>
                </c:pt>
                <c:pt idx="67">
                  <c:v>28.221306043554165</c:v>
                </c:pt>
                <c:pt idx="68">
                  <c:v>28.309990861408149</c:v>
                </c:pt>
                <c:pt idx="69">
                  <c:v>28.391123686006335</c:v>
                </c:pt>
                <c:pt idx="70">
                  <c:v>28.46396080784606</c:v>
                </c:pt>
                <c:pt idx="71">
                  <c:v>28.531147249636465</c:v>
                </c:pt>
                <c:pt idx="72">
                  <c:v>28.586715979791386</c:v>
                </c:pt>
                <c:pt idx="73">
                  <c:v>28.636003159231581</c:v>
                </c:pt>
                <c:pt idx="74">
                  <c:v>28.675005887138187</c:v>
                </c:pt>
                <c:pt idx="75">
                  <c:v>28.710735616928151</c:v>
                </c:pt>
                <c:pt idx="76">
                  <c:v>28.743069163547347</c:v>
                </c:pt>
                <c:pt idx="77">
                  <c:v>28.7726316196885</c:v>
                </c:pt>
                <c:pt idx="78">
                  <c:v>28.8004098857297</c:v>
                </c:pt>
                <c:pt idx="79">
                  <c:v>28.82700843173582</c:v>
                </c:pt>
                <c:pt idx="80">
                  <c:v>28.855227058803589</c:v>
                </c:pt>
                <c:pt idx="81">
                  <c:v>28.884860774699398</c:v>
                </c:pt>
                <c:pt idx="82">
                  <c:v>28.915657268267747</c:v>
                </c:pt>
                <c:pt idx="83">
                  <c:v>28.946756321413311</c:v>
                </c:pt>
                <c:pt idx="84">
                  <c:v>28.963741115581403</c:v>
                </c:pt>
                <c:pt idx="85">
                  <c:v>28.978374936849296</c:v>
                </c:pt>
                <c:pt idx="86">
                  <c:v>28.994306043463052</c:v>
                </c:pt>
                <c:pt idx="87">
                  <c:v>29.01115122342657</c:v>
                </c:pt>
                <c:pt idx="88">
                  <c:v>29.029193133469999</c:v>
                </c:pt>
                <c:pt idx="89">
                  <c:v>29.047886902988559</c:v>
                </c:pt>
                <c:pt idx="90">
                  <c:v>29.066160613194654</c:v>
                </c:pt>
                <c:pt idx="91">
                  <c:v>29.084801535784443</c:v>
                </c:pt>
                <c:pt idx="92">
                  <c:v>29.102230221875068</c:v>
                </c:pt>
                <c:pt idx="93">
                  <c:v>29.115828149755671</c:v>
                </c:pt>
                <c:pt idx="94">
                  <c:v>29.123019222808249</c:v>
                </c:pt>
                <c:pt idx="95">
                  <c:v>29.125923706233824</c:v>
                </c:pt>
                <c:pt idx="96">
                  <c:v>29.125056403921096</c:v>
                </c:pt>
                <c:pt idx="97">
                  <c:v>29.121017728055367</c:v>
                </c:pt>
                <c:pt idx="98">
                  <c:v>29.113463263230269</c:v>
                </c:pt>
                <c:pt idx="99">
                  <c:v>29.102605164864045</c:v>
                </c:pt>
                <c:pt idx="100">
                  <c:v>29.088403193358833</c:v>
                </c:pt>
                <c:pt idx="101">
                  <c:v>29.07167845513505</c:v>
                </c:pt>
                <c:pt idx="102">
                  <c:v>29.052778808261124</c:v>
                </c:pt>
                <c:pt idx="103">
                  <c:v>29.032023887717614</c:v>
                </c:pt>
                <c:pt idx="104">
                  <c:v>29.00952755090076</c:v>
                </c:pt>
                <c:pt idx="105">
                  <c:v>28.985259476389682</c:v>
                </c:pt>
                <c:pt idx="106">
                  <c:v>28.959458400912041</c:v>
                </c:pt>
                <c:pt idx="107">
                  <c:v>28.9323719996409</c:v>
                </c:pt>
                <c:pt idx="108">
                  <c:v>28.904414193479557</c:v>
                </c:pt>
                <c:pt idx="109">
                  <c:v>28.875830974615702</c:v>
                </c:pt>
              </c:numCache>
            </c:numRef>
          </c:yVal>
          <c:smooth val="1"/>
          <c:extLst>
            <c:ext xmlns:c16="http://schemas.microsoft.com/office/drawing/2014/chart" uri="{C3380CC4-5D6E-409C-BE32-E72D297353CC}">
              <c16:uniqueId val="{00000002-F807-E74D-B910-0B9964CF7273}"/>
            </c:ext>
          </c:extLst>
        </c:ser>
        <c:ser>
          <c:idx val="4"/>
          <c:order val="3"/>
          <c:tx>
            <c:v>Q early</c:v>
          </c:tx>
          <c:spPr>
            <a:ln w="15875">
              <a:solidFill>
                <a:srgbClr val="333399"/>
              </a:solidFill>
              <a:prstDash val="lgDash"/>
            </a:ln>
          </c:spPr>
          <c:marker>
            <c:symbol val="none"/>
          </c:marker>
          <c:xVal>
            <c:numRef>
              <c:f>'United Kingdom'!$D$60:$D$82</c:f>
              <c:numCache>
                <c:formatCode>0</c:formatCode>
                <c:ptCount val="23"/>
                <c:pt idx="0">
                  <c:v>1877</c:v>
                </c:pt>
                <c:pt idx="1">
                  <c:v>1878</c:v>
                </c:pt>
                <c:pt idx="2">
                  <c:v>1879</c:v>
                </c:pt>
                <c:pt idx="3">
                  <c:v>1880</c:v>
                </c:pt>
                <c:pt idx="4">
                  <c:v>1881</c:v>
                </c:pt>
                <c:pt idx="5">
                  <c:v>1882</c:v>
                </c:pt>
                <c:pt idx="6">
                  <c:v>1883</c:v>
                </c:pt>
                <c:pt idx="7">
                  <c:v>1884</c:v>
                </c:pt>
                <c:pt idx="8">
                  <c:v>1885</c:v>
                </c:pt>
                <c:pt idx="9">
                  <c:v>1886</c:v>
                </c:pt>
                <c:pt idx="10">
                  <c:v>1887</c:v>
                </c:pt>
                <c:pt idx="11">
                  <c:v>1888</c:v>
                </c:pt>
                <c:pt idx="12">
                  <c:v>1889</c:v>
                </c:pt>
                <c:pt idx="13">
                  <c:v>1890</c:v>
                </c:pt>
                <c:pt idx="14">
                  <c:v>1891</c:v>
                </c:pt>
                <c:pt idx="15">
                  <c:v>1892</c:v>
                </c:pt>
                <c:pt idx="16">
                  <c:v>1893</c:v>
                </c:pt>
                <c:pt idx="17">
                  <c:v>1894</c:v>
                </c:pt>
                <c:pt idx="18">
                  <c:v>1895</c:v>
                </c:pt>
                <c:pt idx="19">
                  <c:v>1896</c:v>
                </c:pt>
                <c:pt idx="20">
                  <c:v>1897</c:v>
                </c:pt>
                <c:pt idx="21">
                  <c:v>1898</c:v>
                </c:pt>
                <c:pt idx="22">
                  <c:v>1899</c:v>
                </c:pt>
              </c:numCache>
            </c:numRef>
          </c:xVal>
          <c:yVal>
            <c:numRef>
              <c:f>'United Kingdom'!$H$60:$H$82</c:f>
              <c:numCache>
                <c:formatCode>0.0</c:formatCode>
                <c:ptCount val="23"/>
                <c:pt idx="0">
                  <c:v>365.66777212788577</c:v>
                </c:pt>
                <c:pt idx="1">
                  <c:v>171.91244441624144</c:v>
                </c:pt>
                <c:pt idx="2">
                  <c:v>111.18343862875642</c:v>
                </c:pt>
                <c:pt idx="3">
                  <c:v>84.628797281641013</c:v>
                </c:pt>
                <c:pt idx="4">
                  <c:v>70.502033260745392</c:v>
                </c:pt>
                <c:pt idx="5">
                  <c:v>61.609140593407972</c:v>
                </c:pt>
                <c:pt idx="6">
                  <c:v>55.791661733823418</c:v>
                </c:pt>
                <c:pt idx="7">
                  <c:v>51.288940759813087</c:v>
                </c:pt>
                <c:pt idx="8">
                  <c:v>47.49353156413904</c:v>
                </c:pt>
                <c:pt idx="9">
                  <c:v>44.098384270737704</c:v>
                </c:pt>
                <c:pt idx="10">
                  <c:v>41.192968046767049</c:v>
                </c:pt>
                <c:pt idx="11">
                  <c:v>38.835653345714583</c:v>
                </c:pt>
                <c:pt idx="12">
                  <c:v>36.971039439508182</c:v>
                </c:pt>
                <c:pt idx="13">
                  <c:v>35.495129379796985</c:v>
                </c:pt>
                <c:pt idx="14">
                  <c:v>34.299220778410444</c:v>
                </c:pt>
                <c:pt idx="15">
                  <c:v>33.23414815032816</c:v>
                </c:pt>
                <c:pt idx="16">
                  <c:v>32.057777171455051</c:v>
                </c:pt>
                <c:pt idx="17">
                  <c:v>31.063060653272142</c:v>
                </c:pt>
                <c:pt idx="18">
                  <c:v>30.208493619246813</c:v>
                </c:pt>
                <c:pt idx="19">
                  <c:v>29.486506474482749</c:v>
                </c:pt>
                <c:pt idx="20">
                  <c:v>28.89939662003529</c:v>
                </c:pt>
                <c:pt idx="21">
                  <c:v>28.401738580440295</c:v>
                </c:pt>
                <c:pt idx="22">
                  <c:v>28.063509513710454</c:v>
                </c:pt>
              </c:numCache>
            </c:numRef>
          </c:yVal>
          <c:smooth val="1"/>
          <c:extLst>
            <c:ext xmlns:c16="http://schemas.microsoft.com/office/drawing/2014/chart" uri="{C3380CC4-5D6E-409C-BE32-E72D297353CC}">
              <c16:uniqueId val="{00000003-F807-E74D-B910-0B9964CF7273}"/>
            </c:ext>
          </c:extLst>
        </c:ser>
        <c:ser>
          <c:idx val="0"/>
          <c:order val="4"/>
          <c:tx>
            <c:strRef>
              <c:f>'United Kingdom'!$J$11</c:f>
              <c:strCache>
                <c:ptCount val="1"/>
                <c:pt idx="0">
                  <c:v>q l</c:v>
                </c:pt>
              </c:strCache>
            </c:strRef>
          </c:tx>
          <c:spPr>
            <a:ln w="15875">
              <a:solidFill>
                <a:srgbClr val="808080"/>
              </a:solidFill>
              <a:prstDash val="dash"/>
            </a:ln>
          </c:spPr>
          <c:marker>
            <c:symbol val="none"/>
          </c:marker>
          <c:xVal>
            <c:numRef>
              <c:f>'United Kingdom'!$D$12:$D$302</c:f>
              <c:numCache>
                <c:formatCode>0</c:formatCode>
                <c:ptCount val="291"/>
                <c:pt idx="0">
                  <c:v>1829</c:v>
                </c:pt>
                <c:pt idx="1">
                  <c:v>1830</c:v>
                </c:pt>
                <c:pt idx="2">
                  <c:v>1831</c:v>
                </c:pt>
                <c:pt idx="3">
                  <c:v>1832</c:v>
                </c:pt>
                <c:pt idx="4">
                  <c:v>1833</c:v>
                </c:pt>
                <c:pt idx="5">
                  <c:v>1834</c:v>
                </c:pt>
                <c:pt idx="6">
                  <c:v>1835</c:v>
                </c:pt>
                <c:pt idx="7">
                  <c:v>1836</c:v>
                </c:pt>
                <c:pt idx="8">
                  <c:v>1837</c:v>
                </c:pt>
                <c:pt idx="9">
                  <c:v>1838</c:v>
                </c:pt>
                <c:pt idx="10">
                  <c:v>1839</c:v>
                </c:pt>
                <c:pt idx="11">
                  <c:v>1840</c:v>
                </c:pt>
                <c:pt idx="12">
                  <c:v>1841</c:v>
                </c:pt>
                <c:pt idx="13">
                  <c:v>1842</c:v>
                </c:pt>
                <c:pt idx="14">
                  <c:v>1843</c:v>
                </c:pt>
                <c:pt idx="15">
                  <c:v>1844</c:v>
                </c:pt>
                <c:pt idx="16">
                  <c:v>1845</c:v>
                </c:pt>
                <c:pt idx="17">
                  <c:v>1846</c:v>
                </c:pt>
                <c:pt idx="18">
                  <c:v>1847</c:v>
                </c:pt>
                <c:pt idx="19">
                  <c:v>1848</c:v>
                </c:pt>
                <c:pt idx="20">
                  <c:v>1849</c:v>
                </c:pt>
                <c:pt idx="21">
                  <c:v>1850</c:v>
                </c:pt>
                <c:pt idx="22">
                  <c:v>1851</c:v>
                </c:pt>
                <c:pt idx="23">
                  <c:v>1852</c:v>
                </c:pt>
                <c:pt idx="24">
                  <c:v>1853</c:v>
                </c:pt>
                <c:pt idx="25">
                  <c:v>1854</c:v>
                </c:pt>
                <c:pt idx="26">
                  <c:v>1855</c:v>
                </c:pt>
                <c:pt idx="27">
                  <c:v>1856</c:v>
                </c:pt>
                <c:pt idx="28">
                  <c:v>1857</c:v>
                </c:pt>
                <c:pt idx="29">
                  <c:v>1858</c:v>
                </c:pt>
                <c:pt idx="30">
                  <c:v>1859</c:v>
                </c:pt>
                <c:pt idx="31">
                  <c:v>1860</c:v>
                </c:pt>
                <c:pt idx="32">
                  <c:v>1861</c:v>
                </c:pt>
                <c:pt idx="33">
                  <c:v>1862</c:v>
                </c:pt>
                <c:pt idx="34">
                  <c:v>1863</c:v>
                </c:pt>
                <c:pt idx="35">
                  <c:v>1864</c:v>
                </c:pt>
                <c:pt idx="36">
                  <c:v>1865</c:v>
                </c:pt>
                <c:pt idx="37">
                  <c:v>1866</c:v>
                </c:pt>
                <c:pt idx="38">
                  <c:v>1867</c:v>
                </c:pt>
                <c:pt idx="39">
                  <c:v>1868</c:v>
                </c:pt>
                <c:pt idx="40">
                  <c:v>1869</c:v>
                </c:pt>
                <c:pt idx="41">
                  <c:v>1870</c:v>
                </c:pt>
                <c:pt idx="42">
                  <c:v>1871</c:v>
                </c:pt>
                <c:pt idx="43">
                  <c:v>1872</c:v>
                </c:pt>
                <c:pt idx="44">
                  <c:v>1873</c:v>
                </c:pt>
                <c:pt idx="45">
                  <c:v>1874</c:v>
                </c:pt>
                <c:pt idx="46">
                  <c:v>1875</c:v>
                </c:pt>
                <c:pt idx="47">
                  <c:v>1876</c:v>
                </c:pt>
                <c:pt idx="48">
                  <c:v>1877</c:v>
                </c:pt>
                <c:pt idx="49">
                  <c:v>1878</c:v>
                </c:pt>
                <c:pt idx="50">
                  <c:v>1879</c:v>
                </c:pt>
                <c:pt idx="51">
                  <c:v>1880</c:v>
                </c:pt>
                <c:pt idx="52">
                  <c:v>1881</c:v>
                </c:pt>
                <c:pt idx="53">
                  <c:v>1882</c:v>
                </c:pt>
                <c:pt idx="54">
                  <c:v>1883</c:v>
                </c:pt>
                <c:pt idx="55">
                  <c:v>1884</c:v>
                </c:pt>
                <c:pt idx="56">
                  <c:v>1885</c:v>
                </c:pt>
                <c:pt idx="57">
                  <c:v>1886</c:v>
                </c:pt>
                <c:pt idx="58">
                  <c:v>1887</c:v>
                </c:pt>
                <c:pt idx="59">
                  <c:v>1888</c:v>
                </c:pt>
                <c:pt idx="60">
                  <c:v>1889</c:v>
                </c:pt>
                <c:pt idx="61">
                  <c:v>1890</c:v>
                </c:pt>
                <c:pt idx="62">
                  <c:v>1891</c:v>
                </c:pt>
                <c:pt idx="63">
                  <c:v>1892</c:v>
                </c:pt>
                <c:pt idx="64">
                  <c:v>1893</c:v>
                </c:pt>
                <c:pt idx="65">
                  <c:v>1894</c:v>
                </c:pt>
                <c:pt idx="66">
                  <c:v>1895</c:v>
                </c:pt>
                <c:pt idx="67">
                  <c:v>1896</c:v>
                </c:pt>
                <c:pt idx="68">
                  <c:v>1897</c:v>
                </c:pt>
                <c:pt idx="69">
                  <c:v>1898</c:v>
                </c:pt>
                <c:pt idx="70">
                  <c:v>1899</c:v>
                </c:pt>
                <c:pt idx="71">
                  <c:v>1900</c:v>
                </c:pt>
                <c:pt idx="72">
                  <c:v>1901</c:v>
                </c:pt>
                <c:pt idx="73">
                  <c:v>1902</c:v>
                </c:pt>
                <c:pt idx="74">
                  <c:v>1903</c:v>
                </c:pt>
                <c:pt idx="75">
                  <c:v>1904</c:v>
                </c:pt>
                <c:pt idx="76">
                  <c:v>1905</c:v>
                </c:pt>
                <c:pt idx="77">
                  <c:v>1906</c:v>
                </c:pt>
                <c:pt idx="78">
                  <c:v>1907</c:v>
                </c:pt>
                <c:pt idx="79">
                  <c:v>1908</c:v>
                </c:pt>
                <c:pt idx="80">
                  <c:v>1909</c:v>
                </c:pt>
                <c:pt idx="81">
                  <c:v>1910</c:v>
                </c:pt>
                <c:pt idx="82">
                  <c:v>1911</c:v>
                </c:pt>
                <c:pt idx="83">
                  <c:v>1912</c:v>
                </c:pt>
                <c:pt idx="84">
                  <c:v>1913</c:v>
                </c:pt>
                <c:pt idx="85">
                  <c:v>1914</c:v>
                </c:pt>
                <c:pt idx="86">
                  <c:v>1915</c:v>
                </c:pt>
                <c:pt idx="87">
                  <c:v>1916</c:v>
                </c:pt>
                <c:pt idx="88">
                  <c:v>1917</c:v>
                </c:pt>
                <c:pt idx="89">
                  <c:v>1918</c:v>
                </c:pt>
                <c:pt idx="90">
                  <c:v>1919</c:v>
                </c:pt>
                <c:pt idx="91">
                  <c:v>1920</c:v>
                </c:pt>
                <c:pt idx="92">
                  <c:v>1921</c:v>
                </c:pt>
                <c:pt idx="93">
                  <c:v>1922</c:v>
                </c:pt>
                <c:pt idx="94">
                  <c:v>1923</c:v>
                </c:pt>
                <c:pt idx="95">
                  <c:v>1924</c:v>
                </c:pt>
                <c:pt idx="96">
                  <c:v>1925</c:v>
                </c:pt>
                <c:pt idx="97">
                  <c:v>1926</c:v>
                </c:pt>
                <c:pt idx="98">
                  <c:v>1927</c:v>
                </c:pt>
                <c:pt idx="99">
                  <c:v>1928</c:v>
                </c:pt>
                <c:pt idx="100">
                  <c:v>1929</c:v>
                </c:pt>
                <c:pt idx="101">
                  <c:v>1930</c:v>
                </c:pt>
                <c:pt idx="102">
                  <c:v>1931</c:v>
                </c:pt>
                <c:pt idx="103">
                  <c:v>1932</c:v>
                </c:pt>
                <c:pt idx="104">
                  <c:v>1933</c:v>
                </c:pt>
                <c:pt idx="105">
                  <c:v>1934</c:v>
                </c:pt>
                <c:pt idx="106">
                  <c:v>1935</c:v>
                </c:pt>
                <c:pt idx="107">
                  <c:v>1936</c:v>
                </c:pt>
                <c:pt idx="108">
                  <c:v>1937</c:v>
                </c:pt>
                <c:pt idx="109">
                  <c:v>1938</c:v>
                </c:pt>
                <c:pt idx="110">
                  <c:v>1939</c:v>
                </c:pt>
                <c:pt idx="111">
                  <c:v>1940</c:v>
                </c:pt>
                <c:pt idx="112">
                  <c:v>1941</c:v>
                </c:pt>
                <c:pt idx="113">
                  <c:v>1942</c:v>
                </c:pt>
                <c:pt idx="114">
                  <c:v>1943</c:v>
                </c:pt>
                <c:pt idx="115">
                  <c:v>1944</c:v>
                </c:pt>
                <c:pt idx="116">
                  <c:v>1945</c:v>
                </c:pt>
                <c:pt idx="117">
                  <c:v>1946</c:v>
                </c:pt>
                <c:pt idx="118">
                  <c:v>1947</c:v>
                </c:pt>
                <c:pt idx="119">
                  <c:v>1948</c:v>
                </c:pt>
                <c:pt idx="120">
                  <c:v>1949</c:v>
                </c:pt>
                <c:pt idx="121">
                  <c:v>1950</c:v>
                </c:pt>
                <c:pt idx="122">
                  <c:v>1951</c:v>
                </c:pt>
                <c:pt idx="123">
                  <c:v>1952</c:v>
                </c:pt>
                <c:pt idx="124">
                  <c:v>1953</c:v>
                </c:pt>
                <c:pt idx="125">
                  <c:v>1954</c:v>
                </c:pt>
                <c:pt idx="126">
                  <c:v>1955</c:v>
                </c:pt>
                <c:pt idx="127">
                  <c:v>1956</c:v>
                </c:pt>
                <c:pt idx="128">
                  <c:v>1957</c:v>
                </c:pt>
                <c:pt idx="129">
                  <c:v>1958</c:v>
                </c:pt>
                <c:pt idx="130">
                  <c:v>1959</c:v>
                </c:pt>
                <c:pt idx="131">
                  <c:v>1960</c:v>
                </c:pt>
                <c:pt idx="132">
                  <c:v>1961</c:v>
                </c:pt>
                <c:pt idx="133">
                  <c:v>1962</c:v>
                </c:pt>
                <c:pt idx="134">
                  <c:v>1963</c:v>
                </c:pt>
                <c:pt idx="135">
                  <c:v>1964</c:v>
                </c:pt>
                <c:pt idx="136">
                  <c:v>1965</c:v>
                </c:pt>
                <c:pt idx="137">
                  <c:v>1966</c:v>
                </c:pt>
                <c:pt idx="138">
                  <c:v>1967</c:v>
                </c:pt>
                <c:pt idx="139">
                  <c:v>1968</c:v>
                </c:pt>
                <c:pt idx="140">
                  <c:v>1969</c:v>
                </c:pt>
                <c:pt idx="141">
                  <c:v>1970</c:v>
                </c:pt>
                <c:pt idx="142">
                  <c:v>1971</c:v>
                </c:pt>
                <c:pt idx="143">
                  <c:v>1972</c:v>
                </c:pt>
                <c:pt idx="144">
                  <c:v>1973</c:v>
                </c:pt>
                <c:pt idx="145">
                  <c:v>1974</c:v>
                </c:pt>
                <c:pt idx="146">
                  <c:v>1975</c:v>
                </c:pt>
                <c:pt idx="147">
                  <c:v>1976</c:v>
                </c:pt>
                <c:pt idx="148">
                  <c:v>1977</c:v>
                </c:pt>
                <c:pt idx="149">
                  <c:v>1978</c:v>
                </c:pt>
                <c:pt idx="150">
                  <c:v>1979</c:v>
                </c:pt>
                <c:pt idx="151">
                  <c:v>1980</c:v>
                </c:pt>
                <c:pt idx="152">
                  <c:v>1981</c:v>
                </c:pt>
                <c:pt idx="153">
                  <c:v>1982</c:v>
                </c:pt>
                <c:pt idx="154">
                  <c:v>1983</c:v>
                </c:pt>
                <c:pt idx="155">
                  <c:v>1984</c:v>
                </c:pt>
                <c:pt idx="156">
                  <c:v>1985</c:v>
                </c:pt>
                <c:pt idx="157">
                  <c:v>1986</c:v>
                </c:pt>
                <c:pt idx="158">
                  <c:v>1987</c:v>
                </c:pt>
                <c:pt idx="159">
                  <c:v>1988</c:v>
                </c:pt>
                <c:pt idx="160">
                  <c:v>1989</c:v>
                </c:pt>
                <c:pt idx="161">
                  <c:v>1990</c:v>
                </c:pt>
                <c:pt idx="162">
                  <c:v>1991</c:v>
                </c:pt>
                <c:pt idx="163">
                  <c:v>1992</c:v>
                </c:pt>
                <c:pt idx="164">
                  <c:v>1993</c:v>
                </c:pt>
                <c:pt idx="165">
                  <c:v>1994</c:v>
                </c:pt>
                <c:pt idx="166">
                  <c:v>1995</c:v>
                </c:pt>
                <c:pt idx="167">
                  <c:v>1996</c:v>
                </c:pt>
                <c:pt idx="168">
                  <c:v>1997</c:v>
                </c:pt>
                <c:pt idx="169">
                  <c:v>1998</c:v>
                </c:pt>
                <c:pt idx="170">
                  <c:v>1999</c:v>
                </c:pt>
                <c:pt idx="171">
                  <c:v>2000</c:v>
                </c:pt>
                <c:pt idx="172">
                  <c:v>2001</c:v>
                </c:pt>
                <c:pt idx="173">
                  <c:v>2002</c:v>
                </c:pt>
                <c:pt idx="174">
                  <c:v>2003</c:v>
                </c:pt>
                <c:pt idx="175">
                  <c:v>2004</c:v>
                </c:pt>
                <c:pt idx="176">
                  <c:v>2005</c:v>
                </c:pt>
                <c:pt idx="177">
                  <c:v>2006</c:v>
                </c:pt>
                <c:pt idx="178">
                  <c:v>2007</c:v>
                </c:pt>
                <c:pt idx="179">
                  <c:v>2008</c:v>
                </c:pt>
                <c:pt idx="180">
                  <c:v>2009</c:v>
                </c:pt>
                <c:pt idx="181">
                  <c:v>2010</c:v>
                </c:pt>
                <c:pt idx="182">
                  <c:v>2011</c:v>
                </c:pt>
                <c:pt idx="183">
                  <c:v>2012</c:v>
                </c:pt>
                <c:pt idx="184">
                  <c:v>2013</c:v>
                </c:pt>
                <c:pt idx="185">
                  <c:v>2014</c:v>
                </c:pt>
                <c:pt idx="186">
                  <c:v>2015</c:v>
                </c:pt>
                <c:pt idx="187">
                  <c:v>2016</c:v>
                </c:pt>
                <c:pt idx="188">
                  <c:v>2017</c:v>
                </c:pt>
                <c:pt idx="189">
                  <c:v>2018</c:v>
                </c:pt>
                <c:pt idx="190">
                  <c:v>2019</c:v>
                </c:pt>
                <c:pt idx="191">
                  <c:v>2020</c:v>
                </c:pt>
                <c:pt idx="192">
                  <c:v>2021</c:v>
                </c:pt>
                <c:pt idx="193">
                  <c:v>2022</c:v>
                </c:pt>
                <c:pt idx="194">
                  <c:v>2023</c:v>
                </c:pt>
                <c:pt idx="195">
                  <c:v>2024</c:v>
                </c:pt>
                <c:pt idx="196">
                  <c:v>2025</c:v>
                </c:pt>
                <c:pt idx="197">
                  <c:v>2026</c:v>
                </c:pt>
                <c:pt idx="198">
                  <c:v>2027</c:v>
                </c:pt>
                <c:pt idx="199">
                  <c:v>2028</c:v>
                </c:pt>
                <c:pt idx="200">
                  <c:v>2029</c:v>
                </c:pt>
                <c:pt idx="201">
                  <c:v>2030</c:v>
                </c:pt>
                <c:pt idx="202">
                  <c:v>2031</c:v>
                </c:pt>
                <c:pt idx="203">
                  <c:v>2032</c:v>
                </c:pt>
                <c:pt idx="204">
                  <c:v>2033</c:v>
                </c:pt>
                <c:pt idx="205">
                  <c:v>2034</c:v>
                </c:pt>
                <c:pt idx="206">
                  <c:v>2035</c:v>
                </c:pt>
                <c:pt idx="207">
                  <c:v>2036</c:v>
                </c:pt>
                <c:pt idx="208">
                  <c:v>2037</c:v>
                </c:pt>
                <c:pt idx="209">
                  <c:v>2038</c:v>
                </c:pt>
                <c:pt idx="210">
                  <c:v>2039</c:v>
                </c:pt>
                <c:pt idx="211">
                  <c:v>2040</c:v>
                </c:pt>
                <c:pt idx="212">
                  <c:v>2041</c:v>
                </c:pt>
                <c:pt idx="213">
                  <c:v>2042</c:v>
                </c:pt>
                <c:pt idx="214">
                  <c:v>2043</c:v>
                </c:pt>
                <c:pt idx="215">
                  <c:v>2044</c:v>
                </c:pt>
                <c:pt idx="216">
                  <c:v>2045</c:v>
                </c:pt>
                <c:pt idx="217">
                  <c:v>2046</c:v>
                </c:pt>
                <c:pt idx="218">
                  <c:v>2047</c:v>
                </c:pt>
                <c:pt idx="219">
                  <c:v>2048</c:v>
                </c:pt>
                <c:pt idx="220">
                  <c:v>2049</c:v>
                </c:pt>
                <c:pt idx="221">
                  <c:v>2050</c:v>
                </c:pt>
                <c:pt idx="222">
                  <c:v>2051</c:v>
                </c:pt>
                <c:pt idx="223">
                  <c:v>2052</c:v>
                </c:pt>
                <c:pt idx="224">
                  <c:v>2053</c:v>
                </c:pt>
                <c:pt idx="225">
                  <c:v>2054</c:v>
                </c:pt>
                <c:pt idx="226">
                  <c:v>2055</c:v>
                </c:pt>
                <c:pt idx="227">
                  <c:v>2056</c:v>
                </c:pt>
                <c:pt idx="228">
                  <c:v>2057</c:v>
                </c:pt>
                <c:pt idx="229">
                  <c:v>2058</c:v>
                </c:pt>
                <c:pt idx="230">
                  <c:v>2059</c:v>
                </c:pt>
                <c:pt idx="231">
                  <c:v>2060</c:v>
                </c:pt>
                <c:pt idx="232">
                  <c:v>2061</c:v>
                </c:pt>
                <c:pt idx="233">
                  <c:v>2062</c:v>
                </c:pt>
                <c:pt idx="234">
                  <c:v>2063</c:v>
                </c:pt>
                <c:pt idx="235">
                  <c:v>2064</c:v>
                </c:pt>
                <c:pt idx="236">
                  <c:v>2065</c:v>
                </c:pt>
                <c:pt idx="237">
                  <c:v>2066</c:v>
                </c:pt>
                <c:pt idx="238">
                  <c:v>2067</c:v>
                </c:pt>
                <c:pt idx="239">
                  <c:v>2068</c:v>
                </c:pt>
                <c:pt idx="240">
                  <c:v>2069</c:v>
                </c:pt>
                <c:pt idx="241">
                  <c:v>2070</c:v>
                </c:pt>
                <c:pt idx="242">
                  <c:v>2071</c:v>
                </c:pt>
                <c:pt idx="243">
                  <c:v>2072</c:v>
                </c:pt>
                <c:pt idx="244">
                  <c:v>2073</c:v>
                </c:pt>
                <c:pt idx="245">
                  <c:v>2074</c:v>
                </c:pt>
                <c:pt idx="246">
                  <c:v>2075</c:v>
                </c:pt>
                <c:pt idx="247">
                  <c:v>2076</c:v>
                </c:pt>
                <c:pt idx="248">
                  <c:v>2077</c:v>
                </c:pt>
                <c:pt idx="249">
                  <c:v>2078</c:v>
                </c:pt>
                <c:pt idx="250">
                  <c:v>2079</c:v>
                </c:pt>
                <c:pt idx="251">
                  <c:v>2080</c:v>
                </c:pt>
                <c:pt idx="252">
                  <c:v>2081</c:v>
                </c:pt>
                <c:pt idx="253">
                  <c:v>2082</c:v>
                </c:pt>
                <c:pt idx="254">
                  <c:v>2083</c:v>
                </c:pt>
                <c:pt idx="255">
                  <c:v>2084</c:v>
                </c:pt>
                <c:pt idx="256">
                  <c:v>2085</c:v>
                </c:pt>
                <c:pt idx="257">
                  <c:v>2086</c:v>
                </c:pt>
                <c:pt idx="258">
                  <c:v>2087</c:v>
                </c:pt>
                <c:pt idx="259">
                  <c:v>2088</c:v>
                </c:pt>
                <c:pt idx="260">
                  <c:v>2089</c:v>
                </c:pt>
                <c:pt idx="261">
                  <c:v>2090</c:v>
                </c:pt>
                <c:pt idx="262">
                  <c:v>2091</c:v>
                </c:pt>
                <c:pt idx="263">
                  <c:v>2092</c:v>
                </c:pt>
                <c:pt idx="264">
                  <c:v>2093</c:v>
                </c:pt>
                <c:pt idx="265">
                  <c:v>2094</c:v>
                </c:pt>
                <c:pt idx="266">
                  <c:v>2095</c:v>
                </c:pt>
                <c:pt idx="267">
                  <c:v>2096</c:v>
                </c:pt>
                <c:pt idx="268">
                  <c:v>2097</c:v>
                </c:pt>
                <c:pt idx="269">
                  <c:v>2098</c:v>
                </c:pt>
                <c:pt idx="270">
                  <c:v>2099</c:v>
                </c:pt>
                <c:pt idx="271">
                  <c:v>2100</c:v>
                </c:pt>
                <c:pt idx="272">
                  <c:v>2101</c:v>
                </c:pt>
                <c:pt idx="273">
                  <c:v>2102</c:v>
                </c:pt>
                <c:pt idx="274">
                  <c:v>2103</c:v>
                </c:pt>
                <c:pt idx="275">
                  <c:v>2104</c:v>
                </c:pt>
                <c:pt idx="276">
                  <c:v>2105</c:v>
                </c:pt>
                <c:pt idx="277">
                  <c:v>2106</c:v>
                </c:pt>
                <c:pt idx="278">
                  <c:v>2107</c:v>
                </c:pt>
                <c:pt idx="279">
                  <c:v>2108</c:v>
                </c:pt>
                <c:pt idx="280">
                  <c:v>2109</c:v>
                </c:pt>
                <c:pt idx="281">
                  <c:v>2110</c:v>
                </c:pt>
                <c:pt idx="282">
                  <c:v>2111</c:v>
                </c:pt>
                <c:pt idx="283">
                  <c:v>2112</c:v>
                </c:pt>
                <c:pt idx="284">
                  <c:v>2113</c:v>
                </c:pt>
                <c:pt idx="285">
                  <c:v>2114</c:v>
                </c:pt>
                <c:pt idx="286">
                  <c:v>2115</c:v>
                </c:pt>
                <c:pt idx="287">
                  <c:v>2116</c:v>
                </c:pt>
                <c:pt idx="288">
                  <c:v>2117</c:v>
                </c:pt>
                <c:pt idx="289">
                  <c:v>2118</c:v>
                </c:pt>
                <c:pt idx="290">
                  <c:v>2119</c:v>
                </c:pt>
              </c:numCache>
            </c:numRef>
          </c:xVal>
          <c:yVal>
            <c:numRef>
              <c:f>'United Kingdom'!$J$12:$J$302</c:f>
              <c:numCache>
                <c:formatCode>0.0</c:formatCode>
                <c:ptCount val="291"/>
                <c:pt idx="0">
                  <c:v>0.89346764370398968</c:v>
                </c:pt>
                <c:pt idx="1">
                  <c:v>0.92538343656911448</c:v>
                </c:pt>
                <c:pt idx="2">
                  <c:v>0.95840025421495967</c:v>
                </c:pt>
                <c:pt idx="3">
                  <c:v>0.99255324861691208</c:v>
                </c:pt>
                <c:pt idx="4">
                  <c:v>1.0278784890659072</c:v>
                </c:pt>
                <c:pt idx="5">
                  <c:v>1.0644129709050341</c:v>
                </c:pt>
                <c:pt idx="6">
                  <c:v>1.1021946230617794</c:v>
                </c:pt>
                <c:pt idx="7">
                  <c:v>1.1412623142532261</c:v>
                </c:pt>
                <c:pt idx="8">
                  <c:v>1.1816558577346095</c:v>
                </c:pt>
                <c:pt idx="9">
                  <c:v>1.2234160144545942</c:v>
                </c:pt>
                <c:pt idx="10">
                  <c:v>1.2665844944734803</c:v>
                </c:pt>
                <c:pt idx="11">
                  <c:v>1.3112039564933533</c:v>
                </c:pt>
                <c:pt idx="12">
                  <c:v>1.3573180053419229</c:v>
                </c:pt>
                <c:pt idx="13">
                  <c:v>1.4049711872445831</c:v>
                </c:pt>
                <c:pt idx="14">
                  <c:v>1.4542089827120088</c:v>
                </c:pt>
                <c:pt idx="15">
                  <c:v>1.505077796863576</c:v>
                </c:pt>
                <c:pt idx="16">
                  <c:v>1.5576249469999415</c:v>
                </c:pt>
                <c:pt idx="17">
                  <c:v>1.6118986472314798</c:v>
                </c:pt>
                <c:pt idx="18">
                  <c:v>1.6679479899628955</c:v>
                </c:pt>
                <c:pt idx="19">
                  <c:v>1.7258229240283705</c:v>
                </c:pt>
                <c:pt idx="20">
                  <c:v>1.7855742292660823</c:v>
                </c:pt>
                <c:pt idx="21">
                  <c:v>1.847253487316048</c:v>
                </c:pt>
                <c:pt idx="22">
                  <c:v>1.9109130484209544</c:v>
                </c:pt>
                <c:pt idx="23">
                  <c:v>1.9766059940062106</c:v>
                </c:pt>
                <c:pt idx="24">
                  <c:v>2.0443860948129058</c:v>
                </c:pt>
                <c:pt idx="25">
                  <c:v>2.1143077643558255</c:v>
                </c:pt>
                <c:pt idx="26">
                  <c:v>2.1864260074783699</c:v>
                </c:pt>
                <c:pt idx="27">
                  <c:v>2.2607963637771911</c:v>
                </c:pt>
                <c:pt idx="28">
                  <c:v>2.3374748456718017</c:v>
                </c:pt>
                <c:pt idx="29">
                  <c:v>2.4165178708985047</c:v>
                </c:pt>
                <c:pt idx="30">
                  <c:v>2.4979821892138481</c:v>
                </c:pt>
                <c:pt idx="31">
                  <c:v>2.5819248031006357</c:v>
                </c:pt>
                <c:pt idx="32">
                  <c:v>2.6684028822794468</c:v>
                </c:pt>
                <c:pt idx="33">
                  <c:v>2.7574736718409141</c:v>
                </c:pt>
                <c:pt idx="34">
                  <c:v>2.8491943938286513</c:v>
                </c:pt>
                <c:pt idx="35">
                  <c:v>2.9436221421201418</c:v>
                </c:pt>
                <c:pt idx="36">
                  <c:v>3.0408137704730098</c:v>
                </c:pt>
                <c:pt idx="37">
                  <c:v>3.1408257736272365</c:v>
                </c:pt>
                <c:pt idx="38">
                  <c:v>3.2437141613801379</c:v>
                </c:pt>
                <c:pt idx="39">
                  <c:v>3.3495343255803363</c:v>
                </c:pt>
                <c:pt idx="40">
                  <c:v>3.4583409000198664</c:v>
                </c:pt>
                <c:pt idx="41">
                  <c:v>3.5701876132398289</c:v>
                </c:pt>
                <c:pt idx="42">
                  <c:v>3.685127134304834</c:v>
                </c:pt>
                <c:pt idx="43">
                  <c:v>3.803210911644928</c:v>
                </c:pt>
                <c:pt idx="44">
                  <c:v>3.9244890051106478</c:v>
                </c:pt>
                <c:pt idx="45">
                  <c:v>4.0490099114374623</c:v>
                </c:pt>
                <c:pt idx="46">
                  <c:v>4.17682038336988</c:v>
                </c:pt>
                <c:pt idx="47">
                  <c:v>4.3079652427529416</c:v>
                </c:pt>
                <c:pt idx="48">
                  <c:v>4.4424871879594052</c:v>
                </c:pt>
                <c:pt idx="49">
                  <c:v>4.580426596084588</c:v>
                </c:pt>
                <c:pt idx="50">
                  <c:v>4.7218213204070265</c:v>
                </c:pt>
                <c:pt idx="51">
                  <c:v>4.8667064836818001</c:v>
                </c:pt>
                <c:pt idx="52">
                  <c:v>5.0151142679038312</c:v>
                </c:pt>
                <c:pt idx="53">
                  <c:v>5.1670737012504446</c:v>
                </c:pt>
                <c:pt idx="54">
                  <c:v>5.322610442985261</c:v>
                </c:pt>
                <c:pt idx="55">
                  <c:v>5.4817465671785275</c:v>
                </c:pt>
                <c:pt idx="56">
                  <c:v>5.6445003461715384</c:v>
                </c:pt>
                <c:pt idx="57">
                  <c:v>5.8108860347840903</c:v>
                </c:pt>
                <c:pt idx="58">
                  <c:v>5.9809136563331355</c:v>
                </c:pt>
                <c:pt idx="59">
                  <c:v>6.1545887915969537</c:v>
                </c:pt>
                <c:pt idx="60">
                  <c:v>6.3319123719214749</c:v>
                </c:pt>
                <c:pt idx="61">
                  <c:v>6.5128804777226383</c:v>
                </c:pt>
                <c:pt idx="62">
                  <c:v>6.6974841436900103</c:v>
                </c:pt>
                <c:pt idx="63">
                  <c:v>6.885709172041091</c:v>
                </c:pt>
                <c:pt idx="64">
                  <c:v>7.0775359552119559</c:v>
                </c:pt>
                <c:pt idx="65">
                  <c:v>7.2729393093967207</c:v>
                </c:pt>
                <c:pt idx="66">
                  <c:v>7.4718883203651671</c:v>
                </c:pt>
                <c:pt idx="67">
                  <c:v>7.6743462029932612</c:v>
                </c:pt>
                <c:pt idx="68">
                  <c:v>7.8802701759347604</c:v>
                </c:pt>
                <c:pt idx="69">
                  <c:v>8.089611352842395</c:v>
                </c:pt>
                <c:pt idx="70">
                  <c:v>8.3023146515137984</c:v>
                </c:pt>
                <c:pt idx="71">
                  <c:v>8.51831872228958</c:v>
                </c:pt>
                <c:pt idx="72">
                  <c:v>8.7375558969684448</c:v>
                </c:pt>
                <c:pt idx="73">
                  <c:v>8.9599521594265479</c:v>
                </c:pt>
                <c:pt idx="74">
                  <c:v>9.1854271390354185</c:v>
                </c:pt>
                <c:pt idx="75">
                  <c:v>9.4138941278647206</c:v>
                </c:pt>
                <c:pt idx="76">
                  <c:v>9.6452601225333154</c:v>
                </c:pt>
                <c:pt idx="77">
                  <c:v>9.8794258914348543</c:v>
                </c:pt>
                <c:pt idx="78">
                  <c:v>10.116286067913574</c:v>
                </c:pt>
                <c:pt idx="79">
                  <c:v>10.355729269802694</c:v>
                </c:pt>
                <c:pt idx="80">
                  <c:v>10.59763824556355</c:v>
                </c:pt>
                <c:pt idx="81">
                  <c:v>10.841890047079195</c:v>
                </c:pt>
                <c:pt idx="82">
                  <c:v>11.088356228964185</c:v>
                </c:pt>
                <c:pt idx="83">
                  <c:v>11.336903074053641</c:v>
                </c:pt>
                <c:pt idx="84">
                  <c:v>11.58739184453222</c:v>
                </c:pt>
                <c:pt idx="85">
                  <c:v>11.83967905795927</c:v>
                </c:pt>
                <c:pt idx="86">
                  <c:v>12.093616787242453</c:v>
                </c:pt>
                <c:pt idx="87">
                  <c:v>12.349052983411221</c:v>
                </c:pt>
                <c:pt idx="88">
                  <c:v>12.605831819845905</c:v>
                </c:pt>
                <c:pt idx="89">
                  <c:v>12.863794056430525</c:v>
                </c:pt>
                <c:pt idx="90">
                  <c:v>13.122777421920119</c:v>
                </c:pt>
                <c:pt idx="91">
                  <c:v>13.382617012648781</c:v>
                </c:pt>
                <c:pt idx="92">
                  <c:v>13.643145705554929</c:v>
                </c:pt>
                <c:pt idx="93">
                  <c:v>13.904194583367751</c:v>
                </c:pt>
                <c:pt idx="94">
                  <c:v>14.165593369684988</c:v>
                </c:pt>
                <c:pt idx="95">
                  <c:v>14.427170871579072</c:v>
                </c:pt>
                <c:pt idx="96">
                  <c:v>14.688755427297171</c:v>
                </c:pt>
                <c:pt idx="97">
                  <c:v>14.950175356572283</c:v>
                </c:pt>
                <c:pt idx="98">
                  <c:v>15.21125941103749</c:v>
                </c:pt>
                <c:pt idx="99">
                  <c:v>15.471837222234585</c:v>
                </c:pt>
                <c:pt idx="100">
                  <c:v>15.731739744731208</c:v>
                </c:pt>
                <c:pt idx="101">
                  <c:v>15.990799691907235</c:v>
                </c:pt>
                <c:pt idx="102">
                  <c:v>16.248851962040682</c:v>
                </c:pt>
                <c:pt idx="103">
                  <c:v>16.50573405241488</c:v>
                </c:pt>
                <c:pt idx="104">
                  <c:v>16.761286459280765</c:v>
                </c:pt>
                <c:pt idx="105">
                  <c:v>17.015353061639225</c:v>
                </c:pt>
                <c:pt idx="106">
                  <c:v>17.267781486956885</c:v>
                </c:pt>
                <c:pt idx="107">
                  <c:v>17.518423457091995</c:v>
                </c:pt>
                <c:pt idx="108">
                  <c:v>17.767135112883594</c:v>
                </c:pt>
                <c:pt idx="109">
                  <c:v>18.013777316043992</c:v>
                </c:pt>
                <c:pt idx="110">
                  <c:v>18.258215927189561</c:v>
                </c:pt>
                <c:pt idx="111">
                  <c:v>18.50032205904559</c:v>
                </c:pt>
                <c:pt idx="112">
                  <c:v>18.739972304064551</c:v>
                </c:pt>
                <c:pt idx="113">
                  <c:v>18.977048935901745</c:v>
                </c:pt>
                <c:pt idx="114">
                  <c:v>19.211440084394901</c:v>
                </c:pt>
                <c:pt idx="115">
                  <c:v>19.443039883893281</c:v>
                </c:pt>
                <c:pt idx="116">
                  <c:v>19.671748594974623</c:v>
                </c:pt>
                <c:pt idx="117">
                  <c:v>19.897472699773139</c:v>
                </c:pt>
                <c:pt idx="118">
                  <c:v>20.120124971317203</c:v>
                </c:pt>
                <c:pt idx="119">
                  <c:v>20.339624517439283</c:v>
                </c:pt>
                <c:pt idx="120">
                  <c:v>20.555896799972611</c:v>
                </c:pt>
                <c:pt idx="121">
                  <c:v>20.768873630087246</c:v>
                </c:pt>
                <c:pt idx="122">
                  <c:v>20.978493140742255</c:v>
                </c:pt>
                <c:pt idx="123">
                  <c:v>21.184699737340107</c:v>
                </c:pt>
                <c:pt idx="124">
                  <c:v>21.387444027763316</c:v>
                </c:pt>
                <c:pt idx="125">
                  <c:v>21.586682733052498</c:v>
                </c:pt>
                <c:pt idx="126">
                  <c:v>21.782378580048675</c:v>
                </c:pt>
                <c:pt idx="127">
                  <c:v>21.974500177371521</c:v>
                </c:pt>
                <c:pt idx="128">
                  <c:v>22.163021876139993</c:v>
                </c:pt>
                <c:pt idx="129">
                  <c:v>22.347923616862257</c:v>
                </c:pt>
                <c:pt idx="130">
                  <c:v>22.529190763929691</c:v>
                </c:pt>
                <c:pt idx="131">
                  <c:v>22.70681392914512</c:v>
                </c:pt>
                <c:pt idx="132">
                  <c:v>22.880788785699597</c:v>
                </c:pt>
                <c:pt idx="133">
                  <c:v>23.051115873985879</c:v>
                </c:pt>
                <c:pt idx="134">
                  <c:v>23.217800400601416</c:v>
                </c:pt>
                <c:pt idx="135">
                  <c:v>23.380852031849891</c:v>
                </c:pt>
                <c:pt idx="136">
                  <c:v>23.540284682999729</c:v>
                </c:pt>
                <c:pt idx="137">
                  <c:v>23.696116304501047</c:v>
                </c:pt>
                <c:pt idx="138">
                  <c:v>23.848368666300711</c:v>
                </c:pt>
                <c:pt idx="139">
                  <c:v>23.997067141329161</c:v>
                </c:pt>
                <c:pt idx="140">
                  <c:v>24.142240489163804</c:v>
                </c:pt>
                <c:pt idx="141">
                  <c:v>24.28392064080241</c:v>
                </c:pt>
                <c:pt idx="142">
                  <c:v>24.422142485407779</c:v>
                </c:pt>
                <c:pt idx="143">
                  <c:v>24.556943659811594</c:v>
                </c:pt>
                <c:pt idx="144">
                  <c:v>24.688364341492775</c:v>
                </c:pt>
                <c:pt idx="145">
                  <c:v>24.816447045673545</c:v>
                </c:pt>
                <c:pt idx="146">
                  <c:v>24.941236427105661</c:v>
                </c:pt>
                <c:pt idx="147">
                  <c:v>25.06277908705064</c:v>
                </c:pt>
                <c:pt idx="148">
                  <c:v>25.181123385891258</c:v>
                </c:pt>
                <c:pt idx="149">
                  <c:v>25.296319261747708</c:v>
                </c:pt>
                <c:pt idx="150">
                  <c:v>25.40841805541103</c:v>
                </c:pt>
                <c:pt idx="151">
                  <c:v>25.517472341848716</c:v>
                </c:pt>
                <c:pt idx="152">
                  <c:v>25.623535768482959</c:v>
                </c:pt>
                <c:pt idx="153">
                  <c:v>25.726662900391318</c:v>
                </c:pt>
                <c:pt idx="154">
                  <c:v>25.826909072532178</c:v>
                </c:pt>
                <c:pt idx="155">
                  <c:v>25.924330249053625</c:v>
                </c:pt>
                <c:pt idx="156">
                  <c:v>26.018982889704418</c:v>
                </c:pt>
                <c:pt idx="157">
                  <c:v>26.110923823328864</c:v>
                </c:pt>
                <c:pt idx="158">
                  <c:v>26.200210128394609</c:v>
                </c:pt>
                <c:pt idx="159">
                  <c:v>26.286899020472251</c:v>
                </c:pt>
                <c:pt idx="160">
                  <c:v>26.371047746559551</c:v>
                </c:pt>
                <c:pt idx="161">
                  <c:v>26.452713486119343</c:v>
                </c:pt>
                <c:pt idx="162">
                  <c:v>26.531953258680002</c:v>
                </c:pt>
                <c:pt idx="163">
                  <c:v>26.608823837829753</c:v>
                </c:pt>
                <c:pt idx="164">
                  <c:v>26.683381671421145</c:v>
                </c:pt>
                <c:pt idx="165">
                  <c:v>26.755682807789505</c:v>
                </c:pt>
                <c:pt idx="166">
                  <c:v>26.825782827779275</c:v>
                </c:pt>
                <c:pt idx="167">
                  <c:v>26.893736782363831</c:v>
                </c:pt>
                <c:pt idx="168">
                  <c:v>26.95959913563869</c:v>
                </c:pt>
                <c:pt idx="169">
                  <c:v>27.023423712963577</c:v>
                </c:pt>
                <c:pt idx="170">
                  <c:v>27.085263654026249</c:v>
                </c:pt>
                <c:pt idx="171">
                  <c:v>27.145171370600053</c:v>
                </c:pt>
                <c:pt idx="172">
                  <c:v>27.203198508767279</c:v>
                </c:pt>
                <c:pt idx="173">
                  <c:v>27.259395915381713</c:v>
                </c:pt>
                <c:pt idx="174">
                  <c:v>27.313813608546536</c:v>
                </c:pt>
                <c:pt idx="175">
                  <c:v>27.366500751886836</c:v>
                </c:pt>
                <c:pt idx="176">
                  <c:v>27.417505632400292</c:v>
                </c:pt>
                <c:pt idx="177">
                  <c:v>27.466875641674491</c:v>
                </c:pt>
                <c:pt idx="178">
                  <c:v>27.51465726026473</c:v>
                </c:pt>
                <c:pt idx="179">
                  <c:v>27.560896045032148</c:v>
                </c:pt>
                <c:pt idx="180">
                  <c:v>27.60563661924828</c:v>
                </c:pt>
                <c:pt idx="181">
                  <c:v>27.648922665278949</c:v>
                </c:pt>
                <c:pt idx="182">
                  <c:v>27.690796919667012</c:v>
                </c:pt>
                <c:pt idx="183">
                  <c:v>27.731301170440894</c:v>
                </c:pt>
                <c:pt idx="184">
                  <c:v>27.770476256482695</c:v>
                </c:pt>
                <c:pt idx="185">
                  <c:v>27.808362068797102</c:v>
                </c:pt>
                <c:pt idx="186">
                  <c:v>27.844997553529506</c:v>
                </c:pt>
                <c:pt idx="187">
                  <c:v>27.880420716588908</c:v>
                </c:pt>
                <c:pt idx="188">
                  <c:v>27.914668629738458</c:v>
                </c:pt>
                <c:pt idx="189">
                  <c:v>27.947777438023419</c:v>
                </c:pt>
                <c:pt idx="190">
                  <c:v>27.9797823684133</c:v>
                </c:pt>
                <c:pt idx="191">
                  <c:v>28.010717739541686</c:v>
                </c:pt>
                <c:pt idx="192">
                  <c:v>28.040616972433941</c:v>
                </c:pt>
                <c:pt idx="193">
                  <c:v>28.069512602119271</c:v>
                </c:pt>
                <c:pt idx="194">
                  <c:v>28.097436290029965</c:v>
                </c:pt>
                <c:pt idx="195">
                  <c:v>28.124418837096552</c:v>
                </c:pt>
                <c:pt idx="196">
                  <c:v>28.150490197453518</c:v>
                </c:pt>
                <c:pt idx="197">
                  <c:v>28.175679492675581</c:v>
                </c:pt>
                <c:pt idx="198">
                  <c:v>28.200015026470158</c:v>
                </c:pt>
                <c:pt idx="199">
                  <c:v>28.22352429975653</c:v>
                </c:pt>
                <c:pt idx="200">
                  <c:v>28.246234026067189</c:v>
                </c:pt>
                <c:pt idx="201">
                  <c:v>28.268170147211517</c:v>
                </c:pt>
                <c:pt idx="202">
                  <c:v>28.289357849146356</c:v>
                </c:pt>
                <c:pt idx="203">
                  <c:v>28.309821578002246</c:v>
                </c:pt>
                <c:pt idx="204">
                  <c:v>28.32958505621809</c:v>
                </c:pt>
                <c:pt idx="205">
                  <c:v>28.34867129874079</c:v>
                </c:pt>
                <c:pt idx="206">
                  <c:v>28.367102629250041</c:v>
                </c:pt>
                <c:pt idx="207">
                  <c:v>28.384900696371613</c:v>
                </c:pt>
                <c:pt idx="208">
                  <c:v>28.402086489846006</c:v>
                </c:pt>
                <c:pt idx="209">
                  <c:v>28.418680356621927</c:v>
                </c:pt>
                <c:pt idx="210">
                  <c:v>28.434702016847233</c:v>
                </c:pt>
                <c:pt idx="211">
                  <c:v>28.450170579732283</c:v>
                </c:pt>
                <c:pt idx="212">
                  <c:v>28.465104559263402</c:v>
                </c:pt>
                <c:pt idx="213">
                  <c:v>28.479521889746216</c:v>
                </c:pt>
                <c:pt idx="214">
                  <c:v>28.493439941161004</c:v>
                </c:pt>
                <c:pt idx="215">
                  <c:v>28.506875534314016</c:v>
                </c:pt>
                <c:pt idx="216">
                  <c:v>28.519844955770665</c:v>
                </c:pt>
                <c:pt idx="217">
                  <c:v>28.5323639725584</c:v>
                </c:pt>
                <c:pt idx="218">
                  <c:v>28.544447846628277</c:v>
                </c:pt>
                <c:pt idx="219">
                  <c:v>28.556111349066267</c:v>
                </c:pt>
                <c:pt idx="220">
                  <c:v>28.567368774046244</c:v>
                </c:pt>
                <c:pt idx="221">
                  <c:v>28.578233952518222</c:v>
                </c:pt>
                <c:pt idx="222">
                  <c:v>28.588720265626417</c:v>
                </c:pt>
                <c:pt idx="223">
                  <c:v>28.598840657852804</c:v>
                </c:pt>
                <c:pt idx="224">
                  <c:v>28.608607649882984</c:v>
                </c:pt>
                <c:pt idx="225">
                  <c:v>28.618033351191855</c:v>
                </c:pt>
                <c:pt idx="226">
                  <c:v>28.627129472347672</c:v>
                </c:pt>
                <c:pt idx="227">
                  <c:v>28.635907337033657</c:v>
                </c:pt>
                <c:pt idx="228">
                  <c:v>28.644377893787119</c:v>
                </c:pt>
                <c:pt idx="229">
                  <c:v>28.652551727456625</c:v>
                </c:pt>
                <c:pt idx="230">
                  <c:v>28.660439070378462</c:v>
                </c:pt>
                <c:pt idx="231">
                  <c:v>28.668049813273885</c:v>
                </c:pt>
                <c:pt idx="232">
                  <c:v>28.67539351586942</c:v>
                </c:pt>
                <c:pt idx="233">
                  <c:v>28.682479417242767</c:v>
                </c:pt>
                <c:pt idx="234">
                  <c:v>28.689316445897166</c:v>
                </c:pt>
                <c:pt idx="235">
                  <c:v>28.695913229567498</c:v>
                </c:pt>
                <c:pt idx="236">
                  <c:v>28.702278104761739</c:v>
                </c:pt>
                <c:pt idx="237">
                  <c:v>28.708419126041534</c:v>
                </c:pt>
                <c:pt idx="238">
                  <c:v>28.714344075045954</c:v>
                </c:pt>
                <c:pt idx="239">
                  <c:v>28.72006046926262</c:v>
                </c:pt>
                <c:pt idx="240">
                  <c:v>28.725575570550724</c:v>
                </c:pt>
                <c:pt idx="241">
                  <c:v>28.730896393420377</c:v>
                </c:pt>
                <c:pt idx="242">
                  <c:v>28.736029713072984</c:v>
                </c:pt>
                <c:pt idx="243">
                  <c:v>28.740982073207462</c:v>
                </c:pt>
                <c:pt idx="244">
                  <c:v>28.745759793597106</c:v>
                </c:pt>
                <c:pt idx="245">
                  <c:v>28.750368977441941</c:v>
                </c:pt>
                <c:pt idx="246">
                  <c:v>28.754815518501605</c:v>
                </c:pt>
                <c:pt idx="247">
                  <c:v>28.75910510801371</c:v>
                </c:pt>
                <c:pt idx="248">
                  <c:v>28.763243241402566</c:v>
                </c:pt>
                <c:pt idx="249">
                  <c:v>28.767235224783349</c:v>
                </c:pt>
                <c:pt idx="250">
                  <c:v>28.771086181266636</c:v>
                </c:pt>
                <c:pt idx="251">
                  <c:v>28.774801057068263</c:v>
                </c:pt>
                <c:pt idx="252">
                  <c:v>28.778384627429372</c:v>
                </c:pt>
                <c:pt idx="253">
                  <c:v>28.781841502351639</c:v>
                </c:pt>
                <c:pt idx="254">
                  <c:v>28.785176132152298</c:v>
                </c:pt>
                <c:pt idx="255">
                  <c:v>28.78839281284402</c:v>
                </c:pt>
                <c:pt idx="256">
                  <c:v>28.791495691344057</c:v>
                </c:pt>
                <c:pt idx="257">
                  <c:v>28.794488770517493</c:v>
                </c:pt>
                <c:pt idx="258">
                  <c:v>28.797375914059177</c:v>
                </c:pt>
                <c:pt idx="259">
                  <c:v>28.800160851218696</c:v>
                </c:pt>
                <c:pt idx="260">
                  <c:v>28.802847181372972</c:v>
                </c:pt>
                <c:pt idx="261">
                  <c:v>28.805438378450766</c:v>
                </c:pt>
                <c:pt idx="262">
                  <c:v>28.807937795213331</c:v>
                </c:pt>
                <c:pt idx="263">
                  <c:v>28.810348667395445</c:v>
                </c:pt>
                <c:pt idx="264">
                  <c:v>28.812674117710902</c:v>
                </c:pt>
                <c:pt idx="265">
                  <c:v>28.814917159726459</c:v>
                </c:pt>
                <c:pt idx="266">
                  <c:v>28.817080701608209</c:v>
                </c:pt>
                <c:pt idx="267">
                  <c:v>28.819167549744098</c:v>
                </c:pt>
                <c:pt idx="268">
                  <c:v>28.821180412246541</c:v>
                </c:pt>
                <c:pt idx="269">
                  <c:v>28.823121902338571</c:v>
                </c:pt>
                <c:pt idx="270">
                  <c:v>28.824994541627206</c:v>
                </c:pt>
                <c:pt idx="271">
                  <c:v>28.826800763267585</c:v>
                </c:pt>
                <c:pt idx="272">
                  <c:v>28.828542915021046</c:v>
                </c:pt>
                <c:pt idx="273">
                  <c:v>28.83022326221073</c:v>
                </c:pt>
                <c:pt idx="274">
                  <c:v>28.831843990577699</c:v>
                </c:pt>
                <c:pt idx="275">
                  <c:v>28.833407209040864</c:v>
                </c:pt>
                <c:pt idx="276">
                  <c:v>28.834914952363675</c:v>
                </c:pt>
                <c:pt idx="277">
                  <c:v>28.836369183730596</c:v>
                </c:pt>
                <c:pt idx="278">
                  <c:v>28.83777179723624</c:v>
                </c:pt>
                <c:pt idx="279">
                  <c:v>28.839124620289962</c:v>
                </c:pt>
                <c:pt idx="280">
                  <c:v>28.840429415938655</c:v>
                </c:pt>
                <c:pt idx="281">
                  <c:v>28.841687885110371</c:v>
                </c:pt>
                <c:pt idx="282">
                  <c:v>28.842901668781394</c:v>
                </c:pt>
                <c:pt idx="283">
                  <c:v>28.844072350069197</c:v>
                </c:pt>
                <c:pt idx="284">
                  <c:v>28.845201456253736</c:v>
                </c:pt>
                <c:pt idx="285">
                  <c:v>28.846290460729492</c:v>
                </c:pt>
                <c:pt idx="286">
                  <c:v>28.84734078489041</c:v>
                </c:pt>
                <c:pt idx="287">
                  <c:v>28.848353799950143</c:v>
                </c:pt>
                <c:pt idx="288">
                  <c:v>28.849330828699518</c:v>
                </c:pt>
                <c:pt idx="289">
                  <c:v>28.850273147203524</c:v>
                </c:pt>
                <c:pt idx="290">
                  <c:v>28.851181986439702</c:v>
                </c:pt>
              </c:numCache>
            </c:numRef>
          </c:yVal>
          <c:smooth val="1"/>
          <c:extLst>
            <c:ext xmlns:c16="http://schemas.microsoft.com/office/drawing/2014/chart" uri="{C3380CC4-5D6E-409C-BE32-E72D297353CC}">
              <c16:uniqueId val="{00000004-F807-E74D-B910-0B9964CF7273}"/>
            </c:ext>
          </c:extLst>
        </c:ser>
        <c:dLbls>
          <c:showLegendKey val="0"/>
          <c:showVal val="0"/>
          <c:showCatName val="0"/>
          <c:showSerName val="0"/>
          <c:showPercent val="0"/>
          <c:showBubbleSize val="0"/>
        </c:dLbls>
        <c:axId val="128786432"/>
        <c:axId val="128787968"/>
      </c:scatterChart>
      <c:valAx>
        <c:axId val="128786432"/>
        <c:scaling>
          <c:orientation val="minMax"/>
          <c:max val="2020"/>
          <c:min val="182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28787968"/>
        <c:crosses val="autoZero"/>
        <c:crossBetween val="midCat"/>
        <c:majorUnit val="50"/>
        <c:minorUnit val="10"/>
      </c:valAx>
      <c:valAx>
        <c:axId val="128787968"/>
        <c:scaling>
          <c:orientation val="minMax"/>
          <c:max val="35"/>
          <c:min val="0"/>
        </c:scaling>
        <c:delete val="0"/>
        <c:axPos val="r"/>
        <c:title>
          <c:tx>
            <c:rich>
              <a:bodyPr rot="-5400000" vert="horz"/>
              <a:lstStyle/>
              <a:p>
                <a:pPr>
                  <a:defRPr sz="1200" b="0">
                    <a:solidFill>
                      <a:srgbClr val="333399"/>
                    </a:solidFill>
                  </a:defRPr>
                </a:pPr>
                <a:r>
                  <a:rPr lang="en-US" sz="1200" b="0">
                    <a:solidFill>
                      <a:srgbClr val="333399"/>
                    </a:solidFill>
                  </a:rPr>
                  <a:t>Cumulative production, Gt</a:t>
                </a:r>
              </a:p>
            </c:rich>
          </c:tx>
          <c:layout>
            <c:manualLayout>
              <c:xMode val="edge"/>
              <c:yMode val="edge"/>
              <c:x val="0.9624667729930888"/>
              <c:y val="0.18863772236803733"/>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28786432"/>
        <c:crosses val="max"/>
        <c:crossBetween val="midCat"/>
        <c:majorUnit val="10"/>
        <c:minorUnit val="5"/>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260947644702333E-2"/>
          <c:y val="5.7060002916302532E-2"/>
          <c:w val="0.85074248494060001"/>
          <c:h val="0.77264654418197765"/>
        </c:manualLayout>
      </c:layout>
      <c:scatterChart>
        <c:scatterStyle val="smoothMarker"/>
        <c:varyColors val="0"/>
        <c:ser>
          <c:idx val="1"/>
          <c:order val="0"/>
          <c:tx>
            <c:strRef>
              <c:f>'United Kingdom'!$E$11</c:f>
              <c:strCache>
                <c:ptCount val="1"/>
                <c:pt idx="0">
                  <c:v>p Mt</c:v>
                </c:pt>
              </c:strCache>
            </c:strRef>
          </c:tx>
          <c:spPr>
            <a:ln w="15875">
              <a:solidFill>
                <a:srgbClr val="008000"/>
              </a:solidFill>
            </a:ln>
          </c:spPr>
          <c:marker>
            <c:symbol val="none"/>
          </c:marker>
          <c:xVal>
            <c:numRef>
              <c:f>'United Kingdom'!$D$13:$D$302</c:f>
              <c:numCache>
                <c:formatCode>0</c:formatCode>
                <c:ptCount val="290"/>
                <c:pt idx="0">
                  <c:v>1830</c:v>
                </c:pt>
                <c:pt idx="1">
                  <c:v>1831</c:v>
                </c:pt>
                <c:pt idx="2">
                  <c:v>1832</c:v>
                </c:pt>
                <c:pt idx="3">
                  <c:v>1833</c:v>
                </c:pt>
                <c:pt idx="4">
                  <c:v>1834</c:v>
                </c:pt>
                <c:pt idx="5">
                  <c:v>1835</c:v>
                </c:pt>
                <c:pt idx="6">
                  <c:v>1836</c:v>
                </c:pt>
                <c:pt idx="7">
                  <c:v>1837</c:v>
                </c:pt>
                <c:pt idx="8">
                  <c:v>1838</c:v>
                </c:pt>
                <c:pt idx="9">
                  <c:v>1839</c:v>
                </c:pt>
                <c:pt idx="10">
                  <c:v>1840</c:v>
                </c:pt>
                <c:pt idx="11">
                  <c:v>1841</c:v>
                </c:pt>
                <c:pt idx="12">
                  <c:v>1842</c:v>
                </c:pt>
                <c:pt idx="13">
                  <c:v>1843</c:v>
                </c:pt>
                <c:pt idx="14">
                  <c:v>1844</c:v>
                </c:pt>
                <c:pt idx="15">
                  <c:v>1845</c:v>
                </c:pt>
                <c:pt idx="16">
                  <c:v>1846</c:v>
                </c:pt>
                <c:pt idx="17">
                  <c:v>1847</c:v>
                </c:pt>
                <c:pt idx="18">
                  <c:v>1848</c:v>
                </c:pt>
                <c:pt idx="19">
                  <c:v>1849</c:v>
                </c:pt>
                <c:pt idx="20">
                  <c:v>1850</c:v>
                </c:pt>
                <c:pt idx="21">
                  <c:v>1851</c:v>
                </c:pt>
                <c:pt idx="22">
                  <c:v>1852</c:v>
                </c:pt>
                <c:pt idx="23">
                  <c:v>1853</c:v>
                </c:pt>
                <c:pt idx="24">
                  <c:v>1854</c:v>
                </c:pt>
                <c:pt idx="25">
                  <c:v>1855</c:v>
                </c:pt>
                <c:pt idx="26">
                  <c:v>1856</c:v>
                </c:pt>
                <c:pt idx="27">
                  <c:v>1857</c:v>
                </c:pt>
                <c:pt idx="28">
                  <c:v>1858</c:v>
                </c:pt>
                <c:pt idx="29">
                  <c:v>1859</c:v>
                </c:pt>
                <c:pt idx="30">
                  <c:v>1860</c:v>
                </c:pt>
                <c:pt idx="31">
                  <c:v>1861</c:v>
                </c:pt>
                <c:pt idx="32">
                  <c:v>1862</c:v>
                </c:pt>
                <c:pt idx="33">
                  <c:v>1863</c:v>
                </c:pt>
                <c:pt idx="34">
                  <c:v>1864</c:v>
                </c:pt>
                <c:pt idx="35">
                  <c:v>1865</c:v>
                </c:pt>
                <c:pt idx="36">
                  <c:v>1866</c:v>
                </c:pt>
                <c:pt idx="37">
                  <c:v>1867</c:v>
                </c:pt>
                <c:pt idx="38">
                  <c:v>1868</c:v>
                </c:pt>
                <c:pt idx="39">
                  <c:v>1869</c:v>
                </c:pt>
                <c:pt idx="40">
                  <c:v>1870</c:v>
                </c:pt>
                <c:pt idx="41">
                  <c:v>1871</c:v>
                </c:pt>
                <c:pt idx="42">
                  <c:v>1872</c:v>
                </c:pt>
                <c:pt idx="43">
                  <c:v>1873</c:v>
                </c:pt>
                <c:pt idx="44">
                  <c:v>1874</c:v>
                </c:pt>
                <c:pt idx="45">
                  <c:v>1875</c:v>
                </c:pt>
                <c:pt idx="46">
                  <c:v>1876</c:v>
                </c:pt>
                <c:pt idx="47">
                  <c:v>1877</c:v>
                </c:pt>
                <c:pt idx="48">
                  <c:v>1878</c:v>
                </c:pt>
                <c:pt idx="49">
                  <c:v>1879</c:v>
                </c:pt>
                <c:pt idx="50">
                  <c:v>1880</c:v>
                </c:pt>
                <c:pt idx="51">
                  <c:v>1881</c:v>
                </c:pt>
                <c:pt idx="52">
                  <c:v>1882</c:v>
                </c:pt>
                <c:pt idx="53">
                  <c:v>1883</c:v>
                </c:pt>
                <c:pt idx="54">
                  <c:v>1884</c:v>
                </c:pt>
                <c:pt idx="55">
                  <c:v>1885</c:v>
                </c:pt>
                <c:pt idx="56">
                  <c:v>1886</c:v>
                </c:pt>
                <c:pt idx="57">
                  <c:v>1887</c:v>
                </c:pt>
                <c:pt idx="58">
                  <c:v>1888</c:v>
                </c:pt>
                <c:pt idx="59">
                  <c:v>1889</c:v>
                </c:pt>
                <c:pt idx="60">
                  <c:v>1890</c:v>
                </c:pt>
                <c:pt idx="61">
                  <c:v>1891</c:v>
                </c:pt>
                <c:pt idx="62">
                  <c:v>1892</c:v>
                </c:pt>
                <c:pt idx="63">
                  <c:v>1893</c:v>
                </c:pt>
                <c:pt idx="64">
                  <c:v>1894</c:v>
                </c:pt>
                <c:pt idx="65">
                  <c:v>1895</c:v>
                </c:pt>
                <c:pt idx="66">
                  <c:v>1896</c:v>
                </c:pt>
                <c:pt idx="67">
                  <c:v>1897</c:v>
                </c:pt>
                <c:pt idx="68">
                  <c:v>1898</c:v>
                </c:pt>
                <c:pt idx="69">
                  <c:v>1899</c:v>
                </c:pt>
                <c:pt idx="70">
                  <c:v>1900</c:v>
                </c:pt>
                <c:pt idx="71">
                  <c:v>1901</c:v>
                </c:pt>
                <c:pt idx="72">
                  <c:v>1902</c:v>
                </c:pt>
                <c:pt idx="73">
                  <c:v>1903</c:v>
                </c:pt>
                <c:pt idx="74">
                  <c:v>1904</c:v>
                </c:pt>
                <c:pt idx="75">
                  <c:v>1905</c:v>
                </c:pt>
                <c:pt idx="76">
                  <c:v>1906</c:v>
                </c:pt>
                <c:pt idx="77">
                  <c:v>1907</c:v>
                </c:pt>
                <c:pt idx="78">
                  <c:v>1908</c:v>
                </c:pt>
                <c:pt idx="79">
                  <c:v>1909</c:v>
                </c:pt>
                <c:pt idx="80">
                  <c:v>1910</c:v>
                </c:pt>
                <c:pt idx="81">
                  <c:v>1911</c:v>
                </c:pt>
                <c:pt idx="82">
                  <c:v>1912</c:v>
                </c:pt>
                <c:pt idx="83">
                  <c:v>1913</c:v>
                </c:pt>
                <c:pt idx="84">
                  <c:v>1914</c:v>
                </c:pt>
                <c:pt idx="85">
                  <c:v>1915</c:v>
                </c:pt>
                <c:pt idx="86">
                  <c:v>1916</c:v>
                </c:pt>
                <c:pt idx="87">
                  <c:v>1917</c:v>
                </c:pt>
                <c:pt idx="88">
                  <c:v>1918</c:v>
                </c:pt>
                <c:pt idx="89">
                  <c:v>1919</c:v>
                </c:pt>
                <c:pt idx="90">
                  <c:v>1920</c:v>
                </c:pt>
                <c:pt idx="91">
                  <c:v>1921</c:v>
                </c:pt>
                <c:pt idx="92">
                  <c:v>1922</c:v>
                </c:pt>
                <c:pt idx="93">
                  <c:v>1923</c:v>
                </c:pt>
                <c:pt idx="94">
                  <c:v>1924</c:v>
                </c:pt>
                <c:pt idx="95">
                  <c:v>1925</c:v>
                </c:pt>
                <c:pt idx="96">
                  <c:v>1926</c:v>
                </c:pt>
                <c:pt idx="97">
                  <c:v>1927</c:v>
                </c:pt>
                <c:pt idx="98">
                  <c:v>1928</c:v>
                </c:pt>
                <c:pt idx="99">
                  <c:v>1929</c:v>
                </c:pt>
                <c:pt idx="100">
                  <c:v>1930</c:v>
                </c:pt>
                <c:pt idx="101">
                  <c:v>1931</c:v>
                </c:pt>
                <c:pt idx="102">
                  <c:v>1932</c:v>
                </c:pt>
                <c:pt idx="103">
                  <c:v>1933</c:v>
                </c:pt>
                <c:pt idx="104">
                  <c:v>1934</c:v>
                </c:pt>
                <c:pt idx="105">
                  <c:v>1935</c:v>
                </c:pt>
                <c:pt idx="106">
                  <c:v>1936</c:v>
                </c:pt>
                <c:pt idx="107">
                  <c:v>1937</c:v>
                </c:pt>
                <c:pt idx="108">
                  <c:v>1938</c:v>
                </c:pt>
                <c:pt idx="109">
                  <c:v>1939</c:v>
                </c:pt>
                <c:pt idx="110">
                  <c:v>1940</c:v>
                </c:pt>
                <c:pt idx="111">
                  <c:v>1941</c:v>
                </c:pt>
                <c:pt idx="112">
                  <c:v>1942</c:v>
                </c:pt>
                <c:pt idx="113">
                  <c:v>1943</c:v>
                </c:pt>
                <c:pt idx="114">
                  <c:v>1944</c:v>
                </c:pt>
                <c:pt idx="115">
                  <c:v>1945</c:v>
                </c:pt>
                <c:pt idx="116">
                  <c:v>1946</c:v>
                </c:pt>
                <c:pt idx="117">
                  <c:v>1947</c:v>
                </c:pt>
                <c:pt idx="118">
                  <c:v>1948</c:v>
                </c:pt>
                <c:pt idx="119">
                  <c:v>1949</c:v>
                </c:pt>
                <c:pt idx="120">
                  <c:v>1950</c:v>
                </c:pt>
                <c:pt idx="121">
                  <c:v>1951</c:v>
                </c:pt>
                <c:pt idx="122">
                  <c:v>1952</c:v>
                </c:pt>
                <c:pt idx="123">
                  <c:v>1953</c:v>
                </c:pt>
                <c:pt idx="124">
                  <c:v>1954</c:v>
                </c:pt>
                <c:pt idx="125">
                  <c:v>1955</c:v>
                </c:pt>
                <c:pt idx="126">
                  <c:v>1956</c:v>
                </c:pt>
                <c:pt idx="127">
                  <c:v>1957</c:v>
                </c:pt>
                <c:pt idx="128">
                  <c:v>1958</c:v>
                </c:pt>
                <c:pt idx="129">
                  <c:v>1959</c:v>
                </c:pt>
                <c:pt idx="130">
                  <c:v>1960</c:v>
                </c:pt>
                <c:pt idx="131">
                  <c:v>1961</c:v>
                </c:pt>
                <c:pt idx="132">
                  <c:v>1962</c:v>
                </c:pt>
                <c:pt idx="133">
                  <c:v>1963</c:v>
                </c:pt>
                <c:pt idx="134">
                  <c:v>1964</c:v>
                </c:pt>
                <c:pt idx="135">
                  <c:v>1965</c:v>
                </c:pt>
                <c:pt idx="136">
                  <c:v>1966</c:v>
                </c:pt>
                <c:pt idx="137">
                  <c:v>1967</c:v>
                </c:pt>
                <c:pt idx="138">
                  <c:v>1968</c:v>
                </c:pt>
                <c:pt idx="139">
                  <c:v>1969</c:v>
                </c:pt>
                <c:pt idx="140">
                  <c:v>1970</c:v>
                </c:pt>
                <c:pt idx="141">
                  <c:v>1971</c:v>
                </c:pt>
                <c:pt idx="142">
                  <c:v>1972</c:v>
                </c:pt>
                <c:pt idx="143">
                  <c:v>1973</c:v>
                </c:pt>
                <c:pt idx="144">
                  <c:v>1974</c:v>
                </c:pt>
                <c:pt idx="145">
                  <c:v>1975</c:v>
                </c:pt>
                <c:pt idx="146">
                  <c:v>1976</c:v>
                </c:pt>
                <c:pt idx="147">
                  <c:v>1977</c:v>
                </c:pt>
                <c:pt idx="148">
                  <c:v>1978</c:v>
                </c:pt>
                <c:pt idx="149">
                  <c:v>1979</c:v>
                </c:pt>
                <c:pt idx="150">
                  <c:v>1980</c:v>
                </c:pt>
                <c:pt idx="151">
                  <c:v>1981</c:v>
                </c:pt>
                <c:pt idx="152">
                  <c:v>1982</c:v>
                </c:pt>
                <c:pt idx="153">
                  <c:v>1983</c:v>
                </c:pt>
                <c:pt idx="154">
                  <c:v>1984</c:v>
                </c:pt>
                <c:pt idx="155">
                  <c:v>1985</c:v>
                </c:pt>
                <c:pt idx="156">
                  <c:v>1986</c:v>
                </c:pt>
                <c:pt idx="157">
                  <c:v>1987</c:v>
                </c:pt>
                <c:pt idx="158">
                  <c:v>1988</c:v>
                </c:pt>
                <c:pt idx="159">
                  <c:v>1989</c:v>
                </c:pt>
                <c:pt idx="160">
                  <c:v>1990</c:v>
                </c:pt>
                <c:pt idx="161">
                  <c:v>1991</c:v>
                </c:pt>
                <c:pt idx="162">
                  <c:v>1992</c:v>
                </c:pt>
                <c:pt idx="163">
                  <c:v>1993</c:v>
                </c:pt>
                <c:pt idx="164">
                  <c:v>1994</c:v>
                </c:pt>
                <c:pt idx="165">
                  <c:v>1995</c:v>
                </c:pt>
                <c:pt idx="166">
                  <c:v>1996</c:v>
                </c:pt>
                <c:pt idx="167">
                  <c:v>1997</c:v>
                </c:pt>
                <c:pt idx="168">
                  <c:v>1998</c:v>
                </c:pt>
                <c:pt idx="169">
                  <c:v>1999</c:v>
                </c:pt>
                <c:pt idx="170">
                  <c:v>2000</c:v>
                </c:pt>
                <c:pt idx="171">
                  <c:v>2001</c:v>
                </c:pt>
                <c:pt idx="172">
                  <c:v>2002</c:v>
                </c:pt>
                <c:pt idx="173">
                  <c:v>2003</c:v>
                </c:pt>
                <c:pt idx="174">
                  <c:v>2004</c:v>
                </c:pt>
                <c:pt idx="175">
                  <c:v>2005</c:v>
                </c:pt>
                <c:pt idx="176">
                  <c:v>2006</c:v>
                </c:pt>
                <c:pt idx="177">
                  <c:v>2007</c:v>
                </c:pt>
                <c:pt idx="178">
                  <c:v>2008</c:v>
                </c:pt>
                <c:pt idx="179">
                  <c:v>2009</c:v>
                </c:pt>
                <c:pt idx="180">
                  <c:v>2010</c:v>
                </c:pt>
                <c:pt idx="181">
                  <c:v>2011</c:v>
                </c:pt>
                <c:pt idx="182">
                  <c:v>2012</c:v>
                </c:pt>
                <c:pt idx="183">
                  <c:v>2013</c:v>
                </c:pt>
                <c:pt idx="184">
                  <c:v>2014</c:v>
                </c:pt>
                <c:pt idx="185">
                  <c:v>2015</c:v>
                </c:pt>
                <c:pt idx="186">
                  <c:v>2016</c:v>
                </c:pt>
                <c:pt idx="187">
                  <c:v>2017</c:v>
                </c:pt>
                <c:pt idx="188">
                  <c:v>2018</c:v>
                </c:pt>
                <c:pt idx="189">
                  <c:v>2019</c:v>
                </c:pt>
                <c:pt idx="190">
                  <c:v>2020</c:v>
                </c:pt>
                <c:pt idx="191">
                  <c:v>2021</c:v>
                </c:pt>
                <c:pt idx="192">
                  <c:v>2022</c:v>
                </c:pt>
                <c:pt idx="193">
                  <c:v>2023</c:v>
                </c:pt>
                <c:pt idx="194">
                  <c:v>2024</c:v>
                </c:pt>
                <c:pt idx="195">
                  <c:v>2025</c:v>
                </c:pt>
                <c:pt idx="196">
                  <c:v>2026</c:v>
                </c:pt>
                <c:pt idx="197">
                  <c:v>2027</c:v>
                </c:pt>
                <c:pt idx="198">
                  <c:v>2028</c:v>
                </c:pt>
                <c:pt idx="199">
                  <c:v>2029</c:v>
                </c:pt>
                <c:pt idx="200">
                  <c:v>2030</c:v>
                </c:pt>
                <c:pt idx="201">
                  <c:v>2031</c:v>
                </c:pt>
                <c:pt idx="202">
                  <c:v>2032</c:v>
                </c:pt>
                <c:pt idx="203">
                  <c:v>2033</c:v>
                </c:pt>
                <c:pt idx="204">
                  <c:v>2034</c:v>
                </c:pt>
                <c:pt idx="205">
                  <c:v>2035</c:v>
                </c:pt>
                <c:pt idx="206">
                  <c:v>2036</c:v>
                </c:pt>
                <c:pt idx="207">
                  <c:v>2037</c:v>
                </c:pt>
                <c:pt idx="208">
                  <c:v>2038</c:v>
                </c:pt>
                <c:pt idx="209">
                  <c:v>2039</c:v>
                </c:pt>
                <c:pt idx="210">
                  <c:v>2040</c:v>
                </c:pt>
                <c:pt idx="211">
                  <c:v>2041</c:v>
                </c:pt>
                <c:pt idx="212">
                  <c:v>2042</c:v>
                </c:pt>
                <c:pt idx="213">
                  <c:v>2043</c:v>
                </c:pt>
                <c:pt idx="214">
                  <c:v>2044</c:v>
                </c:pt>
                <c:pt idx="215">
                  <c:v>2045</c:v>
                </c:pt>
                <c:pt idx="216">
                  <c:v>2046</c:v>
                </c:pt>
                <c:pt idx="217">
                  <c:v>2047</c:v>
                </c:pt>
                <c:pt idx="218">
                  <c:v>2048</c:v>
                </c:pt>
                <c:pt idx="219">
                  <c:v>2049</c:v>
                </c:pt>
                <c:pt idx="220">
                  <c:v>2050</c:v>
                </c:pt>
                <c:pt idx="221">
                  <c:v>2051</c:v>
                </c:pt>
                <c:pt idx="222">
                  <c:v>2052</c:v>
                </c:pt>
                <c:pt idx="223">
                  <c:v>2053</c:v>
                </c:pt>
                <c:pt idx="224">
                  <c:v>2054</c:v>
                </c:pt>
                <c:pt idx="225">
                  <c:v>2055</c:v>
                </c:pt>
                <c:pt idx="226">
                  <c:v>2056</c:v>
                </c:pt>
                <c:pt idx="227">
                  <c:v>2057</c:v>
                </c:pt>
                <c:pt idx="228">
                  <c:v>2058</c:v>
                </c:pt>
                <c:pt idx="229">
                  <c:v>2059</c:v>
                </c:pt>
                <c:pt idx="230">
                  <c:v>2060</c:v>
                </c:pt>
                <c:pt idx="231">
                  <c:v>2061</c:v>
                </c:pt>
                <c:pt idx="232">
                  <c:v>2062</c:v>
                </c:pt>
                <c:pt idx="233">
                  <c:v>2063</c:v>
                </c:pt>
                <c:pt idx="234">
                  <c:v>2064</c:v>
                </c:pt>
                <c:pt idx="235">
                  <c:v>2065</c:v>
                </c:pt>
                <c:pt idx="236">
                  <c:v>2066</c:v>
                </c:pt>
                <c:pt idx="237">
                  <c:v>2067</c:v>
                </c:pt>
                <c:pt idx="238">
                  <c:v>2068</c:v>
                </c:pt>
                <c:pt idx="239">
                  <c:v>2069</c:v>
                </c:pt>
                <c:pt idx="240">
                  <c:v>2070</c:v>
                </c:pt>
                <c:pt idx="241">
                  <c:v>2071</c:v>
                </c:pt>
                <c:pt idx="242">
                  <c:v>2072</c:v>
                </c:pt>
                <c:pt idx="243">
                  <c:v>2073</c:v>
                </c:pt>
                <c:pt idx="244">
                  <c:v>2074</c:v>
                </c:pt>
                <c:pt idx="245">
                  <c:v>2075</c:v>
                </c:pt>
                <c:pt idx="246">
                  <c:v>2076</c:v>
                </c:pt>
                <c:pt idx="247">
                  <c:v>2077</c:v>
                </c:pt>
                <c:pt idx="248">
                  <c:v>2078</c:v>
                </c:pt>
                <c:pt idx="249">
                  <c:v>2079</c:v>
                </c:pt>
                <c:pt idx="250">
                  <c:v>2080</c:v>
                </c:pt>
                <c:pt idx="251">
                  <c:v>2081</c:v>
                </c:pt>
                <c:pt idx="252">
                  <c:v>2082</c:v>
                </c:pt>
                <c:pt idx="253">
                  <c:v>2083</c:v>
                </c:pt>
                <c:pt idx="254">
                  <c:v>2084</c:v>
                </c:pt>
                <c:pt idx="255">
                  <c:v>2085</c:v>
                </c:pt>
                <c:pt idx="256">
                  <c:v>2086</c:v>
                </c:pt>
                <c:pt idx="257">
                  <c:v>2087</c:v>
                </c:pt>
                <c:pt idx="258">
                  <c:v>2088</c:v>
                </c:pt>
                <c:pt idx="259">
                  <c:v>2089</c:v>
                </c:pt>
                <c:pt idx="260">
                  <c:v>2090</c:v>
                </c:pt>
                <c:pt idx="261">
                  <c:v>2091</c:v>
                </c:pt>
                <c:pt idx="262">
                  <c:v>2092</c:v>
                </c:pt>
                <c:pt idx="263">
                  <c:v>2093</c:v>
                </c:pt>
                <c:pt idx="264">
                  <c:v>2094</c:v>
                </c:pt>
                <c:pt idx="265">
                  <c:v>2095</c:v>
                </c:pt>
                <c:pt idx="266">
                  <c:v>2096</c:v>
                </c:pt>
                <c:pt idx="267">
                  <c:v>2097</c:v>
                </c:pt>
                <c:pt idx="268">
                  <c:v>2098</c:v>
                </c:pt>
                <c:pt idx="269">
                  <c:v>2099</c:v>
                </c:pt>
                <c:pt idx="270">
                  <c:v>2100</c:v>
                </c:pt>
                <c:pt idx="271">
                  <c:v>2101</c:v>
                </c:pt>
                <c:pt idx="272">
                  <c:v>2102</c:v>
                </c:pt>
                <c:pt idx="273">
                  <c:v>2103</c:v>
                </c:pt>
                <c:pt idx="274">
                  <c:v>2104</c:v>
                </c:pt>
                <c:pt idx="275">
                  <c:v>2105</c:v>
                </c:pt>
                <c:pt idx="276">
                  <c:v>2106</c:v>
                </c:pt>
                <c:pt idx="277">
                  <c:v>2107</c:v>
                </c:pt>
                <c:pt idx="278">
                  <c:v>2108</c:v>
                </c:pt>
                <c:pt idx="279">
                  <c:v>2109</c:v>
                </c:pt>
                <c:pt idx="280">
                  <c:v>2110</c:v>
                </c:pt>
                <c:pt idx="281">
                  <c:v>2111</c:v>
                </c:pt>
                <c:pt idx="282">
                  <c:v>2112</c:v>
                </c:pt>
                <c:pt idx="283">
                  <c:v>2113</c:v>
                </c:pt>
                <c:pt idx="284">
                  <c:v>2114</c:v>
                </c:pt>
                <c:pt idx="285">
                  <c:v>2115</c:v>
                </c:pt>
                <c:pt idx="286">
                  <c:v>2116</c:v>
                </c:pt>
                <c:pt idx="287">
                  <c:v>2117</c:v>
                </c:pt>
                <c:pt idx="288">
                  <c:v>2118</c:v>
                </c:pt>
                <c:pt idx="289">
                  <c:v>2119</c:v>
                </c:pt>
              </c:numCache>
            </c:numRef>
          </c:xVal>
          <c:yVal>
            <c:numRef>
              <c:f>'United Kingdom'!$E$13:$E$302</c:f>
              <c:numCache>
                <c:formatCode>0.0</c:formatCode>
                <c:ptCount val="290"/>
                <c:pt idx="0">
                  <c:v>30.5</c:v>
                </c:pt>
                <c:pt idx="1">
                  <c:v>31.5</c:v>
                </c:pt>
                <c:pt idx="2">
                  <c:v>32.1</c:v>
                </c:pt>
                <c:pt idx="3">
                  <c:v>32.9</c:v>
                </c:pt>
                <c:pt idx="4">
                  <c:v>33.799999999999997</c:v>
                </c:pt>
                <c:pt idx="5">
                  <c:v>35.200000000000003</c:v>
                </c:pt>
                <c:pt idx="6">
                  <c:v>36.4</c:v>
                </c:pt>
                <c:pt idx="7">
                  <c:v>37.799999999999997</c:v>
                </c:pt>
                <c:pt idx="8">
                  <c:v>39.299999999999997</c:v>
                </c:pt>
                <c:pt idx="9">
                  <c:v>40.799999999999997</c:v>
                </c:pt>
                <c:pt idx="10">
                  <c:v>42.6</c:v>
                </c:pt>
                <c:pt idx="11">
                  <c:v>43.8</c:v>
                </c:pt>
                <c:pt idx="12">
                  <c:v>44.2</c:v>
                </c:pt>
                <c:pt idx="13">
                  <c:v>46</c:v>
                </c:pt>
                <c:pt idx="14">
                  <c:v>47.6</c:v>
                </c:pt>
                <c:pt idx="15">
                  <c:v>51.1</c:v>
                </c:pt>
                <c:pt idx="16">
                  <c:v>53.1</c:v>
                </c:pt>
                <c:pt idx="17">
                  <c:v>54</c:v>
                </c:pt>
                <c:pt idx="18">
                  <c:v>56.6</c:v>
                </c:pt>
                <c:pt idx="19">
                  <c:v>59.3</c:v>
                </c:pt>
                <c:pt idx="20">
                  <c:v>62.5</c:v>
                </c:pt>
                <c:pt idx="21">
                  <c:v>65.2</c:v>
                </c:pt>
                <c:pt idx="22">
                  <c:v>68.3</c:v>
                </c:pt>
                <c:pt idx="23">
                  <c:v>71.2</c:v>
                </c:pt>
                <c:pt idx="24">
                  <c:v>75.099999999999994</c:v>
                </c:pt>
                <c:pt idx="25">
                  <c:v>76.400000000000006</c:v>
                </c:pt>
                <c:pt idx="26">
                  <c:v>79</c:v>
                </c:pt>
                <c:pt idx="27">
                  <c:v>81.900000000000006</c:v>
                </c:pt>
                <c:pt idx="28">
                  <c:v>80.3</c:v>
                </c:pt>
                <c:pt idx="29">
                  <c:v>82.8</c:v>
                </c:pt>
                <c:pt idx="30">
                  <c:v>87.9</c:v>
                </c:pt>
                <c:pt idx="31">
                  <c:v>89.2</c:v>
                </c:pt>
                <c:pt idx="32">
                  <c:v>91.1</c:v>
                </c:pt>
                <c:pt idx="33">
                  <c:v>95.7</c:v>
                </c:pt>
                <c:pt idx="34">
                  <c:v>99.1</c:v>
                </c:pt>
                <c:pt idx="35">
                  <c:v>102</c:v>
                </c:pt>
                <c:pt idx="36">
                  <c:v>105</c:v>
                </c:pt>
                <c:pt idx="37">
                  <c:v>106</c:v>
                </c:pt>
                <c:pt idx="38">
                  <c:v>108</c:v>
                </c:pt>
                <c:pt idx="39">
                  <c:v>111</c:v>
                </c:pt>
                <c:pt idx="40">
                  <c:v>115</c:v>
                </c:pt>
                <c:pt idx="41">
                  <c:v>121</c:v>
                </c:pt>
                <c:pt idx="42">
                  <c:v>125</c:v>
                </c:pt>
                <c:pt idx="43">
                  <c:v>130</c:v>
                </c:pt>
                <c:pt idx="44">
                  <c:v>129</c:v>
                </c:pt>
                <c:pt idx="45">
                  <c:v>135</c:v>
                </c:pt>
                <c:pt idx="46">
                  <c:v>136</c:v>
                </c:pt>
                <c:pt idx="47">
                  <c:v>136</c:v>
                </c:pt>
                <c:pt idx="48">
                  <c:v>135</c:v>
                </c:pt>
                <c:pt idx="49">
                  <c:v>136</c:v>
                </c:pt>
                <c:pt idx="50">
                  <c:v>149</c:v>
                </c:pt>
                <c:pt idx="51">
                  <c:v>157</c:v>
                </c:pt>
                <c:pt idx="52">
                  <c:v>159</c:v>
                </c:pt>
                <c:pt idx="53">
                  <c:v>166</c:v>
                </c:pt>
                <c:pt idx="54">
                  <c:v>163</c:v>
                </c:pt>
                <c:pt idx="55">
                  <c:v>162</c:v>
                </c:pt>
                <c:pt idx="56">
                  <c:v>160</c:v>
                </c:pt>
                <c:pt idx="57">
                  <c:v>165</c:v>
                </c:pt>
                <c:pt idx="58">
                  <c:v>173</c:v>
                </c:pt>
                <c:pt idx="59">
                  <c:v>180</c:v>
                </c:pt>
                <c:pt idx="60">
                  <c:v>185</c:v>
                </c:pt>
                <c:pt idx="61">
                  <c:v>188</c:v>
                </c:pt>
                <c:pt idx="62">
                  <c:v>185</c:v>
                </c:pt>
                <c:pt idx="63">
                  <c:v>167</c:v>
                </c:pt>
                <c:pt idx="64">
                  <c:v>191</c:v>
                </c:pt>
                <c:pt idx="65">
                  <c:v>193</c:v>
                </c:pt>
                <c:pt idx="66">
                  <c:v>198</c:v>
                </c:pt>
                <c:pt idx="67">
                  <c:v>205</c:v>
                </c:pt>
                <c:pt idx="68">
                  <c:v>205</c:v>
                </c:pt>
                <c:pt idx="69">
                  <c:v>224</c:v>
                </c:pt>
                <c:pt idx="70">
                  <c:v>229</c:v>
                </c:pt>
                <c:pt idx="71">
                  <c:v>223</c:v>
                </c:pt>
                <c:pt idx="72">
                  <c:v>231</c:v>
                </c:pt>
                <c:pt idx="73">
                  <c:v>234</c:v>
                </c:pt>
                <c:pt idx="74">
                  <c:v>236</c:v>
                </c:pt>
                <c:pt idx="75">
                  <c:v>240</c:v>
                </c:pt>
                <c:pt idx="76">
                  <c:v>255</c:v>
                </c:pt>
                <c:pt idx="77">
                  <c:v>272</c:v>
                </c:pt>
                <c:pt idx="78">
                  <c:v>266</c:v>
                </c:pt>
                <c:pt idx="79">
                  <c:v>268</c:v>
                </c:pt>
                <c:pt idx="80">
                  <c:v>269</c:v>
                </c:pt>
                <c:pt idx="81">
                  <c:v>276</c:v>
                </c:pt>
                <c:pt idx="82">
                  <c:v>265</c:v>
                </c:pt>
                <c:pt idx="83">
                  <c:v>292</c:v>
                </c:pt>
                <c:pt idx="84">
                  <c:v>270</c:v>
                </c:pt>
                <c:pt idx="85">
                  <c:v>257</c:v>
                </c:pt>
                <c:pt idx="86">
                  <c:v>260</c:v>
                </c:pt>
                <c:pt idx="87">
                  <c:v>252</c:v>
                </c:pt>
                <c:pt idx="88">
                  <c:v>231</c:v>
                </c:pt>
                <c:pt idx="89">
                  <c:v>233</c:v>
                </c:pt>
                <c:pt idx="90">
                  <c:v>233</c:v>
                </c:pt>
                <c:pt idx="91">
                  <c:v>166</c:v>
                </c:pt>
                <c:pt idx="92">
                  <c:v>254</c:v>
                </c:pt>
                <c:pt idx="93">
                  <c:v>280</c:v>
                </c:pt>
                <c:pt idx="94">
                  <c:v>271</c:v>
                </c:pt>
                <c:pt idx="95">
                  <c:v>247</c:v>
                </c:pt>
                <c:pt idx="96">
                  <c:v>128</c:v>
                </c:pt>
                <c:pt idx="97">
                  <c:v>255</c:v>
                </c:pt>
                <c:pt idx="98">
                  <c:v>241</c:v>
                </c:pt>
                <c:pt idx="99">
                  <c:v>262</c:v>
                </c:pt>
                <c:pt idx="100">
                  <c:v>248</c:v>
                </c:pt>
                <c:pt idx="101">
                  <c:v>223</c:v>
                </c:pt>
                <c:pt idx="102">
                  <c:v>212</c:v>
                </c:pt>
                <c:pt idx="103">
                  <c:v>210</c:v>
                </c:pt>
                <c:pt idx="104">
                  <c:v>224</c:v>
                </c:pt>
                <c:pt idx="105">
                  <c:v>226</c:v>
                </c:pt>
                <c:pt idx="106">
                  <c:v>232</c:v>
                </c:pt>
                <c:pt idx="107">
                  <c:v>244</c:v>
                </c:pt>
                <c:pt idx="108">
                  <c:v>231</c:v>
                </c:pt>
                <c:pt idx="109">
                  <c:v>235</c:v>
                </c:pt>
                <c:pt idx="110">
                  <c:v>228</c:v>
                </c:pt>
                <c:pt idx="111">
                  <c:v>210</c:v>
                </c:pt>
                <c:pt idx="112">
                  <c:v>208</c:v>
                </c:pt>
                <c:pt idx="113">
                  <c:v>202</c:v>
                </c:pt>
                <c:pt idx="114">
                  <c:v>196</c:v>
                </c:pt>
                <c:pt idx="115">
                  <c:v>186</c:v>
                </c:pt>
                <c:pt idx="116">
                  <c:v>193</c:v>
                </c:pt>
                <c:pt idx="117">
                  <c:v>200</c:v>
                </c:pt>
                <c:pt idx="118">
                  <c:v>211</c:v>
                </c:pt>
                <c:pt idx="119">
                  <c:v>219</c:v>
                </c:pt>
                <c:pt idx="120">
                  <c:v>220</c:v>
                </c:pt>
                <c:pt idx="121">
                  <c:v>226</c:v>
                </c:pt>
                <c:pt idx="122">
                  <c:v>228</c:v>
                </c:pt>
                <c:pt idx="123">
                  <c:v>227</c:v>
                </c:pt>
                <c:pt idx="124">
                  <c:v>227</c:v>
                </c:pt>
                <c:pt idx="125">
                  <c:v>225</c:v>
                </c:pt>
                <c:pt idx="126">
                  <c:v>226</c:v>
                </c:pt>
                <c:pt idx="127">
                  <c:v>227</c:v>
                </c:pt>
                <c:pt idx="128">
                  <c:v>219</c:v>
                </c:pt>
                <c:pt idx="129">
                  <c:v>209</c:v>
                </c:pt>
                <c:pt idx="130">
                  <c:v>197</c:v>
                </c:pt>
                <c:pt idx="131">
                  <c:v>194</c:v>
                </c:pt>
                <c:pt idx="132">
                  <c:v>201</c:v>
                </c:pt>
                <c:pt idx="133">
                  <c:v>199</c:v>
                </c:pt>
                <c:pt idx="134">
                  <c:v>198</c:v>
                </c:pt>
                <c:pt idx="135">
                  <c:v>192</c:v>
                </c:pt>
                <c:pt idx="136">
                  <c:v>179</c:v>
                </c:pt>
                <c:pt idx="137">
                  <c:v>178</c:v>
                </c:pt>
                <c:pt idx="138">
                  <c:v>170</c:v>
                </c:pt>
                <c:pt idx="139">
                  <c:v>156</c:v>
                </c:pt>
                <c:pt idx="140">
                  <c:v>147</c:v>
                </c:pt>
                <c:pt idx="141">
                  <c:v>149</c:v>
                </c:pt>
                <c:pt idx="142">
                  <c:v>122</c:v>
                </c:pt>
                <c:pt idx="143">
                  <c:v>132</c:v>
                </c:pt>
                <c:pt idx="144">
                  <c:v>110</c:v>
                </c:pt>
                <c:pt idx="145">
                  <c:v>129</c:v>
                </c:pt>
                <c:pt idx="146">
                  <c:v>124</c:v>
                </c:pt>
                <c:pt idx="147">
                  <c:v>122</c:v>
                </c:pt>
                <c:pt idx="148">
                  <c:v>122</c:v>
                </c:pt>
                <c:pt idx="149">
                  <c:v>121</c:v>
                </c:pt>
                <c:pt idx="150">
                  <c:v>130</c:v>
                </c:pt>
                <c:pt idx="151">
                  <c:v>127.47</c:v>
                </c:pt>
                <c:pt idx="152">
                  <c:v>124.71</c:v>
                </c:pt>
                <c:pt idx="153">
                  <c:v>119.25</c:v>
                </c:pt>
                <c:pt idx="154">
                  <c:v>51.18</c:v>
                </c:pt>
                <c:pt idx="155">
                  <c:v>94.11</c:v>
                </c:pt>
                <c:pt idx="156">
                  <c:v>108.1</c:v>
                </c:pt>
                <c:pt idx="157">
                  <c:v>104.53</c:v>
                </c:pt>
                <c:pt idx="158">
                  <c:v>104.07</c:v>
                </c:pt>
                <c:pt idx="159">
                  <c:v>99.82</c:v>
                </c:pt>
                <c:pt idx="160">
                  <c:v>92.76</c:v>
                </c:pt>
                <c:pt idx="161">
                  <c:v>94.2</c:v>
                </c:pt>
                <c:pt idx="162">
                  <c:v>84.49</c:v>
                </c:pt>
                <c:pt idx="163">
                  <c:v>68.2</c:v>
                </c:pt>
                <c:pt idx="164">
                  <c:v>48.97</c:v>
                </c:pt>
                <c:pt idx="165">
                  <c:v>53.04</c:v>
                </c:pt>
                <c:pt idx="166">
                  <c:v>50.2</c:v>
                </c:pt>
                <c:pt idx="167">
                  <c:v>48.5</c:v>
                </c:pt>
                <c:pt idx="168">
                  <c:v>41.178000000000004</c:v>
                </c:pt>
                <c:pt idx="169">
                  <c:v>37.076999999999998</c:v>
                </c:pt>
                <c:pt idx="170">
                  <c:v>31.197782666666601</c:v>
                </c:pt>
                <c:pt idx="171">
                  <c:v>31.930256000000004</c:v>
                </c:pt>
                <c:pt idx="172">
                  <c:v>29.989155</c:v>
                </c:pt>
                <c:pt idx="173">
                  <c:v>28.278728999999998</c:v>
                </c:pt>
                <c:pt idx="174">
                  <c:v>25.096057000000002</c:v>
                </c:pt>
                <c:pt idx="175">
                  <c:v>20.498293</c:v>
                </c:pt>
                <c:pt idx="176">
                  <c:v>18.517161999999999</c:v>
                </c:pt>
                <c:pt idx="177">
                  <c:v>17.007327</c:v>
                </c:pt>
                <c:pt idx="178" formatCode="#,##0.0\ ;\-#,##0.0\ ;&quot;-&quot;\ ">
                  <c:v>18.053242571428601</c:v>
                </c:pt>
                <c:pt idx="179" formatCode="#,##0.0\ ;\-#,##0.0\ ;&quot;-&quot;\ ">
                  <c:v>17.873633820922901</c:v>
                </c:pt>
              </c:numCache>
            </c:numRef>
          </c:yVal>
          <c:smooth val="1"/>
          <c:extLst>
            <c:ext xmlns:c16="http://schemas.microsoft.com/office/drawing/2014/chart" uri="{C3380CC4-5D6E-409C-BE32-E72D297353CC}">
              <c16:uniqueId val="{00000000-BB37-D542-9FC1-7FF716E13FF2}"/>
            </c:ext>
          </c:extLst>
        </c:ser>
        <c:dLbls>
          <c:showLegendKey val="0"/>
          <c:showVal val="0"/>
          <c:showCatName val="0"/>
          <c:showSerName val="0"/>
          <c:showPercent val="0"/>
          <c:showBubbleSize val="0"/>
        </c:dLbls>
        <c:axId val="128793600"/>
        <c:axId val="128800256"/>
      </c:scatterChart>
      <c:valAx>
        <c:axId val="128793600"/>
        <c:scaling>
          <c:orientation val="minMax"/>
          <c:max val="2020"/>
          <c:min val="1820"/>
        </c:scaling>
        <c:delete val="0"/>
        <c:axPos val="b"/>
        <c:numFmt formatCode="0"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28800256"/>
        <c:crosses val="autoZero"/>
        <c:crossBetween val="midCat"/>
        <c:majorUnit val="50"/>
        <c:minorUnit val="10"/>
      </c:valAx>
      <c:valAx>
        <c:axId val="128800256"/>
        <c:scaling>
          <c:orientation val="minMax"/>
          <c:max val="30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24667729930888"/>
              <c:y val="0.18400809273842286"/>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28793600"/>
        <c:crosses val="max"/>
        <c:crossBetween val="midCat"/>
        <c:majorUnit val="100"/>
        <c:minorUnit val="5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5902375621583915"/>
          <c:h val="0.77264654418197765"/>
        </c:manualLayout>
      </c:layout>
      <c:scatterChart>
        <c:scatterStyle val="smoothMarker"/>
        <c:varyColors val="0"/>
        <c:ser>
          <c:idx val="0"/>
          <c:order val="0"/>
          <c:tx>
            <c:strRef>
              <c:f>'Pennsylvania anthracite'!$E$7</c:f>
              <c:strCache>
                <c:ptCount val="1"/>
                <c:pt idx="0">
                  <c:v>p Mt</c:v>
                </c:pt>
              </c:strCache>
            </c:strRef>
          </c:tx>
          <c:spPr>
            <a:ln w="15875">
              <a:solidFill>
                <a:srgbClr val="008000"/>
              </a:solidFill>
            </a:ln>
          </c:spPr>
          <c:marker>
            <c:symbol val="none"/>
          </c:marker>
          <c:xVal>
            <c:numRef>
              <c:f>'Pennsylvania anthracite'!$D$8:$D$359</c:f>
              <c:numCache>
                <c:formatCode>General</c:formatCode>
                <c:ptCount val="352"/>
                <c:pt idx="0">
                  <c:v>1799</c:v>
                </c:pt>
                <c:pt idx="1">
                  <c:v>1800</c:v>
                </c:pt>
                <c:pt idx="2">
                  <c:v>1801</c:v>
                </c:pt>
                <c:pt idx="3">
                  <c:v>1802</c:v>
                </c:pt>
                <c:pt idx="4">
                  <c:v>1803</c:v>
                </c:pt>
                <c:pt idx="5">
                  <c:v>1804</c:v>
                </c:pt>
                <c:pt idx="6">
                  <c:v>1805</c:v>
                </c:pt>
                <c:pt idx="7">
                  <c:v>1806</c:v>
                </c:pt>
                <c:pt idx="8">
                  <c:v>1807</c:v>
                </c:pt>
                <c:pt idx="9">
                  <c:v>1808</c:v>
                </c:pt>
                <c:pt idx="10">
                  <c:v>1809</c:v>
                </c:pt>
                <c:pt idx="11">
                  <c:v>1810</c:v>
                </c:pt>
                <c:pt idx="12">
                  <c:v>1811</c:v>
                </c:pt>
                <c:pt idx="13">
                  <c:v>1812</c:v>
                </c:pt>
                <c:pt idx="14">
                  <c:v>1813</c:v>
                </c:pt>
                <c:pt idx="15">
                  <c:v>1814</c:v>
                </c:pt>
                <c:pt idx="16">
                  <c:v>1815</c:v>
                </c:pt>
                <c:pt idx="17">
                  <c:v>1816</c:v>
                </c:pt>
                <c:pt idx="18">
                  <c:v>1817</c:v>
                </c:pt>
                <c:pt idx="19">
                  <c:v>1818</c:v>
                </c:pt>
                <c:pt idx="20">
                  <c:v>1819</c:v>
                </c:pt>
                <c:pt idx="21">
                  <c:v>1820</c:v>
                </c:pt>
                <c:pt idx="22">
                  <c:v>1821</c:v>
                </c:pt>
                <c:pt idx="23">
                  <c:v>1822</c:v>
                </c:pt>
                <c:pt idx="24">
                  <c:v>1823</c:v>
                </c:pt>
                <c:pt idx="25">
                  <c:v>1824</c:v>
                </c:pt>
                <c:pt idx="26">
                  <c:v>1825</c:v>
                </c:pt>
                <c:pt idx="27">
                  <c:v>1826</c:v>
                </c:pt>
                <c:pt idx="28">
                  <c:v>1827</c:v>
                </c:pt>
                <c:pt idx="29">
                  <c:v>1828</c:v>
                </c:pt>
                <c:pt idx="30">
                  <c:v>1829</c:v>
                </c:pt>
                <c:pt idx="31">
                  <c:v>1830</c:v>
                </c:pt>
                <c:pt idx="32">
                  <c:v>1831</c:v>
                </c:pt>
                <c:pt idx="33">
                  <c:v>1832</c:v>
                </c:pt>
                <c:pt idx="34">
                  <c:v>1833</c:v>
                </c:pt>
                <c:pt idx="35">
                  <c:v>1834</c:v>
                </c:pt>
                <c:pt idx="36">
                  <c:v>1835</c:v>
                </c:pt>
                <c:pt idx="37">
                  <c:v>1836</c:v>
                </c:pt>
                <c:pt idx="38">
                  <c:v>1837</c:v>
                </c:pt>
                <c:pt idx="39">
                  <c:v>1838</c:v>
                </c:pt>
                <c:pt idx="40">
                  <c:v>1839</c:v>
                </c:pt>
                <c:pt idx="41">
                  <c:v>1840</c:v>
                </c:pt>
                <c:pt idx="42">
                  <c:v>1841</c:v>
                </c:pt>
                <c:pt idx="43">
                  <c:v>1842</c:v>
                </c:pt>
                <c:pt idx="44">
                  <c:v>1843</c:v>
                </c:pt>
                <c:pt idx="45">
                  <c:v>1844</c:v>
                </c:pt>
                <c:pt idx="46">
                  <c:v>1845</c:v>
                </c:pt>
                <c:pt idx="47">
                  <c:v>1846</c:v>
                </c:pt>
                <c:pt idx="48">
                  <c:v>1847</c:v>
                </c:pt>
                <c:pt idx="49">
                  <c:v>1848</c:v>
                </c:pt>
                <c:pt idx="50">
                  <c:v>1849</c:v>
                </c:pt>
                <c:pt idx="51">
                  <c:v>1850</c:v>
                </c:pt>
                <c:pt idx="52">
                  <c:v>1851</c:v>
                </c:pt>
                <c:pt idx="53">
                  <c:v>1852</c:v>
                </c:pt>
                <c:pt idx="54">
                  <c:v>1853</c:v>
                </c:pt>
                <c:pt idx="55">
                  <c:v>1854</c:v>
                </c:pt>
                <c:pt idx="56">
                  <c:v>1855</c:v>
                </c:pt>
                <c:pt idx="57">
                  <c:v>1856</c:v>
                </c:pt>
                <c:pt idx="58">
                  <c:v>1857</c:v>
                </c:pt>
                <c:pt idx="59">
                  <c:v>1858</c:v>
                </c:pt>
                <c:pt idx="60">
                  <c:v>1859</c:v>
                </c:pt>
                <c:pt idx="61">
                  <c:v>1860</c:v>
                </c:pt>
                <c:pt idx="62">
                  <c:v>1861</c:v>
                </c:pt>
                <c:pt idx="63">
                  <c:v>1862</c:v>
                </c:pt>
                <c:pt idx="64">
                  <c:v>1863</c:v>
                </c:pt>
                <c:pt idx="65">
                  <c:v>1864</c:v>
                </c:pt>
                <c:pt idx="66">
                  <c:v>1865</c:v>
                </c:pt>
                <c:pt idx="67">
                  <c:v>1866</c:v>
                </c:pt>
                <c:pt idx="68">
                  <c:v>1867</c:v>
                </c:pt>
                <c:pt idx="69">
                  <c:v>1868</c:v>
                </c:pt>
                <c:pt idx="70">
                  <c:v>1869</c:v>
                </c:pt>
                <c:pt idx="71">
                  <c:v>1870</c:v>
                </c:pt>
                <c:pt idx="72">
                  <c:v>1871</c:v>
                </c:pt>
                <c:pt idx="73">
                  <c:v>1872</c:v>
                </c:pt>
                <c:pt idx="74">
                  <c:v>1873</c:v>
                </c:pt>
                <c:pt idx="75">
                  <c:v>1874</c:v>
                </c:pt>
                <c:pt idx="76">
                  <c:v>1875</c:v>
                </c:pt>
                <c:pt idx="77">
                  <c:v>1876</c:v>
                </c:pt>
                <c:pt idx="78">
                  <c:v>1877</c:v>
                </c:pt>
                <c:pt idx="79">
                  <c:v>1878</c:v>
                </c:pt>
                <c:pt idx="80">
                  <c:v>1879</c:v>
                </c:pt>
                <c:pt idx="81">
                  <c:v>1880</c:v>
                </c:pt>
                <c:pt idx="82">
                  <c:v>1881</c:v>
                </c:pt>
                <c:pt idx="83">
                  <c:v>1882</c:v>
                </c:pt>
                <c:pt idx="84">
                  <c:v>1883</c:v>
                </c:pt>
                <c:pt idx="85">
                  <c:v>1884</c:v>
                </c:pt>
                <c:pt idx="86">
                  <c:v>1885</c:v>
                </c:pt>
                <c:pt idx="87">
                  <c:v>1886</c:v>
                </c:pt>
                <c:pt idx="88">
                  <c:v>1887</c:v>
                </c:pt>
                <c:pt idx="89">
                  <c:v>1888</c:v>
                </c:pt>
                <c:pt idx="90">
                  <c:v>1889</c:v>
                </c:pt>
                <c:pt idx="91">
                  <c:v>1890</c:v>
                </c:pt>
                <c:pt idx="92">
                  <c:v>1891</c:v>
                </c:pt>
                <c:pt idx="93">
                  <c:v>1892</c:v>
                </c:pt>
                <c:pt idx="94">
                  <c:v>1893</c:v>
                </c:pt>
                <c:pt idx="95">
                  <c:v>1894</c:v>
                </c:pt>
                <c:pt idx="96">
                  <c:v>1895</c:v>
                </c:pt>
                <c:pt idx="97">
                  <c:v>1896</c:v>
                </c:pt>
                <c:pt idx="98">
                  <c:v>1897</c:v>
                </c:pt>
                <c:pt idx="99">
                  <c:v>1898</c:v>
                </c:pt>
                <c:pt idx="100">
                  <c:v>1899</c:v>
                </c:pt>
                <c:pt idx="101">
                  <c:v>1900</c:v>
                </c:pt>
                <c:pt idx="102">
                  <c:v>1901</c:v>
                </c:pt>
                <c:pt idx="103">
                  <c:v>1902</c:v>
                </c:pt>
                <c:pt idx="104">
                  <c:v>1903</c:v>
                </c:pt>
                <c:pt idx="105">
                  <c:v>1904</c:v>
                </c:pt>
                <c:pt idx="106">
                  <c:v>1905</c:v>
                </c:pt>
                <c:pt idx="107">
                  <c:v>1906</c:v>
                </c:pt>
                <c:pt idx="108">
                  <c:v>1907</c:v>
                </c:pt>
                <c:pt idx="109">
                  <c:v>1908</c:v>
                </c:pt>
                <c:pt idx="110">
                  <c:v>1909</c:v>
                </c:pt>
                <c:pt idx="111">
                  <c:v>1910</c:v>
                </c:pt>
                <c:pt idx="112">
                  <c:v>1911</c:v>
                </c:pt>
                <c:pt idx="113">
                  <c:v>1912</c:v>
                </c:pt>
                <c:pt idx="114">
                  <c:v>1913</c:v>
                </c:pt>
                <c:pt idx="115">
                  <c:v>1914</c:v>
                </c:pt>
                <c:pt idx="116">
                  <c:v>1915</c:v>
                </c:pt>
                <c:pt idx="117">
                  <c:v>1916</c:v>
                </c:pt>
                <c:pt idx="118">
                  <c:v>1917</c:v>
                </c:pt>
                <c:pt idx="119">
                  <c:v>1918</c:v>
                </c:pt>
                <c:pt idx="120">
                  <c:v>1919</c:v>
                </c:pt>
                <c:pt idx="121">
                  <c:v>1920</c:v>
                </c:pt>
                <c:pt idx="122">
                  <c:v>1921</c:v>
                </c:pt>
                <c:pt idx="123">
                  <c:v>1922</c:v>
                </c:pt>
                <c:pt idx="124">
                  <c:v>1923</c:v>
                </c:pt>
                <c:pt idx="125">
                  <c:v>1924</c:v>
                </c:pt>
                <c:pt idx="126">
                  <c:v>1925</c:v>
                </c:pt>
                <c:pt idx="127">
                  <c:v>1926</c:v>
                </c:pt>
                <c:pt idx="128">
                  <c:v>1927</c:v>
                </c:pt>
                <c:pt idx="129">
                  <c:v>1928</c:v>
                </c:pt>
                <c:pt idx="130">
                  <c:v>1929</c:v>
                </c:pt>
                <c:pt idx="131">
                  <c:v>1930</c:v>
                </c:pt>
                <c:pt idx="132">
                  <c:v>1931</c:v>
                </c:pt>
                <c:pt idx="133">
                  <c:v>1932</c:v>
                </c:pt>
                <c:pt idx="134">
                  <c:v>1933</c:v>
                </c:pt>
                <c:pt idx="135">
                  <c:v>1934</c:v>
                </c:pt>
                <c:pt idx="136">
                  <c:v>1935</c:v>
                </c:pt>
                <c:pt idx="137">
                  <c:v>1936</c:v>
                </c:pt>
                <c:pt idx="138">
                  <c:v>1937</c:v>
                </c:pt>
                <c:pt idx="139">
                  <c:v>1938</c:v>
                </c:pt>
                <c:pt idx="140">
                  <c:v>1939</c:v>
                </c:pt>
                <c:pt idx="141">
                  <c:v>1940</c:v>
                </c:pt>
                <c:pt idx="142">
                  <c:v>1941</c:v>
                </c:pt>
                <c:pt idx="143">
                  <c:v>1942</c:v>
                </c:pt>
                <c:pt idx="144">
                  <c:v>1943</c:v>
                </c:pt>
                <c:pt idx="145">
                  <c:v>1944</c:v>
                </c:pt>
                <c:pt idx="146">
                  <c:v>1945</c:v>
                </c:pt>
                <c:pt idx="147">
                  <c:v>1946</c:v>
                </c:pt>
                <c:pt idx="148">
                  <c:v>1947</c:v>
                </c:pt>
                <c:pt idx="149">
                  <c:v>1948</c:v>
                </c:pt>
                <c:pt idx="150">
                  <c:v>1949</c:v>
                </c:pt>
                <c:pt idx="151">
                  <c:v>1950</c:v>
                </c:pt>
                <c:pt idx="152">
                  <c:v>1951</c:v>
                </c:pt>
                <c:pt idx="153">
                  <c:v>1952</c:v>
                </c:pt>
                <c:pt idx="154">
                  <c:v>1953</c:v>
                </c:pt>
                <c:pt idx="155">
                  <c:v>1954</c:v>
                </c:pt>
                <c:pt idx="156">
                  <c:v>1955</c:v>
                </c:pt>
                <c:pt idx="157">
                  <c:v>1956</c:v>
                </c:pt>
                <c:pt idx="158">
                  <c:v>1957</c:v>
                </c:pt>
                <c:pt idx="159">
                  <c:v>1958</c:v>
                </c:pt>
                <c:pt idx="160">
                  <c:v>1959</c:v>
                </c:pt>
                <c:pt idx="161">
                  <c:v>1960</c:v>
                </c:pt>
                <c:pt idx="162">
                  <c:v>1961</c:v>
                </c:pt>
                <c:pt idx="163">
                  <c:v>1962</c:v>
                </c:pt>
                <c:pt idx="164">
                  <c:v>1963</c:v>
                </c:pt>
                <c:pt idx="165">
                  <c:v>1964</c:v>
                </c:pt>
                <c:pt idx="166">
                  <c:v>1965</c:v>
                </c:pt>
                <c:pt idx="167">
                  <c:v>1966</c:v>
                </c:pt>
                <c:pt idx="168">
                  <c:v>1967</c:v>
                </c:pt>
                <c:pt idx="169">
                  <c:v>1968</c:v>
                </c:pt>
                <c:pt idx="170">
                  <c:v>1969</c:v>
                </c:pt>
                <c:pt idx="171">
                  <c:v>1970</c:v>
                </c:pt>
                <c:pt idx="172">
                  <c:v>1971</c:v>
                </c:pt>
                <c:pt idx="173">
                  <c:v>1972</c:v>
                </c:pt>
                <c:pt idx="174">
                  <c:v>1973</c:v>
                </c:pt>
                <c:pt idx="175">
                  <c:v>1974</c:v>
                </c:pt>
                <c:pt idx="176">
                  <c:v>1975</c:v>
                </c:pt>
                <c:pt idx="177">
                  <c:v>1976</c:v>
                </c:pt>
                <c:pt idx="178">
                  <c:v>1977</c:v>
                </c:pt>
                <c:pt idx="179">
                  <c:v>1978</c:v>
                </c:pt>
                <c:pt idx="180">
                  <c:v>1979</c:v>
                </c:pt>
                <c:pt idx="181">
                  <c:v>1980</c:v>
                </c:pt>
                <c:pt idx="182">
                  <c:v>1981</c:v>
                </c:pt>
                <c:pt idx="183">
                  <c:v>1982</c:v>
                </c:pt>
                <c:pt idx="184">
                  <c:v>1983</c:v>
                </c:pt>
                <c:pt idx="185">
                  <c:v>1984</c:v>
                </c:pt>
                <c:pt idx="186">
                  <c:v>1985</c:v>
                </c:pt>
                <c:pt idx="187">
                  <c:v>1986</c:v>
                </c:pt>
                <c:pt idx="188">
                  <c:v>1987</c:v>
                </c:pt>
                <c:pt idx="189">
                  <c:v>1988</c:v>
                </c:pt>
                <c:pt idx="190">
                  <c:v>1989</c:v>
                </c:pt>
                <c:pt idx="191">
                  <c:v>1990</c:v>
                </c:pt>
                <c:pt idx="192">
                  <c:v>1991</c:v>
                </c:pt>
                <c:pt idx="193">
                  <c:v>1992</c:v>
                </c:pt>
                <c:pt idx="194">
                  <c:v>1993</c:v>
                </c:pt>
                <c:pt idx="195">
                  <c:v>1994</c:v>
                </c:pt>
                <c:pt idx="196">
                  <c:v>1995</c:v>
                </c:pt>
                <c:pt idx="197">
                  <c:v>1996</c:v>
                </c:pt>
                <c:pt idx="198">
                  <c:v>1997</c:v>
                </c:pt>
                <c:pt idx="199">
                  <c:v>1998</c:v>
                </c:pt>
                <c:pt idx="200">
                  <c:v>1999</c:v>
                </c:pt>
                <c:pt idx="201">
                  <c:v>2000</c:v>
                </c:pt>
                <c:pt idx="202">
                  <c:v>2001</c:v>
                </c:pt>
                <c:pt idx="203">
                  <c:v>2002</c:v>
                </c:pt>
                <c:pt idx="204">
                  <c:v>2003</c:v>
                </c:pt>
                <c:pt idx="205">
                  <c:v>2004</c:v>
                </c:pt>
                <c:pt idx="206">
                  <c:v>2005</c:v>
                </c:pt>
                <c:pt idx="207">
                  <c:v>2006</c:v>
                </c:pt>
                <c:pt idx="208">
                  <c:v>2007</c:v>
                </c:pt>
                <c:pt idx="209">
                  <c:v>2008</c:v>
                </c:pt>
                <c:pt idx="210">
                  <c:v>2009</c:v>
                </c:pt>
                <c:pt idx="211">
                  <c:v>2010</c:v>
                </c:pt>
                <c:pt idx="212">
                  <c:v>2011</c:v>
                </c:pt>
                <c:pt idx="213">
                  <c:v>2012</c:v>
                </c:pt>
                <c:pt idx="214">
                  <c:v>2013</c:v>
                </c:pt>
                <c:pt idx="215">
                  <c:v>2014</c:v>
                </c:pt>
                <c:pt idx="216">
                  <c:v>2015</c:v>
                </c:pt>
                <c:pt idx="217">
                  <c:v>2016</c:v>
                </c:pt>
                <c:pt idx="218">
                  <c:v>2017</c:v>
                </c:pt>
                <c:pt idx="219">
                  <c:v>2018</c:v>
                </c:pt>
                <c:pt idx="220">
                  <c:v>2019</c:v>
                </c:pt>
                <c:pt idx="221">
                  <c:v>2020</c:v>
                </c:pt>
                <c:pt idx="222">
                  <c:v>2021</c:v>
                </c:pt>
                <c:pt idx="223">
                  <c:v>2022</c:v>
                </c:pt>
                <c:pt idx="224">
                  <c:v>2023</c:v>
                </c:pt>
                <c:pt idx="225">
                  <c:v>2024</c:v>
                </c:pt>
                <c:pt idx="226">
                  <c:v>2025</c:v>
                </c:pt>
                <c:pt idx="227">
                  <c:v>2026</c:v>
                </c:pt>
                <c:pt idx="228">
                  <c:v>2027</c:v>
                </c:pt>
                <c:pt idx="229">
                  <c:v>2028</c:v>
                </c:pt>
                <c:pt idx="230">
                  <c:v>2029</c:v>
                </c:pt>
                <c:pt idx="231">
                  <c:v>2030</c:v>
                </c:pt>
                <c:pt idx="232">
                  <c:v>2031</c:v>
                </c:pt>
                <c:pt idx="233">
                  <c:v>2032</c:v>
                </c:pt>
                <c:pt idx="234">
                  <c:v>2033</c:v>
                </c:pt>
                <c:pt idx="235">
                  <c:v>2034</c:v>
                </c:pt>
                <c:pt idx="236">
                  <c:v>2035</c:v>
                </c:pt>
                <c:pt idx="237">
                  <c:v>2036</c:v>
                </c:pt>
                <c:pt idx="238">
                  <c:v>2037</c:v>
                </c:pt>
                <c:pt idx="239">
                  <c:v>2038</c:v>
                </c:pt>
                <c:pt idx="240">
                  <c:v>2039</c:v>
                </c:pt>
                <c:pt idx="241">
                  <c:v>2040</c:v>
                </c:pt>
                <c:pt idx="242">
                  <c:v>2041</c:v>
                </c:pt>
                <c:pt idx="243">
                  <c:v>2042</c:v>
                </c:pt>
                <c:pt idx="244">
                  <c:v>2043</c:v>
                </c:pt>
                <c:pt idx="245">
                  <c:v>2044</c:v>
                </c:pt>
                <c:pt idx="246">
                  <c:v>2045</c:v>
                </c:pt>
                <c:pt idx="247">
                  <c:v>2046</c:v>
                </c:pt>
                <c:pt idx="248">
                  <c:v>2047</c:v>
                </c:pt>
                <c:pt idx="249">
                  <c:v>2048</c:v>
                </c:pt>
                <c:pt idx="250">
                  <c:v>2049</c:v>
                </c:pt>
                <c:pt idx="251">
                  <c:v>2050</c:v>
                </c:pt>
                <c:pt idx="252">
                  <c:v>2051</c:v>
                </c:pt>
                <c:pt idx="253">
                  <c:v>2052</c:v>
                </c:pt>
                <c:pt idx="254">
                  <c:v>2053</c:v>
                </c:pt>
                <c:pt idx="255">
                  <c:v>2054</c:v>
                </c:pt>
                <c:pt idx="256">
                  <c:v>2055</c:v>
                </c:pt>
                <c:pt idx="257">
                  <c:v>2056</c:v>
                </c:pt>
                <c:pt idx="258">
                  <c:v>2057</c:v>
                </c:pt>
                <c:pt idx="259">
                  <c:v>2058</c:v>
                </c:pt>
                <c:pt idx="260">
                  <c:v>2059</c:v>
                </c:pt>
                <c:pt idx="261">
                  <c:v>2060</c:v>
                </c:pt>
                <c:pt idx="262">
                  <c:v>2061</c:v>
                </c:pt>
                <c:pt idx="263">
                  <c:v>2062</c:v>
                </c:pt>
                <c:pt idx="264">
                  <c:v>2063</c:v>
                </c:pt>
                <c:pt idx="265">
                  <c:v>2064</c:v>
                </c:pt>
                <c:pt idx="266">
                  <c:v>2065</c:v>
                </c:pt>
                <c:pt idx="267">
                  <c:v>2066</c:v>
                </c:pt>
                <c:pt idx="268">
                  <c:v>2067</c:v>
                </c:pt>
                <c:pt idx="269">
                  <c:v>2068</c:v>
                </c:pt>
                <c:pt idx="270">
                  <c:v>2069</c:v>
                </c:pt>
                <c:pt idx="271">
                  <c:v>2070</c:v>
                </c:pt>
                <c:pt idx="272">
                  <c:v>2071</c:v>
                </c:pt>
                <c:pt idx="273">
                  <c:v>2072</c:v>
                </c:pt>
                <c:pt idx="274">
                  <c:v>2073</c:v>
                </c:pt>
                <c:pt idx="275">
                  <c:v>2074</c:v>
                </c:pt>
                <c:pt idx="276">
                  <c:v>2075</c:v>
                </c:pt>
                <c:pt idx="277">
                  <c:v>2076</c:v>
                </c:pt>
                <c:pt idx="278">
                  <c:v>2077</c:v>
                </c:pt>
                <c:pt idx="279">
                  <c:v>2078</c:v>
                </c:pt>
                <c:pt idx="280">
                  <c:v>2079</c:v>
                </c:pt>
                <c:pt idx="281">
                  <c:v>2080</c:v>
                </c:pt>
                <c:pt idx="282">
                  <c:v>2081</c:v>
                </c:pt>
                <c:pt idx="283">
                  <c:v>2082</c:v>
                </c:pt>
                <c:pt idx="284">
                  <c:v>2083</c:v>
                </c:pt>
                <c:pt idx="285">
                  <c:v>2084</c:v>
                </c:pt>
                <c:pt idx="286">
                  <c:v>2085</c:v>
                </c:pt>
                <c:pt idx="287">
                  <c:v>2086</c:v>
                </c:pt>
                <c:pt idx="288">
                  <c:v>2087</c:v>
                </c:pt>
                <c:pt idx="289">
                  <c:v>2088</c:v>
                </c:pt>
                <c:pt idx="290">
                  <c:v>2089</c:v>
                </c:pt>
                <c:pt idx="291">
                  <c:v>2090</c:v>
                </c:pt>
                <c:pt idx="292">
                  <c:v>2091</c:v>
                </c:pt>
                <c:pt idx="293">
                  <c:v>2092</c:v>
                </c:pt>
                <c:pt idx="294">
                  <c:v>2093</c:v>
                </c:pt>
                <c:pt idx="295">
                  <c:v>2094</c:v>
                </c:pt>
                <c:pt idx="296">
                  <c:v>2095</c:v>
                </c:pt>
                <c:pt idx="297">
                  <c:v>2096</c:v>
                </c:pt>
                <c:pt idx="298">
                  <c:v>2097</c:v>
                </c:pt>
                <c:pt idx="299">
                  <c:v>2098</c:v>
                </c:pt>
                <c:pt idx="300">
                  <c:v>2099</c:v>
                </c:pt>
                <c:pt idx="301">
                  <c:v>2100</c:v>
                </c:pt>
                <c:pt idx="302">
                  <c:v>2101</c:v>
                </c:pt>
                <c:pt idx="303">
                  <c:v>2102</c:v>
                </c:pt>
                <c:pt idx="304">
                  <c:v>2103</c:v>
                </c:pt>
                <c:pt idx="305">
                  <c:v>2104</c:v>
                </c:pt>
                <c:pt idx="306">
                  <c:v>2105</c:v>
                </c:pt>
                <c:pt idx="307">
                  <c:v>2106</c:v>
                </c:pt>
                <c:pt idx="308">
                  <c:v>2107</c:v>
                </c:pt>
                <c:pt idx="309">
                  <c:v>2108</c:v>
                </c:pt>
                <c:pt idx="310">
                  <c:v>2109</c:v>
                </c:pt>
                <c:pt idx="311">
                  <c:v>2110</c:v>
                </c:pt>
                <c:pt idx="312">
                  <c:v>2111</c:v>
                </c:pt>
                <c:pt idx="313">
                  <c:v>2112</c:v>
                </c:pt>
                <c:pt idx="314">
                  <c:v>2113</c:v>
                </c:pt>
                <c:pt idx="315">
                  <c:v>2114</c:v>
                </c:pt>
                <c:pt idx="316">
                  <c:v>2115</c:v>
                </c:pt>
                <c:pt idx="317">
                  <c:v>2116</c:v>
                </c:pt>
                <c:pt idx="318">
                  <c:v>2117</c:v>
                </c:pt>
                <c:pt idx="319">
                  <c:v>2118</c:v>
                </c:pt>
                <c:pt idx="320">
                  <c:v>2119</c:v>
                </c:pt>
                <c:pt idx="321">
                  <c:v>2120</c:v>
                </c:pt>
                <c:pt idx="322">
                  <c:v>2121</c:v>
                </c:pt>
                <c:pt idx="323">
                  <c:v>2122</c:v>
                </c:pt>
                <c:pt idx="324">
                  <c:v>2123</c:v>
                </c:pt>
                <c:pt idx="325">
                  <c:v>2124</c:v>
                </c:pt>
                <c:pt idx="326">
                  <c:v>2125</c:v>
                </c:pt>
                <c:pt idx="327">
                  <c:v>2126</c:v>
                </c:pt>
                <c:pt idx="328">
                  <c:v>2127</c:v>
                </c:pt>
                <c:pt idx="329">
                  <c:v>2128</c:v>
                </c:pt>
                <c:pt idx="330">
                  <c:v>2129</c:v>
                </c:pt>
                <c:pt idx="331">
                  <c:v>2130</c:v>
                </c:pt>
                <c:pt idx="332">
                  <c:v>2131</c:v>
                </c:pt>
                <c:pt idx="333">
                  <c:v>2132</c:v>
                </c:pt>
                <c:pt idx="334">
                  <c:v>2133</c:v>
                </c:pt>
                <c:pt idx="335">
                  <c:v>2134</c:v>
                </c:pt>
                <c:pt idx="336">
                  <c:v>2135</c:v>
                </c:pt>
                <c:pt idx="337">
                  <c:v>2136</c:v>
                </c:pt>
                <c:pt idx="338">
                  <c:v>2137</c:v>
                </c:pt>
                <c:pt idx="339">
                  <c:v>2138</c:v>
                </c:pt>
                <c:pt idx="340">
                  <c:v>2139</c:v>
                </c:pt>
                <c:pt idx="341">
                  <c:v>2140</c:v>
                </c:pt>
                <c:pt idx="342">
                  <c:v>2141</c:v>
                </c:pt>
                <c:pt idx="343">
                  <c:v>2142</c:v>
                </c:pt>
                <c:pt idx="344">
                  <c:v>2143</c:v>
                </c:pt>
                <c:pt idx="345">
                  <c:v>2144</c:v>
                </c:pt>
                <c:pt idx="346">
                  <c:v>2145</c:v>
                </c:pt>
                <c:pt idx="347">
                  <c:v>2146</c:v>
                </c:pt>
                <c:pt idx="348">
                  <c:v>2147</c:v>
                </c:pt>
                <c:pt idx="349">
                  <c:v>2148</c:v>
                </c:pt>
                <c:pt idx="350">
                  <c:v>2149</c:v>
                </c:pt>
                <c:pt idx="351">
                  <c:v>2150</c:v>
                </c:pt>
              </c:numCache>
            </c:numRef>
          </c:xVal>
          <c:yVal>
            <c:numRef>
              <c:f>'Pennsylvania anthracite'!$E$8:$E$359</c:f>
              <c:numCache>
                <c:formatCode>0.0</c:formatCode>
                <c:ptCount val="352"/>
                <c:pt idx="1">
                  <c:v>2.2679618519018917E-4</c:v>
                </c:pt>
                <c:pt idx="2">
                  <c:v>2.2679618519018917E-4</c:v>
                </c:pt>
                <c:pt idx="3">
                  <c:v>2.2679618519018917E-4</c:v>
                </c:pt>
                <c:pt idx="4">
                  <c:v>2.7215542222822699E-4</c:v>
                </c:pt>
                <c:pt idx="5">
                  <c:v>3.1751465926626481E-4</c:v>
                </c:pt>
                <c:pt idx="6">
                  <c:v>3.6287389630430264E-4</c:v>
                </c:pt>
                <c:pt idx="7">
                  <c:v>3.6287389630430264E-4</c:v>
                </c:pt>
                <c:pt idx="8">
                  <c:v>4.0823313334234046E-4</c:v>
                </c:pt>
                <c:pt idx="9">
                  <c:v>8.6182550372271868E-4</c:v>
                </c:pt>
                <c:pt idx="10">
                  <c:v>1.3154178741030971E-3</c:v>
                </c:pt>
                <c:pt idx="11">
                  <c:v>1.9958064296736644E-3</c:v>
                </c:pt>
                <c:pt idx="12">
                  <c:v>1.9958064296736644E-3</c:v>
                </c:pt>
                <c:pt idx="13">
                  <c:v>2.0865249037497402E-3</c:v>
                </c:pt>
                <c:pt idx="14">
                  <c:v>2.0865249037497402E-3</c:v>
                </c:pt>
                <c:pt idx="15">
                  <c:v>2.1772433778258159E-3</c:v>
                </c:pt>
                <c:pt idx="16">
                  <c:v>2.1772433778258159E-3</c:v>
                </c:pt>
                <c:pt idx="17">
                  <c:v>2.1772433778258159E-3</c:v>
                </c:pt>
                <c:pt idx="18">
                  <c:v>2.1772433778258159E-3</c:v>
                </c:pt>
                <c:pt idx="19">
                  <c:v>2.4493988000540432E-3</c:v>
                </c:pt>
                <c:pt idx="20">
                  <c:v>2.9029911704344211E-3</c:v>
                </c:pt>
                <c:pt idx="21">
                  <c:v>3.6877059711924757E-3</c:v>
                </c:pt>
                <c:pt idx="22">
                  <c:v>3.3257392596289337E-3</c:v>
                </c:pt>
                <c:pt idx="23">
                  <c:v>5.019453170629266E-3</c:v>
                </c:pt>
                <c:pt idx="24">
                  <c:v>9.1680089901282069E-3</c:v>
                </c:pt>
                <c:pt idx="25">
                  <c:v>1.3859968469342839E-2</c:v>
                </c:pt>
                <c:pt idx="26">
                  <c:v>3.9116898836863069E-2</c:v>
                </c:pt>
                <c:pt idx="27">
                  <c:v>5.5694792789525133E-2</c:v>
                </c:pt>
                <c:pt idx="28">
                  <c:v>7.2308974131817624E-2</c:v>
                </c:pt>
                <c:pt idx="29">
                  <c:v>9.338922595287534E-2</c:v>
                </c:pt>
                <c:pt idx="30">
                  <c:v>0.13534016991987499</c:v>
                </c:pt>
                <c:pt idx="31">
                  <c:v>0.21299790528321805</c:v>
                </c:pt>
                <c:pt idx="32">
                  <c:v>0.23401556135716325</c:v>
                </c:pt>
                <c:pt idx="33">
                  <c:v>0.45536228780960258</c:v>
                </c:pt>
                <c:pt idx="34">
                  <c:v>0.60171295892809085</c:v>
                </c:pt>
                <c:pt idx="35">
                  <c:v>0.46419010252194548</c:v>
                </c:pt>
                <c:pt idx="36">
                  <c:v>0.68940506470898866</c:v>
                </c:pt>
                <c:pt idx="37">
                  <c:v>0.83897896321139986</c:v>
                </c:pt>
                <c:pt idx="38">
                  <c:v>1.0559176790084828</c:v>
                </c:pt>
                <c:pt idx="39">
                  <c:v>0.88702255989734879</c:v>
                </c:pt>
                <c:pt idx="40">
                  <c:v>0.97279959869050059</c:v>
                </c:pt>
                <c:pt idx="41">
                  <c:v>1.024398452375491</c:v>
                </c:pt>
                <c:pt idx="42">
                  <c:v>1.1450903102863019</c:v>
                </c:pt>
                <c:pt idx="43">
                  <c:v>1.3072405108498797</c:v>
                </c:pt>
                <c:pt idx="44">
                  <c:v>1.502658083041895</c:v>
                </c:pt>
                <c:pt idx="45">
                  <c:v>1.9301743352338461</c:v>
                </c:pt>
                <c:pt idx="46">
                  <c:v>2.3820466833457421</c:v>
                </c:pt>
                <c:pt idx="47">
                  <c:v>2.7507646637500254</c:v>
                </c:pt>
                <c:pt idx="48">
                  <c:v>3.3805459185572539</c:v>
                </c:pt>
                <c:pt idx="49">
                  <c:v>3.630025351005425</c:v>
                </c:pt>
                <c:pt idx="50">
                  <c:v>3.7845833224735763</c:v>
                </c:pt>
                <c:pt idx="51">
                  <c:v>3.9253602505448302</c:v>
                </c:pt>
                <c:pt idx="52">
                  <c:v>5.2739847148987344</c:v>
                </c:pt>
                <c:pt idx="53">
                  <c:v>5.8170191504249376</c:v>
                </c:pt>
                <c:pt idx="54">
                  <c:v>6.035168957850936</c:v>
                </c:pt>
                <c:pt idx="55">
                  <c:v>6.9564223195714101</c:v>
                </c:pt>
                <c:pt idx="56">
                  <c:v>7.8078551149039743</c:v>
                </c:pt>
                <c:pt idx="57">
                  <c:v>8.1281385019990413</c:v>
                </c:pt>
                <c:pt idx="58">
                  <c:v>7.8183203980733902</c:v>
                </c:pt>
                <c:pt idx="59">
                  <c:v>7.9904269511668167</c:v>
                </c:pt>
                <c:pt idx="60">
                  <c:v>9.1553201971591864</c:v>
                </c:pt>
                <c:pt idx="61">
                  <c:v>9.9644917913434092</c:v>
                </c:pt>
                <c:pt idx="62">
                  <c:v>9.2942491899135096</c:v>
                </c:pt>
                <c:pt idx="63">
                  <c:v>9.2409783947512967</c:v>
                </c:pt>
                <c:pt idx="64">
                  <c:v>11.128857963001396</c:v>
                </c:pt>
                <c:pt idx="65">
                  <c:v>11.854335414557253</c:v>
                </c:pt>
                <c:pt idx="66">
                  <c:v>10.956066485428694</c:v>
                </c:pt>
                <c:pt idx="67">
                  <c:v>14.318983082918745</c:v>
                </c:pt>
                <c:pt idx="68">
                  <c:v>14.575846999156708</c:v>
                </c:pt>
                <c:pt idx="69">
                  <c:v>16.064175192033545</c:v>
                </c:pt>
                <c:pt idx="70">
                  <c:v>16.638456698770515</c:v>
                </c:pt>
                <c:pt idx="71">
                  <c:v>18.105651115926591</c:v>
                </c:pt>
                <c:pt idx="72">
                  <c:v>17.658240302369755</c:v>
                </c:pt>
                <c:pt idx="73">
                  <c:v>22.438464320936706</c:v>
                </c:pt>
                <c:pt idx="74">
                  <c:v>23.24808860030657</c:v>
                </c:pt>
                <c:pt idx="75">
                  <c:v>22.015080295238921</c:v>
                </c:pt>
                <c:pt idx="76">
                  <c:v>20.974773451249447</c:v>
                </c:pt>
                <c:pt idx="77">
                  <c:v>20.677684056421409</c:v>
                </c:pt>
                <c:pt idx="78">
                  <c:v>23.278647118299098</c:v>
                </c:pt>
                <c:pt idx="79">
                  <c:v>19.676548542353249</c:v>
                </c:pt>
                <c:pt idx="80">
                  <c:v>27.404048861659597</c:v>
                </c:pt>
                <c:pt idx="81">
                  <c:v>25.990672272064415</c:v>
                </c:pt>
                <c:pt idx="82">
                  <c:v>28.957353254408684</c:v>
                </c:pt>
                <c:pt idx="83">
                  <c:v>31.861467519552168</c:v>
                </c:pt>
                <c:pt idx="84">
                  <c:v>34.887462961801596</c:v>
                </c:pt>
                <c:pt idx="85">
                  <c:v>33.7081246131821</c:v>
                </c:pt>
                <c:pt idx="86">
                  <c:v>34.77781063500111</c:v>
                </c:pt>
                <c:pt idx="87">
                  <c:v>35.412360959990515</c:v>
                </c:pt>
                <c:pt idx="88">
                  <c:v>38.181770084532658</c:v>
                </c:pt>
                <c:pt idx="89">
                  <c:v>42.292557081719501</c:v>
                </c:pt>
                <c:pt idx="90">
                  <c:v>41.319516171887955</c:v>
                </c:pt>
                <c:pt idx="91">
                  <c:v>42.155642039089663</c:v>
                </c:pt>
                <c:pt idx="92">
                  <c:v>45.962905887266999</c:v>
                </c:pt>
                <c:pt idx="93">
                  <c:v>47.602254938307759</c:v>
                </c:pt>
                <c:pt idx="94">
                  <c:v>48.958531505949992</c:v>
                </c:pt>
                <c:pt idx="95">
                  <c:v>47.102048694392877</c:v>
                </c:pt>
                <c:pt idx="96">
                  <c:v>52.616113500640758</c:v>
                </c:pt>
                <c:pt idx="97">
                  <c:v>49.301935403348082</c:v>
                </c:pt>
                <c:pt idx="98">
                  <c:v>47.728514188972625</c:v>
                </c:pt>
                <c:pt idx="99">
                  <c:v>48.4279209654485</c:v>
                </c:pt>
                <c:pt idx="100">
                  <c:v>54.810292203207098</c:v>
                </c:pt>
                <c:pt idx="101">
                  <c:v>52.043297097260115</c:v>
                </c:pt>
                <c:pt idx="102">
                  <c:v>61.209266736091102</c:v>
                </c:pt>
                <c:pt idx="103">
                  <c:v>37.533494054415542</c:v>
                </c:pt>
                <c:pt idx="104">
                  <c:v>67.682393642500145</c:v>
                </c:pt>
                <c:pt idx="105">
                  <c:v>66.366650089075108</c:v>
                </c:pt>
                <c:pt idx="106">
                  <c:v>70.451830889769241</c:v>
                </c:pt>
                <c:pt idx="107">
                  <c:v>64.666315543836703</c:v>
                </c:pt>
                <c:pt idx="108">
                  <c:v>77.658925589722926</c:v>
                </c:pt>
                <c:pt idx="109">
                  <c:v>75.540143010961216</c:v>
                </c:pt>
                <c:pt idx="110">
                  <c:v>73.545792612796475</c:v>
                </c:pt>
                <c:pt idx="111">
                  <c:v>76.643716918771347</c:v>
                </c:pt>
                <c:pt idx="112">
                  <c:v>82.06762116955872</c:v>
                </c:pt>
                <c:pt idx="113">
                  <c:v>76.531554411793152</c:v>
                </c:pt>
                <c:pt idx="114">
                  <c:v>83.030012637718471</c:v>
                </c:pt>
                <c:pt idx="115">
                  <c:v>82.391885283296247</c:v>
                </c:pt>
                <c:pt idx="116">
                  <c:v>80.734961342272726</c:v>
                </c:pt>
                <c:pt idx="117">
                  <c:v>79.44987246842274</c:v>
                </c:pt>
                <c:pt idx="118">
                  <c:v>90.36631493874448</c:v>
                </c:pt>
                <c:pt idx="119">
                  <c:v>89.653515393940765</c:v>
                </c:pt>
                <c:pt idx="120">
                  <c:v>79.915900527229454</c:v>
                </c:pt>
                <c:pt idx="121">
                  <c:v>81.282164291682719</c:v>
                </c:pt>
                <c:pt idx="122">
                  <c:v>82.07613419116602</c:v>
                </c:pt>
                <c:pt idx="123">
                  <c:v>49.607603137084752</c:v>
                </c:pt>
                <c:pt idx="124">
                  <c:v>84.675724682530927</c:v>
                </c:pt>
                <c:pt idx="125">
                  <c:v>79.765907509376831</c:v>
                </c:pt>
                <c:pt idx="126">
                  <c:v>56.079574290134062</c:v>
                </c:pt>
                <c:pt idx="127">
                  <c:v>76.600368003118831</c:v>
                </c:pt>
                <c:pt idx="128">
                  <c:v>72.661473463426589</c:v>
                </c:pt>
                <c:pt idx="129">
                  <c:v>68.354618442588603</c:v>
                </c:pt>
                <c:pt idx="130">
                  <c:v>66.975811941909583</c:v>
                </c:pt>
                <c:pt idx="131">
                  <c:v>62.944865366572351</c:v>
                </c:pt>
                <c:pt idx="132">
                  <c:v>54.109625347126304</c:v>
                </c:pt>
                <c:pt idx="133">
                  <c:v>45.227895738455231</c:v>
                </c:pt>
                <c:pt idx="134">
                  <c:v>44.943151313579463</c:v>
                </c:pt>
                <c:pt idx="135">
                  <c:v>51.8622012505705</c:v>
                </c:pt>
                <c:pt idx="136">
                  <c:v>47.317652034251559</c:v>
                </c:pt>
                <c:pt idx="137">
                  <c:v>49.51372130981764</c:v>
                </c:pt>
                <c:pt idx="138">
                  <c:v>47.04336472788254</c:v>
                </c:pt>
                <c:pt idx="139">
                  <c:v>41.820333858318122</c:v>
                </c:pt>
                <c:pt idx="140">
                  <c:v>46.708562756196343</c:v>
                </c:pt>
                <c:pt idx="141">
                  <c:v>46.706079791560882</c:v>
                </c:pt>
                <c:pt idx="142">
                  <c:v>51.136431685528116</c:v>
                </c:pt>
                <c:pt idx="143">
                  <c:v>54.728395193550178</c:v>
                </c:pt>
                <c:pt idx="144">
                  <c:v>55.014966688493836</c:v>
                </c:pt>
                <c:pt idx="145">
                  <c:v>57.788904479261852</c:v>
                </c:pt>
                <c:pt idx="146">
                  <c:v>49.835203995139992</c:v>
                </c:pt>
                <c:pt idx="147">
                  <c:v>54.890911896749024</c:v>
                </c:pt>
                <c:pt idx="148">
                  <c:v>51.881903488770334</c:v>
                </c:pt>
                <c:pt idx="149">
                  <c:v>51.836488913463114</c:v>
                </c:pt>
                <c:pt idx="150">
                  <c:v>38.738602799965825</c:v>
                </c:pt>
                <c:pt idx="151">
                  <c:v>39.985981818511867</c:v>
                </c:pt>
                <c:pt idx="152">
                  <c:v>38.709572888261484</c:v>
                </c:pt>
                <c:pt idx="153">
                  <c:v>36.816278334293784</c:v>
                </c:pt>
                <c:pt idx="154">
                  <c:v>28.076460541804657</c:v>
                </c:pt>
                <c:pt idx="155">
                  <c:v>26.383653815545085</c:v>
                </c:pt>
                <c:pt idx="156">
                  <c:v>23.772776131635627</c:v>
                </c:pt>
                <c:pt idx="157">
                  <c:v>26.217639007985866</c:v>
                </c:pt>
                <c:pt idx="158">
                  <c:v>22.986246961396049</c:v>
                </c:pt>
                <c:pt idx="159">
                  <c:v>19.206008146645978</c:v>
                </c:pt>
                <c:pt idx="160">
                  <c:v>18.732457711968863</c:v>
                </c:pt>
                <c:pt idx="161">
                  <c:v>17.070495266895158</c:v>
                </c:pt>
                <c:pt idx="162">
                  <c:v>15.826744987312161</c:v>
                </c:pt>
                <c:pt idx="163">
                  <c:v>15.325979010412222</c:v>
                </c:pt>
                <c:pt idx="164">
                  <c:v>16.571543659476742</c:v>
                </c:pt>
                <c:pt idx="165">
                  <c:v>15.58906258523284</c:v>
                </c:pt>
                <c:pt idx="166">
                  <c:v>13.486208356149406</c:v>
                </c:pt>
                <c:pt idx="167">
                  <c:v>11.739877730184952</c:v>
                </c:pt>
                <c:pt idx="168">
                  <c:v>11.118456182763834</c:v>
                </c:pt>
                <c:pt idx="169">
                  <c:v>10.397244313859032</c:v>
                </c:pt>
                <c:pt idx="170">
                  <c:v>9.5009457899874032</c:v>
                </c:pt>
                <c:pt idx="171">
                  <c:v>8.8260003428614002</c:v>
                </c:pt>
                <c:pt idx="172">
                  <c:v>7.917001232619123</c:v>
                </c:pt>
                <c:pt idx="173">
                  <c:v>6.4464547678459363</c:v>
                </c:pt>
                <c:pt idx="174">
                  <c:v>6.1960717793959681</c:v>
                </c:pt>
                <c:pt idx="175">
                  <c:v>6.0028414296139267</c:v>
                </c:pt>
                <c:pt idx="176">
                  <c:v>5.6272669469389731</c:v>
                </c:pt>
                <c:pt idx="177">
                  <c:v>5.6499465654579923</c:v>
                </c:pt>
                <c:pt idx="178">
                  <c:v>5.3170097655987947</c:v>
                </c:pt>
                <c:pt idx="179">
                  <c:v>4.569489539211931</c:v>
                </c:pt>
                <c:pt idx="180">
                  <c:v>4.3862382215782585</c:v>
                </c:pt>
                <c:pt idx="181">
                  <c:v>5.493910790047142</c:v>
                </c:pt>
                <c:pt idx="182">
                  <c:v>4.9196628491455829</c:v>
                </c:pt>
                <c:pt idx="183">
                  <c:v>4.1630707753511125</c:v>
                </c:pt>
                <c:pt idx="184">
                  <c:v>3.7094784049707341</c:v>
                </c:pt>
                <c:pt idx="185">
                  <c:v>3.7754624870899676</c:v>
                </c:pt>
                <c:pt idx="186">
                  <c:v>4.2713659537794273</c:v>
                </c:pt>
                <c:pt idx="187">
                  <c:v>3.8935924552928705</c:v>
                </c:pt>
                <c:pt idx="188">
                  <c:v>3.2299940749043028</c:v>
                </c:pt>
                <c:pt idx="189">
                  <c:v>3.2245963256967762</c:v>
                </c:pt>
                <c:pt idx="190">
                  <c:v>3.03725088332805</c:v>
                </c:pt>
                <c:pt idx="191">
                  <c:v>3.1808137757381805</c:v>
                </c:pt>
                <c:pt idx="192">
                  <c:v>3.1253240067000672</c:v>
                </c:pt>
                <c:pt idx="193">
                  <c:v>3.1595983533907495</c:v>
                </c:pt>
                <c:pt idx="194">
                  <c:v>3.9210910391548102</c:v>
                </c:pt>
                <c:pt idx="195">
                  <c:v>4.2148093354861791</c:v>
                </c:pt>
                <c:pt idx="196">
                  <c:v>4.2741990917248236</c:v>
                </c:pt>
                <c:pt idx="197">
                  <c:v>4.3252989938023951</c:v>
                </c:pt>
                <c:pt idx="198">
                  <c:v>4.2564554653802844</c:v>
                </c:pt>
                <c:pt idx="199">
                  <c:v>4.7642838754870436</c:v>
                </c:pt>
                <c:pt idx="200">
                  <c:v>4.3252318621315791</c:v>
                </c:pt>
                <c:pt idx="201">
                  <c:v>4.1478509369553693</c:v>
                </c:pt>
                <c:pt idx="202">
                  <c:v>1.7599538192164608</c:v>
                </c:pt>
                <c:pt idx="203">
                  <c:v>1.240228588419364</c:v>
                </c:pt>
                <c:pt idx="204">
                  <c:v>1.1723267177581622</c:v>
                </c:pt>
                <c:pt idx="205">
                  <c:v>1.5472643567451012</c:v>
                </c:pt>
                <c:pt idx="206">
                  <c:v>1.5456404960591397</c:v>
                </c:pt>
                <c:pt idx="207">
                  <c:v>1.3950106345184827</c:v>
                </c:pt>
                <c:pt idx="208">
                  <c:v>1.4229092868510982</c:v>
                </c:pt>
                <c:pt idx="209">
                  <c:v>1.5428917262946347</c:v>
                </c:pt>
                <c:pt idx="210">
                  <c:v>1.5725372900171199</c:v>
                </c:pt>
              </c:numCache>
            </c:numRef>
          </c:yVal>
          <c:smooth val="1"/>
          <c:extLst>
            <c:ext xmlns:c16="http://schemas.microsoft.com/office/drawing/2014/chart" uri="{C3380CC4-5D6E-409C-BE32-E72D297353CC}">
              <c16:uniqueId val="{00000000-CDE3-3342-98C3-245478AB1AD7}"/>
            </c:ext>
          </c:extLst>
        </c:ser>
        <c:dLbls>
          <c:showLegendKey val="0"/>
          <c:showVal val="0"/>
          <c:showCatName val="0"/>
          <c:showSerName val="0"/>
          <c:showPercent val="0"/>
          <c:showBubbleSize val="0"/>
        </c:dLbls>
        <c:axId val="128834176"/>
        <c:axId val="129174912"/>
      </c:scatterChart>
      <c:valAx>
        <c:axId val="128834176"/>
        <c:scaling>
          <c:orientation val="minMax"/>
          <c:max val="2020"/>
          <c:min val="18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29174912"/>
        <c:crosses val="autoZero"/>
        <c:crossBetween val="midCat"/>
        <c:majorUnit val="60"/>
        <c:minorUnit val="10"/>
      </c:valAx>
      <c:valAx>
        <c:axId val="129174912"/>
        <c:scaling>
          <c:orientation val="minMax"/>
          <c:max val="10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240681576144838"/>
              <c:y val="0.17766550014581511"/>
            </c:manualLayout>
          </c:layout>
          <c:overlay val="0"/>
        </c:title>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28834176"/>
        <c:crosses val="max"/>
        <c:crossBetween val="midCat"/>
        <c:majorUnit val="5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7393323438405801"/>
          <c:h val="0.77264654418197765"/>
        </c:manualLayout>
      </c:layout>
      <c:scatterChart>
        <c:scatterStyle val="smoothMarker"/>
        <c:varyColors val="0"/>
        <c:ser>
          <c:idx val="0"/>
          <c:order val="0"/>
          <c:tx>
            <c:strRef>
              <c:f>'Pennsylvania anthracite'!$G$7</c:f>
              <c:strCache>
                <c:ptCount val="1"/>
                <c:pt idx="0">
                  <c:v>logit</c:v>
                </c:pt>
              </c:strCache>
            </c:strRef>
          </c:tx>
          <c:spPr>
            <a:ln w="15875">
              <a:solidFill>
                <a:srgbClr val="008000"/>
              </a:solidFill>
            </a:ln>
          </c:spPr>
          <c:marker>
            <c:symbol val="none"/>
          </c:marker>
          <c:xVal>
            <c:numRef>
              <c:f>'Pennsylvania anthracite'!$D$82:$D$293</c:f>
              <c:numCache>
                <c:formatCode>General</c:formatCode>
                <c:ptCount val="212"/>
                <c:pt idx="0">
                  <c:v>1873</c:v>
                </c:pt>
                <c:pt idx="1">
                  <c:v>1874</c:v>
                </c:pt>
                <c:pt idx="2">
                  <c:v>1875</c:v>
                </c:pt>
                <c:pt idx="3">
                  <c:v>1876</c:v>
                </c:pt>
                <c:pt idx="4">
                  <c:v>1877</c:v>
                </c:pt>
                <c:pt idx="5">
                  <c:v>1878</c:v>
                </c:pt>
                <c:pt idx="6">
                  <c:v>1879</c:v>
                </c:pt>
                <c:pt idx="7">
                  <c:v>1880</c:v>
                </c:pt>
                <c:pt idx="8">
                  <c:v>1881</c:v>
                </c:pt>
                <c:pt idx="9">
                  <c:v>1882</c:v>
                </c:pt>
                <c:pt idx="10">
                  <c:v>1883</c:v>
                </c:pt>
                <c:pt idx="11">
                  <c:v>1884</c:v>
                </c:pt>
                <c:pt idx="12">
                  <c:v>1885</c:v>
                </c:pt>
                <c:pt idx="13">
                  <c:v>1886</c:v>
                </c:pt>
                <c:pt idx="14">
                  <c:v>1887</c:v>
                </c:pt>
                <c:pt idx="15">
                  <c:v>1888</c:v>
                </c:pt>
                <c:pt idx="16">
                  <c:v>1889</c:v>
                </c:pt>
                <c:pt idx="17">
                  <c:v>1890</c:v>
                </c:pt>
                <c:pt idx="18">
                  <c:v>1891</c:v>
                </c:pt>
                <c:pt idx="19">
                  <c:v>1892</c:v>
                </c:pt>
                <c:pt idx="20">
                  <c:v>1893</c:v>
                </c:pt>
                <c:pt idx="21">
                  <c:v>1894</c:v>
                </c:pt>
                <c:pt idx="22">
                  <c:v>1895</c:v>
                </c:pt>
                <c:pt idx="23">
                  <c:v>1896</c:v>
                </c:pt>
                <c:pt idx="24">
                  <c:v>1897</c:v>
                </c:pt>
                <c:pt idx="25">
                  <c:v>1898</c:v>
                </c:pt>
                <c:pt idx="26">
                  <c:v>1899</c:v>
                </c:pt>
                <c:pt idx="27">
                  <c:v>1900</c:v>
                </c:pt>
                <c:pt idx="28">
                  <c:v>1901</c:v>
                </c:pt>
                <c:pt idx="29">
                  <c:v>1902</c:v>
                </c:pt>
                <c:pt idx="30">
                  <c:v>1903</c:v>
                </c:pt>
                <c:pt idx="31">
                  <c:v>1904</c:v>
                </c:pt>
                <c:pt idx="32">
                  <c:v>1905</c:v>
                </c:pt>
                <c:pt idx="33">
                  <c:v>1906</c:v>
                </c:pt>
                <c:pt idx="34">
                  <c:v>1907</c:v>
                </c:pt>
                <c:pt idx="35">
                  <c:v>1908</c:v>
                </c:pt>
                <c:pt idx="36">
                  <c:v>1909</c:v>
                </c:pt>
                <c:pt idx="37">
                  <c:v>1910</c:v>
                </c:pt>
                <c:pt idx="38">
                  <c:v>1911</c:v>
                </c:pt>
                <c:pt idx="39">
                  <c:v>1912</c:v>
                </c:pt>
                <c:pt idx="40">
                  <c:v>1913</c:v>
                </c:pt>
                <c:pt idx="41">
                  <c:v>1914</c:v>
                </c:pt>
                <c:pt idx="42">
                  <c:v>1915</c:v>
                </c:pt>
                <c:pt idx="43">
                  <c:v>1916</c:v>
                </c:pt>
                <c:pt idx="44">
                  <c:v>1917</c:v>
                </c:pt>
                <c:pt idx="45">
                  <c:v>1918</c:v>
                </c:pt>
                <c:pt idx="46">
                  <c:v>1919</c:v>
                </c:pt>
                <c:pt idx="47">
                  <c:v>1920</c:v>
                </c:pt>
                <c:pt idx="48">
                  <c:v>1921</c:v>
                </c:pt>
                <c:pt idx="49">
                  <c:v>1922</c:v>
                </c:pt>
                <c:pt idx="50">
                  <c:v>1923</c:v>
                </c:pt>
                <c:pt idx="51">
                  <c:v>1924</c:v>
                </c:pt>
                <c:pt idx="52">
                  <c:v>1925</c:v>
                </c:pt>
                <c:pt idx="53">
                  <c:v>1926</c:v>
                </c:pt>
                <c:pt idx="54">
                  <c:v>1927</c:v>
                </c:pt>
                <c:pt idx="55">
                  <c:v>1928</c:v>
                </c:pt>
                <c:pt idx="56">
                  <c:v>1929</c:v>
                </c:pt>
                <c:pt idx="57">
                  <c:v>1930</c:v>
                </c:pt>
                <c:pt idx="58">
                  <c:v>1931</c:v>
                </c:pt>
                <c:pt idx="59">
                  <c:v>1932</c:v>
                </c:pt>
                <c:pt idx="60">
                  <c:v>1933</c:v>
                </c:pt>
                <c:pt idx="61">
                  <c:v>1934</c:v>
                </c:pt>
                <c:pt idx="62">
                  <c:v>1935</c:v>
                </c:pt>
                <c:pt idx="63">
                  <c:v>1936</c:v>
                </c:pt>
                <c:pt idx="64">
                  <c:v>1937</c:v>
                </c:pt>
                <c:pt idx="65">
                  <c:v>1938</c:v>
                </c:pt>
                <c:pt idx="66">
                  <c:v>1939</c:v>
                </c:pt>
                <c:pt idx="67">
                  <c:v>1940</c:v>
                </c:pt>
                <c:pt idx="68">
                  <c:v>1941</c:v>
                </c:pt>
                <c:pt idx="69">
                  <c:v>1942</c:v>
                </c:pt>
                <c:pt idx="70">
                  <c:v>1943</c:v>
                </c:pt>
                <c:pt idx="71">
                  <c:v>1944</c:v>
                </c:pt>
                <c:pt idx="72">
                  <c:v>1945</c:v>
                </c:pt>
                <c:pt idx="73">
                  <c:v>1946</c:v>
                </c:pt>
                <c:pt idx="74">
                  <c:v>1947</c:v>
                </c:pt>
                <c:pt idx="75">
                  <c:v>1948</c:v>
                </c:pt>
                <c:pt idx="76">
                  <c:v>1949</c:v>
                </c:pt>
                <c:pt idx="77">
                  <c:v>1950</c:v>
                </c:pt>
                <c:pt idx="78">
                  <c:v>1951</c:v>
                </c:pt>
                <c:pt idx="79">
                  <c:v>1952</c:v>
                </c:pt>
                <c:pt idx="80">
                  <c:v>1953</c:v>
                </c:pt>
                <c:pt idx="81">
                  <c:v>1954</c:v>
                </c:pt>
                <c:pt idx="82">
                  <c:v>1955</c:v>
                </c:pt>
                <c:pt idx="83">
                  <c:v>1956</c:v>
                </c:pt>
                <c:pt idx="84">
                  <c:v>1957</c:v>
                </c:pt>
                <c:pt idx="85">
                  <c:v>1958</c:v>
                </c:pt>
                <c:pt idx="86">
                  <c:v>1959</c:v>
                </c:pt>
                <c:pt idx="87">
                  <c:v>1960</c:v>
                </c:pt>
                <c:pt idx="88">
                  <c:v>1961</c:v>
                </c:pt>
                <c:pt idx="89">
                  <c:v>1962</c:v>
                </c:pt>
                <c:pt idx="90">
                  <c:v>1963</c:v>
                </c:pt>
                <c:pt idx="91">
                  <c:v>1964</c:v>
                </c:pt>
                <c:pt idx="92">
                  <c:v>1965</c:v>
                </c:pt>
                <c:pt idx="93">
                  <c:v>1966</c:v>
                </c:pt>
                <c:pt idx="94">
                  <c:v>1967</c:v>
                </c:pt>
                <c:pt idx="95">
                  <c:v>1968</c:v>
                </c:pt>
                <c:pt idx="96">
                  <c:v>1969</c:v>
                </c:pt>
                <c:pt idx="97">
                  <c:v>1970</c:v>
                </c:pt>
                <c:pt idx="98">
                  <c:v>1971</c:v>
                </c:pt>
                <c:pt idx="99">
                  <c:v>1972</c:v>
                </c:pt>
                <c:pt idx="100">
                  <c:v>1973</c:v>
                </c:pt>
                <c:pt idx="101">
                  <c:v>1974</c:v>
                </c:pt>
                <c:pt idx="102">
                  <c:v>1975</c:v>
                </c:pt>
                <c:pt idx="103">
                  <c:v>1976</c:v>
                </c:pt>
                <c:pt idx="104">
                  <c:v>1977</c:v>
                </c:pt>
                <c:pt idx="105">
                  <c:v>1978</c:v>
                </c:pt>
                <c:pt idx="106">
                  <c:v>1979</c:v>
                </c:pt>
                <c:pt idx="107">
                  <c:v>1980</c:v>
                </c:pt>
                <c:pt idx="108">
                  <c:v>1981</c:v>
                </c:pt>
                <c:pt idx="109">
                  <c:v>1982</c:v>
                </c:pt>
                <c:pt idx="110">
                  <c:v>1983</c:v>
                </c:pt>
                <c:pt idx="111">
                  <c:v>1984</c:v>
                </c:pt>
                <c:pt idx="112">
                  <c:v>1985</c:v>
                </c:pt>
                <c:pt idx="113">
                  <c:v>1986</c:v>
                </c:pt>
                <c:pt idx="114">
                  <c:v>1987</c:v>
                </c:pt>
                <c:pt idx="115">
                  <c:v>1988</c:v>
                </c:pt>
                <c:pt idx="116">
                  <c:v>1989</c:v>
                </c:pt>
                <c:pt idx="117">
                  <c:v>1990</c:v>
                </c:pt>
                <c:pt idx="118">
                  <c:v>1991</c:v>
                </c:pt>
                <c:pt idx="119">
                  <c:v>1992</c:v>
                </c:pt>
                <c:pt idx="120">
                  <c:v>1993</c:v>
                </c:pt>
                <c:pt idx="121">
                  <c:v>1994</c:v>
                </c:pt>
                <c:pt idx="122">
                  <c:v>1995</c:v>
                </c:pt>
                <c:pt idx="123">
                  <c:v>1996</c:v>
                </c:pt>
                <c:pt idx="124">
                  <c:v>1997</c:v>
                </c:pt>
                <c:pt idx="125">
                  <c:v>1998</c:v>
                </c:pt>
                <c:pt idx="126">
                  <c:v>1999</c:v>
                </c:pt>
                <c:pt idx="127">
                  <c:v>2000</c:v>
                </c:pt>
                <c:pt idx="128">
                  <c:v>2001</c:v>
                </c:pt>
                <c:pt idx="129">
                  <c:v>2002</c:v>
                </c:pt>
                <c:pt idx="130">
                  <c:v>2003</c:v>
                </c:pt>
                <c:pt idx="131">
                  <c:v>2004</c:v>
                </c:pt>
                <c:pt idx="132">
                  <c:v>2005</c:v>
                </c:pt>
                <c:pt idx="133">
                  <c:v>2006</c:v>
                </c:pt>
                <c:pt idx="134">
                  <c:v>2007</c:v>
                </c:pt>
                <c:pt idx="135">
                  <c:v>2008</c:v>
                </c:pt>
                <c:pt idx="136">
                  <c:v>2009</c:v>
                </c:pt>
                <c:pt idx="137">
                  <c:v>2010</c:v>
                </c:pt>
                <c:pt idx="138">
                  <c:v>2011</c:v>
                </c:pt>
                <c:pt idx="139">
                  <c:v>2012</c:v>
                </c:pt>
                <c:pt idx="140">
                  <c:v>2013</c:v>
                </c:pt>
                <c:pt idx="141">
                  <c:v>2014</c:v>
                </c:pt>
                <c:pt idx="142">
                  <c:v>2015</c:v>
                </c:pt>
                <c:pt idx="143">
                  <c:v>2016</c:v>
                </c:pt>
                <c:pt idx="144">
                  <c:v>2017</c:v>
                </c:pt>
                <c:pt idx="145">
                  <c:v>2018</c:v>
                </c:pt>
                <c:pt idx="146">
                  <c:v>2019</c:v>
                </c:pt>
                <c:pt idx="147">
                  <c:v>2020</c:v>
                </c:pt>
                <c:pt idx="148">
                  <c:v>2021</c:v>
                </c:pt>
                <c:pt idx="149">
                  <c:v>2022</c:v>
                </c:pt>
                <c:pt idx="150">
                  <c:v>2023</c:v>
                </c:pt>
                <c:pt idx="151">
                  <c:v>2024</c:v>
                </c:pt>
                <c:pt idx="152">
                  <c:v>2025</c:v>
                </c:pt>
                <c:pt idx="153">
                  <c:v>2026</c:v>
                </c:pt>
                <c:pt idx="154">
                  <c:v>2027</c:v>
                </c:pt>
                <c:pt idx="155">
                  <c:v>2028</c:v>
                </c:pt>
                <c:pt idx="156">
                  <c:v>2029</c:v>
                </c:pt>
                <c:pt idx="157">
                  <c:v>2030</c:v>
                </c:pt>
                <c:pt idx="158">
                  <c:v>2031</c:v>
                </c:pt>
                <c:pt idx="159">
                  <c:v>2032</c:v>
                </c:pt>
                <c:pt idx="160">
                  <c:v>2033</c:v>
                </c:pt>
                <c:pt idx="161">
                  <c:v>2034</c:v>
                </c:pt>
                <c:pt idx="162">
                  <c:v>2035</c:v>
                </c:pt>
                <c:pt idx="163">
                  <c:v>2036</c:v>
                </c:pt>
                <c:pt idx="164">
                  <c:v>2037</c:v>
                </c:pt>
                <c:pt idx="165">
                  <c:v>2038</c:v>
                </c:pt>
                <c:pt idx="166">
                  <c:v>2039</c:v>
                </c:pt>
                <c:pt idx="167">
                  <c:v>2040</c:v>
                </c:pt>
                <c:pt idx="168">
                  <c:v>2041</c:v>
                </c:pt>
                <c:pt idx="169">
                  <c:v>2042</c:v>
                </c:pt>
                <c:pt idx="170">
                  <c:v>2043</c:v>
                </c:pt>
                <c:pt idx="171">
                  <c:v>2044</c:v>
                </c:pt>
                <c:pt idx="172">
                  <c:v>2045</c:v>
                </c:pt>
                <c:pt idx="173">
                  <c:v>2046</c:v>
                </c:pt>
                <c:pt idx="174">
                  <c:v>2047</c:v>
                </c:pt>
                <c:pt idx="175">
                  <c:v>2048</c:v>
                </c:pt>
                <c:pt idx="176">
                  <c:v>2049</c:v>
                </c:pt>
                <c:pt idx="177">
                  <c:v>2050</c:v>
                </c:pt>
                <c:pt idx="178">
                  <c:v>2051</c:v>
                </c:pt>
                <c:pt idx="179">
                  <c:v>2052</c:v>
                </c:pt>
                <c:pt idx="180">
                  <c:v>2053</c:v>
                </c:pt>
                <c:pt idx="181">
                  <c:v>2054</c:v>
                </c:pt>
                <c:pt idx="182">
                  <c:v>2055</c:v>
                </c:pt>
                <c:pt idx="183">
                  <c:v>2056</c:v>
                </c:pt>
                <c:pt idx="184">
                  <c:v>2057</c:v>
                </c:pt>
                <c:pt idx="185">
                  <c:v>2058</c:v>
                </c:pt>
                <c:pt idx="186">
                  <c:v>2059</c:v>
                </c:pt>
                <c:pt idx="187">
                  <c:v>2060</c:v>
                </c:pt>
                <c:pt idx="188">
                  <c:v>2061</c:v>
                </c:pt>
                <c:pt idx="189">
                  <c:v>2062</c:v>
                </c:pt>
                <c:pt idx="190">
                  <c:v>2063</c:v>
                </c:pt>
                <c:pt idx="191">
                  <c:v>2064</c:v>
                </c:pt>
                <c:pt idx="192">
                  <c:v>2065</c:v>
                </c:pt>
                <c:pt idx="193">
                  <c:v>2066</c:v>
                </c:pt>
                <c:pt idx="194">
                  <c:v>2067</c:v>
                </c:pt>
                <c:pt idx="195">
                  <c:v>2068</c:v>
                </c:pt>
                <c:pt idx="196">
                  <c:v>2069</c:v>
                </c:pt>
                <c:pt idx="197">
                  <c:v>2070</c:v>
                </c:pt>
                <c:pt idx="198">
                  <c:v>2071</c:v>
                </c:pt>
                <c:pt idx="199">
                  <c:v>2072</c:v>
                </c:pt>
                <c:pt idx="200">
                  <c:v>2073</c:v>
                </c:pt>
                <c:pt idx="201">
                  <c:v>2074</c:v>
                </c:pt>
                <c:pt idx="202">
                  <c:v>2075</c:v>
                </c:pt>
                <c:pt idx="203">
                  <c:v>2076</c:v>
                </c:pt>
                <c:pt idx="204">
                  <c:v>2077</c:v>
                </c:pt>
                <c:pt idx="205">
                  <c:v>2078</c:v>
                </c:pt>
                <c:pt idx="206">
                  <c:v>2079</c:v>
                </c:pt>
                <c:pt idx="207">
                  <c:v>2080</c:v>
                </c:pt>
                <c:pt idx="208">
                  <c:v>2081</c:v>
                </c:pt>
                <c:pt idx="209">
                  <c:v>2082</c:v>
                </c:pt>
                <c:pt idx="210">
                  <c:v>2083</c:v>
                </c:pt>
                <c:pt idx="211">
                  <c:v>2084</c:v>
                </c:pt>
              </c:numCache>
            </c:numRef>
          </c:xVal>
          <c:yVal>
            <c:numRef>
              <c:f>'Pennsylvania anthracite'!$G$82:$G$293</c:f>
              <c:numCache>
                <c:formatCode>0.00</c:formatCode>
                <c:ptCount val="212"/>
                <c:pt idx="0">
                  <c:v>-2.7477042960943634</c:v>
                </c:pt>
                <c:pt idx="1">
                  <c:v>-2.6731617341076377</c:v>
                </c:pt>
                <c:pt idx="2">
                  <c:v>-2.6063789492864524</c:v>
                </c:pt>
                <c:pt idx="3">
                  <c:v>-2.5441056731327136</c:v>
                </c:pt>
                <c:pt idx="4">
                  <c:v>-2.4777475291814897</c:v>
                </c:pt>
                <c:pt idx="5">
                  <c:v>-2.4244229573220011</c:v>
                </c:pt>
                <c:pt idx="6">
                  <c:v>-2.3539091121367526</c:v>
                </c:pt>
                <c:pt idx="7">
                  <c:v>-2.2906287610411642</c:v>
                </c:pt>
                <c:pt idx="8">
                  <c:v>-2.2237715762993537</c:v>
                </c:pt>
                <c:pt idx="9">
                  <c:v>-2.1541397229623964</c:v>
                </c:pt>
                <c:pt idx="10">
                  <c:v>-2.0820554853670927</c:v>
                </c:pt>
                <c:pt idx="11">
                  <c:v>-2.0160516866364748</c:v>
                </c:pt>
                <c:pt idx="12">
                  <c:v>-1.9512754385496363</c:v>
                </c:pt>
                <c:pt idx="13">
                  <c:v>-1.8884046307408049</c:v>
                </c:pt>
                <c:pt idx="14">
                  <c:v>-1.8237292969076739</c:v>
                </c:pt>
                <c:pt idx="15">
                  <c:v>-1.7554469963655361</c:v>
                </c:pt>
                <c:pt idx="16">
                  <c:v>-1.6917692054347404</c:v>
                </c:pt>
                <c:pt idx="17">
                  <c:v>-1.6295595780214829</c:v>
                </c:pt>
                <c:pt idx="18">
                  <c:v>-1.5645691368814005</c:v>
                </c:pt>
                <c:pt idx="19">
                  <c:v>-1.5000512796222576</c:v>
                </c:pt>
                <c:pt idx="20">
                  <c:v>-1.4363427753495985</c:v>
                </c:pt>
                <c:pt idx="21">
                  <c:v>-1.3773236648023004</c:v>
                </c:pt>
                <c:pt idx="22">
                  <c:v>-1.3137627579878886</c:v>
                </c:pt>
                <c:pt idx="23">
                  <c:v>-1.2562487067792283</c:v>
                </c:pt>
                <c:pt idx="24">
                  <c:v>-1.2022723420267403</c:v>
                </c:pt>
                <c:pt idx="25">
                  <c:v>-1.1490611367398991</c:v>
                </c:pt>
                <c:pt idx="26">
                  <c:v>-1.0905549395003538</c:v>
                </c:pt>
                <c:pt idx="27">
                  <c:v>-1.0365352463397202</c:v>
                </c:pt>
                <c:pt idx="28">
                  <c:v>-0.97472687318533169</c:v>
                </c:pt>
                <c:pt idx="29">
                  <c:v>-0.93766876906604191</c:v>
                </c:pt>
                <c:pt idx="30">
                  <c:v>-0.87231169715665402</c:v>
                </c:pt>
                <c:pt idx="31">
                  <c:v>-0.80988495570359098</c:v>
                </c:pt>
                <c:pt idx="32">
                  <c:v>-0.74521220764323093</c:v>
                </c:pt>
                <c:pt idx="33">
                  <c:v>-0.68713711305297043</c:v>
                </c:pt>
                <c:pt idx="34">
                  <c:v>-0.61882927796069565</c:v>
                </c:pt>
                <c:pt idx="35">
                  <c:v>-0.55370290317645154</c:v>
                </c:pt>
                <c:pt idx="36">
                  <c:v>-0.49137884809713511</c:v>
                </c:pt>
                <c:pt idx="37">
                  <c:v>-0.42740862826698967</c:v>
                </c:pt>
                <c:pt idx="38">
                  <c:v>-0.35985031918003757</c:v>
                </c:pt>
                <c:pt idx="39">
                  <c:v>-0.29757628623576243</c:v>
                </c:pt>
                <c:pt idx="40">
                  <c:v>-0.23065253343843792</c:v>
                </c:pt>
                <c:pt idx="41">
                  <c:v>-0.16474814931834869</c:v>
                </c:pt>
                <c:pt idx="42">
                  <c:v>-0.10051459273969722</c:v>
                </c:pt>
                <c:pt idx="43">
                  <c:v>-3.7505833816730644E-2</c:v>
                </c:pt>
                <c:pt idx="44">
                  <c:v>3.4076888521280067E-2</c:v>
                </c:pt>
                <c:pt idx="45">
                  <c:v>0.10518090557540458</c:v>
                </c:pt>
                <c:pt idx="46">
                  <c:v>0.16878131439275368</c:v>
                </c:pt>
                <c:pt idx="47">
                  <c:v>0.23382117006264314</c:v>
                </c:pt>
                <c:pt idx="48">
                  <c:v>0.30000036293891486</c:v>
                </c:pt>
                <c:pt idx="49">
                  <c:v>0.34030901530182561</c:v>
                </c:pt>
                <c:pt idx="50">
                  <c:v>0.40976916497318056</c:v>
                </c:pt>
                <c:pt idx="51">
                  <c:v>0.47610311278168554</c:v>
                </c:pt>
                <c:pt idx="52">
                  <c:v>0.52335429455954718</c:v>
                </c:pt>
                <c:pt idx="53">
                  <c:v>0.58884325353476741</c:v>
                </c:pt>
                <c:pt idx="54">
                  <c:v>0.65211825912494981</c:v>
                </c:pt>
                <c:pt idx="55">
                  <c:v>0.71281462804927653</c:v>
                </c:pt>
                <c:pt idx="56">
                  <c:v>0.77353417893722876</c:v>
                </c:pt>
                <c:pt idx="57">
                  <c:v>0.83186367218634838</c:v>
                </c:pt>
                <c:pt idx="58">
                  <c:v>0.8830955768382599</c:v>
                </c:pt>
                <c:pt idx="59">
                  <c:v>0.92676752833323839</c:v>
                </c:pt>
                <c:pt idx="60">
                  <c:v>0.9709980283980566</c:v>
                </c:pt>
                <c:pt idx="61">
                  <c:v>1.0231606651298402</c:v>
                </c:pt>
                <c:pt idx="62">
                  <c:v>1.0718961237282585</c:v>
                </c:pt>
                <c:pt idx="63">
                  <c:v>1.1241718303788977</c:v>
                </c:pt>
                <c:pt idx="64">
                  <c:v>1.1751628274479085</c:v>
                </c:pt>
                <c:pt idx="65">
                  <c:v>1.22167365099152</c:v>
                </c:pt>
                <c:pt idx="66">
                  <c:v>1.2750551404876336</c:v>
                </c:pt>
                <c:pt idx="67">
                  <c:v>1.3300887478114056</c:v>
                </c:pt>
                <c:pt idx="68">
                  <c:v>1.3924370675498161</c:v>
                </c:pt>
                <c:pt idx="69">
                  <c:v>1.4618665150964445</c:v>
                </c:pt>
                <c:pt idx="70">
                  <c:v>1.5348285992340138</c:v>
                </c:pt>
                <c:pt idx="71">
                  <c:v>1.6153633456713423</c:v>
                </c:pt>
                <c:pt idx="72">
                  <c:v>1.6884691529816969</c:v>
                </c:pt>
                <c:pt idx="73">
                  <c:v>1.7734958715563542</c:v>
                </c:pt>
                <c:pt idx="74">
                  <c:v>1.8588701427893781</c:v>
                </c:pt>
                <c:pt idx="75">
                  <c:v>1.9498430612798809</c:v>
                </c:pt>
                <c:pt idx="76">
                  <c:v>2.0221224583191169</c:v>
                </c:pt>
                <c:pt idx="77">
                  <c:v>2.1011825662059378</c:v>
                </c:pt>
                <c:pt idx="78">
                  <c:v>2.182677085708272</c:v>
                </c:pt>
                <c:pt idx="79">
                  <c:v>2.265429980727621</c:v>
                </c:pt>
                <c:pt idx="80">
                  <c:v>2.332494838602158</c:v>
                </c:pt>
                <c:pt idx="81">
                  <c:v>2.399079068319752</c:v>
                </c:pt>
                <c:pt idx="82">
                  <c:v>2.4624118883548674</c:v>
                </c:pt>
                <c:pt idx="83">
                  <c:v>2.5364192311515716</c:v>
                </c:pt>
                <c:pt idx="84">
                  <c:v>2.6053861676816816</c:v>
                </c:pt>
                <c:pt idx="85">
                  <c:v>2.6663315668243062</c:v>
                </c:pt>
                <c:pt idx="86">
                  <c:v>2.7290594113886608</c:v>
                </c:pt>
                <c:pt idx="87">
                  <c:v>2.789392978117772</c:v>
                </c:pt>
                <c:pt idx="88">
                  <c:v>2.8483601009644177</c:v>
                </c:pt>
                <c:pt idx="89">
                  <c:v>2.9085729362248127</c:v>
                </c:pt>
                <c:pt idx="90">
                  <c:v>2.9775597862831966</c:v>
                </c:pt>
                <c:pt idx="91">
                  <c:v>3.0466306972926578</c:v>
                </c:pt>
                <c:pt idx="92">
                  <c:v>3.110096339858007</c:v>
                </c:pt>
                <c:pt idx="93">
                  <c:v>3.1685111577385419</c:v>
                </c:pt>
                <c:pt idx="94">
                  <c:v>3.2268846578451886</c:v>
                </c:pt>
                <c:pt idx="95">
                  <c:v>3.2844748461528099</c:v>
                </c:pt>
                <c:pt idx="96">
                  <c:v>3.3399341479598994</c:v>
                </c:pt>
                <c:pt idx="97">
                  <c:v>3.3941540177541865</c:v>
                </c:pt>
                <c:pt idx="98">
                  <c:v>3.4452445903184343</c:v>
                </c:pt>
                <c:pt idx="99">
                  <c:v>3.4887333327946664</c:v>
                </c:pt>
                <c:pt idx="100">
                  <c:v>3.5322796304764781</c:v>
                </c:pt>
                <c:pt idx="101">
                  <c:v>3.5762453559268974</c:v>
                </c:pt>
                <c:pt idx="102">
                  <c:v>3.6191891579226203</c:v>
                </c:pt>
                <c:pt idx="103">
                  <c:v>3.6641396378757145</c:v>
                </c:pt>
                <c:pt idx="104">
                  <c:v>3.708269752986697</c:v>
                </c:pt>
                <c:pt idx="105">
                  <c:v>3.7477358257161617</c:v>
                </c:pt>
                <c:pt idx="106">
                  <c:v>3.7870701403274314</c:v>
                </c:pt>
                <c:pt idx="107">
                  <c:v>3.838520194261728</c:v>
                </c:pt>
                <c:pt idx="108">
                  <c:v>3.886847972802788</c:v>
                </c:pt>
                <c:pt idx="109">
                  <c:v>3.9295706755715094</c:v>
                </c:pt>
                <c:pt idx="110">
                  <c:v>3.9691756092635995</c:v>
                </c:pt>
                <c:pt idx="111">
                  <c:v>4.0110984678176766</c:v>
                </c:pt>
                <c:pt idx="112">
                  <c:v>4.0606659937613712</c:v>
                </c:pt>
                <c:pt idx="113">
                  <c:v>4.1080155410607926</c:v>
                </c:pt>
                <c:pt idx="114">
                  <c:v>4.1490112534209924</c:v>
                </c:pt>
                <c:pt idx="115">
                  <c:v>4.191630176170662</c:v>
                </c:pt>
                <c:pt idx="116">
                  <c:v>4.2334515532264998</c:v>
                </c:pt>
                <c:pt idx="117">
                  <c:v>4.279151134526642</c:v>
                </c:pt>
                <c:pt idx="118">
                  <c:v>4.3261232892643688</c:v>
                </c:pt>
                <c:pt idx="119">
                  <c:v>4.3759008621251292</c:v>
                </c:pt>
                <c:pt idx="120">
                  <c:v>4.4412374661214153</c:v>
                </c:pt>
                <c:pt idx="121">
                  <c:v>4.5164543542277364</c:v>
                </c:pt>
                <c:pt idx="122">
                  <c:v>4.5988410169381151</c:v>
                </c:pt>
                <c:pt idx="123">
                  <c:v>4.6895898468189436</c:v>
                </c:pt>
                <c:pt idx="124">
                  <c:v>4.7875575280109786</c:v>
                </c:pt>
                <c:pt idx="125">
                  <c:v>4.9097249898154445</c:v>
                </c:pt>
                <c:pt idx="126">
                  <c:v>5.0350101240604728</c:v>
                </c:pt>
                <c:pt idx="127">
                  <c:v>5.1717258487477302</c:v>
                </c:pt>
                <c:pt idx="128">
                  <c:v>5.2358255324472545</c:v>
                </c:pt>
                <c:pt idx="129">
                  <c:v>5.2835692855628258</c:v>
                </c:pt>
                <c:pt idx="130">
                  <c:v>5.3308729736376552</c:v>
                </c:pt>
                <c:pt idx="131">
                  <c:v>5.3969039576418147</c:v>
                </c:pt>
                <c:pt idx="132">
                  <c:v>5.4674833434393637</c:v>
                </c:pt>
                <c:pt idx="133">
                  <c:v>5.5357240025993857</c:v>
                </c:pt>
                <c:pt idx="134">
                  <c:v>5.610442129131104</c:v>
                </c:pt>
                <c:pt idx="135">
                  <c:v>5.6982602214289342</c:v>
                </c:pt>
                <c:pt idx="136">
                  <c:v>5.7964192641985006</c:v>
                </c:pt>
              </c:numCache>
            </c:numRef>
          </c:yVal>
          <c:smooth val="1"/>
          <c:extLst>
            <c:ext xmlns:c16="http://schemas.microsoft.com/office/drawing/2014/chart" uri="{C3380CC4-5D6E-409C-BE32-E72D297353CC}">
              <c16:uniqueId val="{00000000-877C-5A4A-B2A9-3A4CC40420E1}"/>
            </c:ext>
          </c:extLst>
        </c:ser>
        <c:ser>
          <c:idx val="1"/>
          <c:order val="1"/>
          <c:tx>
            <c:strRef>
              <c:f>'Pennsylvania anthracite'!$G$3</c:f>
              <c:strCache>
                <c:ptCount val="1"/>
                <c:pt idx="0">
                  <c:v>trend</c:v>
                </c:pt>
              </c:strCache>
            </c:strRef>
          </c:tx>
          <c:spPr>
            <a:ln w="15875">
              <a:solidFill>
                <a:srgbClr val="808080"/>
              </a:solidFill>
              <a:prstDash val="dash"/>
            </a:ln>
          </c:spPr>
          <c:marker>
            <c:symbol val="none"/>
          </c:marker>
          <c:xVal>
            <c:numRef>
              <c:f>'Pennsylvania anthracite'!$E$3:$E$4</c:f>
              <c:numCache>
                <c:formatCode>General</c:formatCode>
                <c:ptCount val="2"/>
                <c:pt idx="0">
                  <c:v>1873</c:v>
                </c:pt>
                <c:pt idx="1">
                  <c:v>2009</c:v>
                </c:pt>
              </c:numCache>
            </c:numRef>
          </c:xVal>
          <c:yVal>
            <c:numRef>
              <c:f>'Pennsylvania anthracite'!$F$3:$F$4</c:f>
              <c:numCache>
                <c:formatCode>0.00</c:formatCode>
                <c:ptCount val="2"/>
                <c:pt idx="0">
                  <c:v>-2.6817349686234966</c:v>
                </c:pt>
                <c:pt idx="1">
                  <c:v>5.6552911504469927</c:v>
                </c:pt>
              </c:numCache>
            </c:numRef>
          </c:yVal>
          <c:smooth val="1"/>
          <c:extLst>
            <c:ext xmlns:c16="http://schemas.microsoft.com/office/drawing/2014/chart" uri="{C3380CC4-5D6E-409C-BE32-E72D297353CC}">
              <c16:uniqueId val="{00000001-877C-5A4A-B2A9-3A4CC40420E1}"/>
            </c:ext>
          </c:extLst>
        </c:ser>
        <c:ser>
          <c:idx val="2"/>
          <c:order val="2"/>
          <c:tx>
            <c:v>logit early</c:v>
          </c:tx>
          <c:spPr>
            <a:ln w="15875">
              <a:solidFill>
                <a:srgbClr val="008000"/>
              </a:solidFill>
              <a:prstDash val="lgDash"/>
            </a:ln>
          </c:spPr>
          <c:marker>
            <c:symbol val="none"/>
          </c:marker>
          <c:xVal>
            <c:numRef>
              <c:f>'Pennsylvania anthracite'!$D$9:$D$81</c:f>
              <c:numCache>
                <c:formatCode>General</c:formatCode>
                <c:ptCount val="73"/>
                <c:pt idx="0">
                  <c:v>1800</c:v>
                </c:pt>
                <c:pt idx="1">
                  <c:v>1801</c:v>
                </c:pt>
                <c:pt idx="2">
                  <c:v>1802</c:v>
                </c:pt>
                <c:pt idx="3">
                  <c:v>1803</c:v>
                </c:pt>
                <c:pt idx="4">
                  <c:v>1804</c:v>
                </c:pt>
                <c:pt idx="5">
                  <c:v>1805</c:v>
                </c:pt>
                <c:pt idx="6">
                  <c:v>1806</c:v>
                </c:pt>
                <c:pt idx="7">
                  <c:v>1807</c:v>
                </c:pt>
                <c:pt idx="8">
                  <c:v>1808</c:v>
                </c:pt>
                <c:pt idx="9">
                  <c:v>1809</c:v>
                </c:pt>
                <c:pt idx="10">
                  <c:v>1810</c:v>
                </c:pt>
                <c:pt idx="11">
                  <c:v>1811</c:v>
                </c:pt>
                <c:pt idx="12">
                  <c:v>1812</c:v>
                </c:pt>
                <c:pt idx="13">
                  <c:v>1813</c:v>
                </c:pt>
                <c:pt idx="14">
                  <c:v>1814</c:v>
                </c:pt>
                <c:pt idx="15">
                  <c:v>1815</c:v>
                </c:pt>
                <c:pt idx="16">
                  <c:v>1816</c:v>
                </c:pt>
                <c:pt idx="17">
                  <c:v>1817</c:v>
                </c:pt>
                <c:pt idx="18">
                  <c:v>1818</c:v>
                </c:pt>
                <c:pt idx="19">
                  <c:v>1819</c:v>
                </c:pt>
                <c:pt idx="20">
                  <c:v>1820</c:v>
                </c:pt>
                <c:pt idx="21">
                  <c:v>1821</c:v>
                </c:pt>
                <c:pt idx="22">
                  <c:v>1822</c:v>
                </c:pt>
                <c:pt idx="23">
                  <c:v>1823</c:v>
                </c:pt>
                <c:pt idx="24">
                  <c:v>1824</c:v>
                </c:pt>
                <c:pt idx="25">
                  <c:v>1825</c:v>
                </c:pt>
                <c:pt idx="26">
                  <c:v>1826</c:v>
                </c:pt>
                <c:pt idx="27">
                  <c:v>1827</c:v>
                </c:pt>
                <c:pt idx="28">
                  <c:v>1828</c:v>
                </c:pt>
                <c:pt idx="29">
                  <c:v>1829</c:v>
                </c:pt>
                <c:pt idx="30">
                  <c:v>1830</c:v>
                </c:pt>
                <c:pt idx="31">
                  <c:v>1831</c:v>
                </c:pt>
                <c:pt idx="32">
                  <c:v>1832</c:v>
                </c:pt>
                <c:pt idx="33">
                  <c:v>1833</c:v>
                </c:pt>
                <c:pt idx="34">
                  <c:v>1834</c:v>
                </c:pt>
                <c:pt idx="35">
                  <c:v>1835</c:v>
                </c:pt>
                <c:pt idx="36">
                  <c:v>1836</c:v>
                </c:pt>
                <c:pt idx="37">
                  <c:v>1837</c:v>
                </c:pt>
                <c:pt idx="38">
                  <c:v>1838</c:v>
                </c:pt>
                <c:pt idx="39">
                  <c:v>1839</c:v>
                </c:pt>
                <c:pt idx="40">
                  <c:v>1840</c:v>
                </c:pt>
                <c:pt idx="41">
                  <c:v>1841</c:v>
                </c:pt>
                <c:pt idx="42">
                  <c:v>1842</c:v>
                </c:pt>
                <c:pt idx="43">
                  <c:v>1843</c:v>
                </c:pt>
                <c:pt idx="44">
                  <c:v>1844</c:v>
                </c:pt>
                <c:pt idx="45">
                  <c:v>1845</c:v>
                </c:pt>
                <c:pt idx="46">
                  <c:v>1846</c:v>
                </c:pt>
                <c:pt idx="47">
                  <c:v>1847</c:v>
                </c:pt>
                <c:pt idx="48">
                  <c:v>1848</c:v>
                </c:pt>
                <c:pt idx="49">
                  <c:v>1849</c:v>
                </c:pt>
                <c:pt idx="50">
                  <c:v>1850</c:v>
                </c:pt>
                <c:pt idx="51">
                  <c:v>1851</c:v>
                </c:pt>
                <c:pt idx="52">
                  <c:v>1852</c:v>
                </c:pt>
                <c:pt idx="53">
                  <c:v>1853</c:v>
                </c:pt>
                <c:pt idx="54">
                  <c:v>1854</c:v>
                </c:pt>
                <c:pt idx="55">
                  <c:v>1855</c:v>
                </c:pt>
                <c:pt idx="56">
                  <c:v>1856</c:v>
                </c:pt>
                <c:pt idx="57">
                  <c:v>1857</c:v>
                </c:pt>
                <c:pt idx="58">
                  <c:v>1858</c:v>
                </c:pt>
                <c:pt idx="59">
                  <c:v>1859</c:v>
                </c:pt>
                <c:pt idx="60">
                  <c:v>1860</c:v>
                </c:pt>
                <c:pt idx="61">
                  <c:v>1861</c:v>
                </c:pt>
                <c:pt idx="62">
                  <c:v>1862</c:v>
                </c:pt>
                <c:pt idx="63">
                  <c:v>1863</c:v>
                </c:pt>
                <c:pt idx="64">
                  <c:v>1864</c:v>
                </c:pt>
                <c:pt idx="65">
                  <c:v>1865</c:v>
                </c:pt>
                <c:pt idx="66">
                  <c:v>1866</c:v>
                </c:pt>
                <c:pt idx="67">
                  <c:v>1867</c:v>
                </c:pt>
                <c:pt idx="68">
                  <c:v>1868</c:v>
                </c:pt>
                <c:pt idx="69">
                  <c:v>1869</c:v>
                </c:pt>
                <c:pt idx="70">
                  <c:v>1870</c:v>
                </c:pt>
                <c:pt idx="71">
                  <c:v>1871</c:v>
                </c:pt>
                <c:pt idx="72">
                  <c:v>1872</c:v>
                </c:pt>
              </c:numCache>
            </c:numRef>
          </c:xVal>
          <c:yVal>
            <c:numRef>
              <c:f>'Pennsylvania anthracite'!$G$9:$G$81</c:f>
              <c:numCache>
                <c:formatCode>0.00</c:formatCode>
                <c:ptCount val="73"/>
                <c:pt idx="0">
                  <c:v>-16.918633718910716</c:v>
                </c:pt>
                <c:pt idx="1">
                  <c:v>-16.225486493442041</c:v>
                </c:pt>
                <c:pt idx="2">
                  <c:v>-15.82002134042515</c:v>
                </c:pt>
                <c:pt idx="3">
                  <c:v>-15.483549049913458</c:v>
                </c:pt>
                <c:pt idx="4">
                  <c:v>-15.19586691458945</c:v>
                </c:pt>
                <c:pt idx="5">
                  <c:v>-14.944552414454567</c:v>
                </c:pt>
                <c:pt idx="6">
                  <c:v>-14.74388164713843</c:v>
                </c:pt>
                <c:pt idx="7">
                  <c:v>-14.557779286668831</c:v>
                </c:pt>
                <c:pt idx="8">
                  <c:v>-14.251404910551651</c:v>
                </c:pt>
                <c:pt idx="9">
                  <c:v>-13.912950252255646</c:v>
                </c:pt>
                <c:pt idx="10">
                  <c:v>-13.551336631479124</c:v>
                </c:pt>
                <c:pt idx="11">
                  <c:v>-13.286322963642693</c:v>
                </c:pt>
                <c:pt idx="12">
                  <c:v>-13.068484051397128</c:v>
                </c:pt>
                <c:pt idx="13">
                  <c:v>-12.889714483046324</c:v>
                </c:pt>
                <c:pt idx="14">
                  <c:v>-12.732010970489767</c:v>
                </c:pt>
                <c:pt idx="15">
                  <c:v>-12.595823102682012</c:v>
                </c:pt>
                <c:pt idx="16">
                  <c:v>-12.475978690080302</c:v>
                </c:pt>
                <c:pt idx="17">
                  <c:v>-12.368972039387298</c:v>
                </c:pt>
                <c:pt idx="18">
                  <c:v>-12.260866394321472</c:v>
                </c:pt>
                <c:pt idx="19">
                  <c:v>-12.146250350622184</c:v>
                </c:pt>
                <c:pt idx="20">
                  <c:v>-12.017360968333296</c:v>
                </c:pt>
                <c:pt idx="21">
                  <c:v>-11.913848892216608</c:v>
                </c:pt>
                <c:pt idx="22">
                  <c:v>-11.775466559876516</c:v>
                </c:pt>
                <c:pt idx="23">
                  <c:v>-11.563548557128925</c:v>
                </c:pt>
                <c:pt idx="24">
                  <c:v>-11.309911912977666</c:v>
                </c:pt>
                <c:pt idx="25">
                  <c:v>-10.819937419122624</c:v>
                </c:pt>
                <c:pt idx="26">
                  <c:v>-10.380694490119593</c:v>
                </c:pt>
                <c:pt idx="27">
                  <c:v>-10.001211576963831</c:v>
                </c:pt>
                <c:pt idx="28">
                  <c:v>-9.6591413912359076</c:v>
                </c:pt>
                <c:pt idx="29">
                  <c:v>-9.3085857851901732</c:v>
                </c:pt>
                <c:pt idx="30">
                  <c:v>-8.9264513917597519</c:v>
                </c:pt>
                <c:pt idx="31">
                  <c:v>-8.6271126209168525</c:v>
                </c:pt>
                <c:pt idx="32">
                  <c:v>-8.2193517883024718</c:v>
                </c:pt>
                <c:pt idx="33">
                  <c:v>-7.8529204506489068</c:v>
                </c:pt>
                <c:pt idx="34">
                  <c:v>-7.640451861969205</c:v>
                </c:pt>
                <c:pt idx="35">
                  <c:v>-7.3901996374335841</c:v>
                </c:pt>
                <c:pt idx="36">
                  <c:v>-7.1515675284655336</c:v>
                </c:pt>
                <c:pt idx="37">
                  <c:v>-6.9146868098399707</c:v>
                </c:pt>
                <c:pt idx="38">
                  <c:v>-6.7515082895391441</c:v>
                </c:pt>
                <c:pt idx="39">
                  <c:v>-6.5986319456356544</c:v>
                </c:pt>
                <c:pt idx="40">
                  <c:v>-6.45944174289055</c:v>
                </c:pt>
                <c:pt idx="41">
                  <c:v>-6.323767390403594</c:v>
                </c:pt>
                <c:pt idx="42">
                  <c:v>-6.1884418938621781</c:v>
                </c:pt>
                <c:pt idx="43">
                  <c:v>-6.0525394651235507</c:v>
                </c:pt>
                <c:pt idx="44">
                  <c:v>-5.9012474304775386</c:v>
                </c:pt>
                <c:pt idx="45">
                  <c:v>-5.7413235251582631</c:v>
                </c:pt>
                <c:pt idx="46">
                  <c:v>-5.5836002369106801</c:v>
                </c:pt>
                <c:pt idx="47">
                  <c:v>-5.4184763439546675</c:v>
                </c:pt>
                <c:pt idx="48">
                  <c:v>-5.2668954967521842</c:v>
                </c:pt>
                <c:pt idx="49">
                  <c:v>-5.1298705296022211</c:v>
                </c:pt>
                <c:pt idx="50">
                  <c:v>-5.004984899887984</c:v>
                </c:pt>
                <c:pt idx="51">
                  <c:v>-4.8582669978796984</c:v>
                </c:pt>
                <c:pt idx="52">
                  <c:v>-4.7177689948957537</c:v>
                </c:pt>
                <c:pt idx="53">
                  <c:v>-4.5899805774503619</c:v>
                </c:pt>
                <c:pt idx="54">
                  <c:v>-4.4601531079511387</c:v>
                </c:pt>
                <c:pt idx="55">
                  <c:v>-4.3317072862056891</c:v>
                </c:pt>
                <c:pt idx="56">
                  <c:v>-4.2131377148861722</c:v>
                </c:pt>
                <c:pt idx="57">
                  <c:v>-4.1106774203781322</c:v>
                </c:pt>
                <c:pt idx="58">
                  <c:v>-4.0155063637252475</c:v>
                </c:pt>
                <c:pt idx="59">
                  <c:v>-3.9162244169030305</c:v>
                </c:pt>
                <c:pt idx="60">
                  <c:v>-3.8179514388358671</c:v>
                </c:pt>
                <c:pt idx="61">
                  <c:v>-3.7339378129558534</c:v>
                </c:pt>
                <c:pt idx="62">
                  <c:v>-3.6565869751854083</c:v>
                </c:pt>
                <c:pt idx="63">
                  <c:v>-3.5703970712225361</c:v>
                </c:pt>
                <c:pt idx="64">
                  <c:v>-3.4857105000112751</c:v>
                </c:pt>
                <c:pt idx="65">
                  <c:v>-3.4130206428759737</c:v>
                </c:pt>
                <c:pt idx="66">
                  <c:v>-3.3249125930885337</c:v>
                </c:pt>
                <c:pt idx="67">
                  <c:v>-3.2420786640038521</c:v>
                </c:pt>
                <c:pt idx="68">
                  <c:v>-3.15758363195578</c:v>
                </c:pt>
                <c:pt idx="69">
                  <c:v>-3.0764748985297445</c:v>
                </c:pt>
                <c:pt idx="70">
                  <c:v>-2.9945365494262686</c:v>
                </c:pt>
                <c:pt idx="71">
                  <c:v>-2.9200787748294639</c:v>
                </c:pt>
                <c:pt idx="72">
                  <c:v>-2.8321191150841631</c:v>
                </c:pt>
              </c:numCache>
            </c:numRef>
          </c:yVal>
          <c:smooth val="1"/>
          <c:extLst>
            <c:ext xmlns:c16="http://schemas.microsoft.com/office/drawing/2014/chart" uri="{C3380CC4-5D6E-409C-BE32-E72D297353CC}">
              <c16:uniqueId val="{00000002-877C-5A4A-B2A9-3A4CC40420E1}"/>
            </c:ext>
          </c:extLst>
        </c:ser>
        <c:dLbls>
          <c:showLegendKey val="0"/>
          <c:showVal val="0"/>
          <c:showCatName val="0"/>
          <c:showSerName val="0"/>
          <c:showPercent val="0"/>
          <c:showBubbleSize val="0"/>
        </c:dLbls>
        <c:axId val="130480000"/>
        <c:axId val="130512384"/>
      </c:scatterChart>
      <c:valAx>
        <c:axId val="130480000"/>
        <c:scaling>
          <c:orientation val="minMax"/>
          <c:max val="2020"/>
          <c:min val="18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0512384"/>
        <c:crossesAt val="-100"/>
        <c:crossBetween val="midCat"/>
        <c:majorUnit val="60"/>
        <c:minorUnit val="10"/>
      </c:valAx>
      <c:valAx>
        <c:axId val="130512384"/>
        <c:scaling>
          <c:orientation val="minMax"/>
          <c:max val="6"/>
          <c:min val="-6"/>
        </c:scaling>
        <c:delete val="0"/>
        <c:axPos val="r"/>
        <c:title>
          <c:tx>
            <c:rich>
              <a:bodyPr rot="-5400000" vert="horz"/>
              <a:lstStyle/>
              <a:p>
                <a:pPr>
                  <a:defRPr sz="1200" b="0">
                    <a:solidFill>
                      <a:srgbClr val="333399"/>
                    </a:solidFill>
                  </a:defRPr>
                </a:pPr>
                <a:r>
                  <a:rPr lang="en-US" sz="1200" b="0">
                    <a:solidFill>
                      <a:srgbClr val="333399"/>
                    </a:solidFill>
                  </a:rPr>
                  <a:t>logit (q/Q)</a:t>
                </a:r>
              </a:p>
            </c:rich>
          </c:tx>
          <c:layout>
            <c:manualLayout>
              <c:xMode val="edge"/>
              <c:yMode val="edge"/>
              <c:x val="0.96240681576144838"/>
              <c:y val="0.3026655001458238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0480000"/>
        <c:crosses val="max"/>
        <c:crossBetween val="midCat"/>
        <c:majorUnit val="6"/>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7393323438405801"/>
          <c:h val="0.77264654418197765"/>
        </c:manualLayout>
      </c:layout>
      <c:scatterChart>
        <c:scatterStyle val="smoothMarker"/>
        <c:varyColors val="0"/>
        <c:ser>
          <c:idx val="0"/>
          <c:order val="0"/>
          <c:tx>
            <c:strRef>
              <c:f>'Pennsylvania anthracite'!$I$7</c:f>
              <c:strCache>
                <c:ptCount val="1"/>
                <c:pt idx="0">
                  <c:v>r y</c:v>
                </c:pt>
              </c:strCache>
            </c:strRef>
          </c:tx>
          <c:spPr>
            <a:ln w="15875">
              <a:solidFill>
                <a:srgbClr val="008000"/>
              </a:solidFill>
            </a:ln>
          </c:spPr>
          <c:marker>
            <c:symbol val="none"/>
          </c:marker>
          <c:xVal>
            <c:numRef>
              <c:f>'Pennsylvania anthracite'!$D$82:$D$293</c:f>
              <c:numCache>
                <c:formatCode>General</c:formatCode>
                <c:ptCount val="212"/>
                <c:pt idx="0">
                  <c:v>1873</c:v>
                </c:pt>
                <c:pt idx="1">
                  <c:v>1874</c:v>
                </c:pt>
                <c:pt idx="2">
                  <c:v>1875</c:v>
                </c:pt>
                <c:pt idx="3">
                  <c:v>1876</c:v>
                </c:pt>
                <c:pt idx="4">
                  <c:v>1877</c:v>
                </c:pt>
                <c:pt idx="5">
                  <c:v>1878</c:v>
                </c:pt>
                <c:pt idx="6">
                  <c:v>1879</c:v>
                </c:pt>
                <c:pt idx="7">
                  <c:v>1880</c:v>
                </c:pt>
                <c:pt idx="8">
                  <c:v>1881</c:v>
                </c:pt>
                <c:pt idx="9">
                  <c:v>1882</c:v>
                </c:pt>
                <c:pt idx="10">
                  <c:v>1883</c:v>
                </c:pt>
                <c:pt idx="11">
                  <c:v>1884</c:v>
                </c:pt>
                <c:pt idx="12">
                  <c:v>1885</c:v>
                </c:pt>
                <c:pt idx="13">
                  <c:v>1886</c:v>
                </c:pt>
                <c:pt idx="14">
                  <c:v>1887</c:v>
                </c:pt>
                <c:pt idx="15">
                  <c:v>1888</c:v>
                </c:pt>
                <c:pt idx="16">
                  <c:v>1889</c:v>
                </c:pt>
                <c:pt idx="17">
                  <c:v>1890</c:v>
                </c:pt>
                <c:pt idx="18">
                  <c:v>1891</c:v>
                </c:pt>
                <c:pt idx="19">
                  <c:v>1892</c:v>
                </c:pt>
                <c:pt idx="20">
                  <c:v>1893</c:v>
                </c:pt>
                <c:pt idx="21">
                  <c:v>1894</c:v>
                </c:pt>
                <c:pt idx="22">
                  <c:v>1895</c:v>
                </c:pt>
                <c:pt idx="23">
                  <c:v>1896</c:v>
                </c:pt>
                <c:pt idx="24">
                  <c:v>1897</c:v>
                </c:pt>
                <c:pt idx="25">
                  <c:v>1898</c:v>
                </c:pt>
                <c:pt idx="26">
                  <c:v>1899</c:v>
                </c:pt>
                <c:pt idx="27">
                  <c:v>1900</c:v>
                </c:pt>
                <c:pt idx="28">
                  <c:v>1901</c:v>
                </c:pt>
                <c:pt idx="29">
                  <c:v>1902</c:v>
                </c:pt>
                <c:pt idx="30">
                  <c:v>1903</c:v>
                </c:pt>
                <c:pt idx="31">
                  <c:v>1904</c:v>
                </c:pt>
                <c:pt idx="32">
                  <c:v>1905</c:v>
                </c:pt>
                <c:pt idx="33">
                  <c:v>1906</c:v>
                </c:pt>
                <c:pt idx="34">
                  <c:v>1907</c:v>
                </c:pt>
                <c:pt idx="35">
                  <c:v>1908</c:v>
                </c:pt>
                <c:pt idx="36">
                  <c:v>1909</c:v>
                </c:pt>
                <c:pt idx="37">
                  <c:v>1910</c:v>
                </c:pt>
                <c:pt idx="38">
                  <c:v>1911</c:v>
                </c:pt>
                <c:pt idx="39">
                  <c:v>1912</c:v>
                </c:pt>
                <c:pt idx="40">
                  <c:v>1913</c:v>
                </c:pt>
                <c:pt idx="41">
                  <c:v>1914</c:v>
                </c:pt>
                <c:pt idx="42">
                  <c:v>1915</c:v>
                </c:pt>
                <c:pt idx="43">
                  <c:v>1916</c:v>
                </c:pt>
                <c:pt idx="44">
                  <c:v>1917</c:v>
                </c:pt>
                <c:pt idx="45">
                  <c:v>1918</c:v>
                </c:pt>
                <c:pt idx="46">
                  <c:v>1919</c:v>
                </c:pt>
                <c:pt idx="47">
                  <c:v>1920</c:v>
                </c:pt>
                <c:pt idx="48">
                  <c:v>1921</c:v>
                </c:pt>
                <c:pt idx="49">
                  <c:v>1922</c:v>
                </c:pt>
                <c:pt idx="50">
                  <c:v>1923</c:v>
                </c:pt>
                <c:pt idx="51">
                  <c:v>1924</c:v>
                </c:pt>
                <c:pt idx="52">
                  <c:v>1925</c:v>
                </c:pt>
                <c:pt idx="53">
                  <c:v>1926</c:v>
                </c:pt>
                <c:pt idx="54">
                  <c:v>1927</c:v>
                </c:pt>
                <c:pt idx="55">
                  <c:v>1928</c:v>
                </c:pt>
                <c:pt idx="56">
                  <c:v>1929</c:v>
                </c:pt>
                <c:pt idx="57">
                  <c:v>1930</c:v>
                </c:pt>
                <c:pt idx="58">
                  <c:v>1931</c:v>
                </c:pt>
                <c:pt idx="59">
                  <c:v>1932</c:v>
                </c:pt>
                <c:pt idx="60">
                  <c:v>1933</c:v>
                </c:pt>
                <c:pt idx="61">
                  <c:v>1934</c:v>
                </c:pt>
                <c:pt idx="62">
                  <c:v>1935</c:v>
                </c:pt>
                <c:pt idx="63">
                  <c:v>1936</c:v>
                </c:pt>
                <c:pt idx="64">
                  <c:v>1937</c:v>
                </c:pt>
                <c:pt idx="65">
                  <c:v>1938</c:v>
                </c:pt>
                <c:pt idx="66">
                  <c:v>1939</c:v>
                </c:pt>
                <c:pt idx="67">
                  <c:v>1940</c:v>
                </c:pt>
                <c:pt idx="68">
                  <c:v>1941</c:v>
                </c:pt>
                <c:pt idx="69">
                  <c:v>1942</c:v>
                </c:pt>
                <c:pt idx="70">
                  <c:v>1943</c:v>
                </c:pt>
                <c:pt idx="71">
                  <c:v>1944</c:v>
                </c:pt>
                <c:pt idx="72">
                  <c:v>1945</c:v>
                </c:pt>
                <c:pt idx="73">
                  <c:v>1946</c:v>
                </c:pt>
                <c:pt idx="74">
                  <c:v>1947</c:v>
                </c:pt>
                <c:pt idx="75">
                  <c:v>1948</c:v>
                </c:pt>
                <c:pt idx="76">
                  <c:v>1949</c:v>
                </c:pt>
                <c:pt idx="77">
                  <c:v>1950</c:v>
                </c:pt>
                <c:pt idx="78">
                  <c:v>1951</c:v>
                </c:pt>
                <c:pt idx="79">
                  <c:v>1952</c:v>
                </c:pt>
                <c:pt idx="80">
                  <c:v>1953</c:v>
                </c:pt>
                <c:pt idx="81">
                  <c:v>1954</c:v>
                </c:pt>
                <c:pt idx="82">
                  <c:v>1955</c:v>
                </c:pt>
                <c:pt idx="83">
                  <c:v>1956</c:v>
                </c:pt>
                <c:pt idx="84">
                  <c:v>1957</c:v>
                </c:pt>
                <c:pt idx="85">
                  <c:v>1958</c:v>
                </c:pt>
                <c:pt idx="86">
                  <c:v>1959</c:v>
                </c:pt>
                <c:pt idx="87">
                  <c:v>1960</c:v>
                </c:pt>
                <c:pt idx="88">
                  <c:v>1961</c:v>
                </c:pt>
                <c:pt idx="89">
                  <c:v>1962</c:v>
                </c:pt>
                <c:pt idx="90">
                  <c:v>1963</c:v>
                </c:pt>
                <c:pt idx="91">
                  <c:v>1964</c:v>
                </c:pt>
                <c:pt idx="92">
                  <c:v>1965</c:v>
                </c:pt>
                <c:pt idx="93">
                  <c:v>1966</c:v>
                </c:pt>
                <c:pt idx="94">
                  <c:v>1967</c:v>
                </c:pt>
                <c:pt idx="95">
                  <c:v>1968</c:v>
                </c:pt>
                <c:pt idx="96">
                  <c:v>1969</c:v>
                </c:pt>
                <c:pt idx="97">
                  <c:v>1970</c:v>
                </c:pt>
                <c:pt idx="98">
                  <c:v>1971</c:v>
                </c:pt>
                <c:pt idx="99">
                  <c:v>1972</c:v>
                </c:pt>
                <c:pt idx="100">
                  <c:v>1973</c:v>
                </c:pt>
                <c:pt idx="101">
                  <c:v>1974</c:v>
                </c:pt>
                <c:pt idx="102">
                  <c:v>1975</c:v>
                </c:pt>
                <c:pt idx="103">
                  <c:v>1976</c:v>
                </c:pt>
                <c:pt idx="104">
                  <c:v>1977</c:v>
                </c:pt>
                <c:pt idx="105">
                  <c:v>1978</c:v>
                </c:pt>
                <c:pt idx="106">
                  <c:v>1979</c:v>
                </c:pt>
                <c:pt idx="107">
                  <c:v>1980</c:v>
                </c:pt>
                <c:pt idx="108">
                  <c:v>1981</c:v>
                </c:pt>
                <c:pt idx="109">
                  <c:v>1982</c:v>
                </c:pt>
                <c:pt idx="110">
                  <c:v>1983</c:v>
                </c:pt>
                <c:pt idx="111">
                  <c:v>1984</c:v>
                </c:pt>
                <c:pt idx="112">
                  <c:v>1985</c:v>
                </c:pt>
                <c:pt idx="113">
                  <c:v>1986</c:v>
                </c:pt>
                <c:pt idx="114">
                  <c:v>1987</c:v>
                </c:pt>
                <c:pt idx="115">
                  <c:v>1988</c:v>
                </c:pt>
                <c:pt idx="116">
                  <c:v>1989</c:v>
                </c:pt>
                <c:pt idx="117">
                  <c:v>1990</c:v>
                </c:pt>
                <c:pt idx="118">
                  <c:v>1991</c:v>
                </c:pt>
                <c:pt idx="119">
                  <c:v>1992</c:v>
                </c:pt>
                <c:pt idx="120">
                  <c:v>1993</c:v>
                </c:pt>
                <c:pt idx="121">
                  <c:v>1994</c:v>
                </c:pt>
                <c:pt idx="122">
                  <c:v>1995</c:v>
                </c:pt>
                <c:pt idx="123">
                  <c:v>1996</c:v>
                </c:pt>
                <c:pt idx="124">
                  <c:v>1997</c:v>
                </c:pt>
                <c:pt idx="125">
                  <c:v>1998</c:v>
                </c:pt>
                <c:pt idx="126">
                  <c:v>1999</c:v>
                </c:pt>
                <c:pt idx="127">
                  <c:v>2000</c:v>
                </c:pt>
                <c:pt idx="128">
                  <c:v>2001</c:v>
                </c:pt>
                <c:pt idx="129">
                  <c:v>2002</c:v>
                </c:pt>
                <c:pt idx="130">
                  <c:v>2003</c:v>
                </c:pt>
                <c:pt idx="131">
                  <c:v>2004</c:v>
                </c:pt>
                <c:pt idx="132">
                  <c:v>2005</c:v>
                </c:pt>
                <c:pt idx="133">
                  <c:v>2006</c:v>
                </c:pt>
                <c:pt idx="134">
                  <c:v>2007</c:v>
                </c:pt>
                <c:pt idx="135">
                  <c:v>2008</c:v>
                </c:pt>
                <c:pt idx="136">
                  <c:v>2009</c:v>
                </c:pt>
                <c:pt idx="137">
                  <c:v>2010</c:v>
                </c:pt>
                <c:pt idx="138">
                  <c:v>2011</c:v>
                </c:pt>
                <c:pt idx="139">
                  <c:v>2012</c:v>
                </c:pt>
                <c:pt idx="140">
                  <c:v>2013</c:v>
                </c:pt>
                <c:pt idx="141">
                  <c:v>2014</c:v>
                </c:pt>
                <c:pt idx="142">
                  <c:v>2015</c:v>
                </c:pt>
                <c:pt idx="143">
                  <c:v>2016</c:v>
                </c:pt>
                <c:pt idx="144">
                  <c:v>2017</c:v>
                </c:pt>
                <c:pt idx="145">
                  <c:v>2018</c:v>
                </c:pt>
                <c:pt idx="146">
                  <c:v>2019</c:v>
                </c:pt>
                <c:pt idx="147">
                  <c:v>2020</c:v>
                </c:pt>
                <c:pt idx="148">
                  <c:v>2021</c:v>
                </c:pt>
                <c:pt idx="149">
                  <c:v>2022</c:v>
                </c:pt>
                <c:pt idx="150">
                  <c:v>2023</c:v>
                </c:pt>
                <c:pt idx="151">
                  <c:v>2024</c:v>
                </c:pt>
                <c:pt idx="152">
                  <c:v>2025</c:v>
                </c:pt>
                <c:pt idx="153">
                  <c:v>2026</c:v>
                </c:pt>
                <c:pt idx="154">
                  <c:v>2027</c:v>
                </c:pt>
                <c:pt idx="155">
                  <c:v>2028</c:v>
                </c:pt>
                <c:pt idx="156">
                  <c:v>2029</c:v>
                </c:pt>
                <c:pt idx="157">
                  <c:v>2030</c:v>
                </c:pt>
                <c:pt idx="158">
                  <c:v>2031</c:v>
                </c:pt>
                <c:pt idx="159">
                  <c:v>2032</c:v>
                </c:pt>
                <c:pt idx="160">
                  <c:v>2033</c:v>
                </c:pt>
                <c:pt idx="161">
                  <c:v>2034</c:v>
                </c:pt>
                <c:pt idx="162">
                  <c:v>2035</c:v>
                </c:pt>
                <c:pt idx="163">
                  <c:v>2036</c:v>
                </c:pt>
                <c:pt idx="164">
                  <c:v>2037</c:v>
                </c:pt>
                <c:pt idx="165">
                  <c:v>2038</c:v>
                </c:pt>
                <c:pt idx="166">
                  <c:v>2039</c:v>
                </c:pt>
                <c:pt idx="167">
                  <c:v>2040</c:v>
                </c:pt>
                <c:pt idx="168">
                  <c:v>2041</c:v>
                </c:pt>
                <c:pt idx="169">
                  <c:v>2042</c:v>
                </c:pt>
                <c:pt idx="170">
                  <c:v>2043</c:v>
                </c:pt>
                <c:pt idx="171">
                  <c:v>2044</c:v>
                </c:pt>
                <c:pt idx="172">
                  <c:v>2045</c:v>
                </c:pt>
                <c:pt idx="173">
                  <c:v>2046</c:v>
                </c:pt>
                <c:pt idx="174">
                  <c:v>2047</c:v>
                </c:pt>
                <c:pt idx="175">
                  <c:v>2048</c:v>
                </c:pt>
                <c:pt idx="176">
                  <c:v>2049</c:v>
                </c:pt>
                <c:pt idx="177">
                  <c:v>2050</c:v>
                </c:pt>
                <c:pt idx="178">
                  <c:v>2051</c:v>
                </c:pt>
                <c:pt idx="179">
                  <c:v>2052</c:v>
                </c:pt>
                <c:pt idx="180">
                  <c:v>2053</c:v>
                </c:pt>
                <c:pt idx="181">
                  <c:v>2054</c:v>
                </c:pt>
                <c:pt idx="182">
                  <c:v>2055</c:v>
                </c:pt>
                <c:pt idx="183">
                  <c:v>2056</c:v>
                </c:pt>
                <c:pt idx="184">
                  <c:v>2057</c:v>
                </c:pt>
                <c:pt idx="185">
                  <c:v>2058</c:v>
                </c:pt>
                <c:pt idx="186">
                  <c:v>2059</c:v>
                </c:pt>
                <c:pt idx="187">
                  <c:v>2060</c:v>
                </c:pt>
                <c:pt idx="188">
                  <c:v>2061</c:v>
                </c:pt>
                <c:pt idx="189">
                  <c:v>2062</c:v>
                </c:pt>
                <c:pt idx="190">
                  <c:v>2063</c:v>
                </c:pt>
                <c:pt idx="191">
                  <c:v>2064</c:v>
                </c:pt>
                <c:pt idx="192">
                  <c:v>2065</c:v>
                </c:pt>
                <c:pt idx="193">
                  <c:v>2066</c:v>
                </c:pt>
                <c:pt idx="194">
                  <c:v>2067</c:v>
                </c:pt>
                <c:pt idx="195">
                  <c:v>2068</c:v>
                </c:pt>
                <c:pt idx="196">
                  <c:v>2069</c:v>
                </c:pt>
                <c:pt idx="197">
                  <c:v>2070</c:v>
                </c:pt>
                <c:pt idx="198">
                  <c:v>2071</c:v>
                </c:pt>
                <c:pt idx="199">
                  <c:v>2072</c:v>
                </c:pt>
                <c:pt idx="200">
                  <c:v>2073</c:v>
                </c:pt>
                <c:pt idx="201">
                  <c:v>2074</c:v>
                </c:pt>
                <c:pt idx="202">
                  <c:v>2075</c:v>
                </c:pt>
                <c:pt idx="203">
                  <c:v>2076</c:v>
                </c:pt>
                <c:pt idx="204">
                  <c:v>2077</c:v>
                </c:pt>
                <c:pt idx="205">
                  <c:v>2078</c:v>
                </c:pt>
                <c:pt idx="206">
                  <c:v>2079</c:v>
                </c:pt>
                <c:pt idx="207">
                  <c:v>2080</c:v>
                </c:pt>
                <c:pt idx="208">
                  <c:v>2081</c:v>
                </c:pt>
                <c:pt idx="209">
                  <c:v>2082</c:v>
                </c:pt>
                <c:pt idx="210">
                  <c:v>2083</c:v>
                </c:pt>
                <c:pt idx="211">
                  <c:v>2084</c:v>
                </c:pt>
              </c:numCache>
            </c:numRef>
          </c:xVal>
          <c:yVal>
            <c:numRef>
              <c:f>'Pennsylvania anthracite'!$I$82:$I$293</c:f>
              <c:numCache>
                <c:formatCode>0.0</c:formatCode>
                <c:ptCount val="212"/>
                <c:pt idx="0">
                  <c:v>-1.0761425486618919</c:v>
                </c:pt>
                <c:pt idx="1">
                  <c:v>-0.86014678645551612</c:v>
                </c:pt>
                <c:pt idx="2">
                  <c:v>-0.77073449411477668</c:v>
                </c:pt>
                <c:pt idx="3">
                  <c:v>-0.75488478512374968</c:v>
                </c:pt>
                <c:pt idx="4">
                  <c:v>-0.67239956215871644</c:v>
                </c:pt>
                <c:pt idx="5">
                  <c:v>-0.80252801931897011</c:v>
                </c:pt>
                <c:pt idx="6">
                  <c:v>-0.65225179273306821</c:v>
                </c:pt>
                <c:pt idx="7">
                  <c:v>-0.61997390058218116</c:v>
                </c:pt>
                <c:pt idx="8">
                  <c:v>-0.5293479393551479</c:v>
                </c:pt>
                <c:pt idx="9">
                  <c:v>-0.39345944403612521</c:v>
                </c:pt>
                <c:pt idx="10">
                  <c:v>-0.21756576528946425</c:v>
                </c:pt>
                <c:pt idx="11">
                  <c:v>-0.14086089485249431</c:v>
                </c:pt>
                <c:pt idx="12">
                  <c:v>-8.4180777267192752E-2</c:v>
                </c:pt>
                <c:pt idx="13">
                  <c:v>-5.858367107111917E-2</c:v>
                </c:pt>
                <c:pt idx="14">
                  <c:v>-3.5497446226600005E-3</c:v>
                </c:pt>
                <c:pt idx="15">
                  <c:v>0.11032380466235736</c:v>
                </c:pt>
                <c:pt idx="16">
                  <c:v>0.14908504193113004</c:v>
                </c:pt>
                <c:pt idx="17">
                  <c:v>0.16389646357833954</c:v>
                </c:pt>
                <c:pt idx="18">
                  <c:v>0.22407066344476334</c:v>
                </c:pt>
                <c:pt idx="19">
                  <c:v>0.276535710564076</c:v>
                </c:pt>
                <c:pt idx="20">
                  <c:v>0.31579796755318057</c:v>
                </c:pt>
                <c:pt idx="21">
                  <c:v>0.2785632173911381</c:v>
                </c:pt>
                <c:pt idx="22">
                  <c:v>0.31541775080654588</c:v>
                </c:pt>
                <c:pt idx="23">
                  <c:v>0.25363131193307709</c:v>
                </c:pt>
                <c:pt idx="24">
                  <c:v>0.13413540313968042</c:v>
                </c:pt>
                <c:pt idx="25">
                  <c:v>2.1576230121809203E-3</c:v>
                </c:pt>
                <c:pt idx="26">
                  <c:v>-4.3444164611173619E-2</c:v>
                </c:pt>
                <c:pt idx="27">
                  <c:v>-0.16223326699378049</c:v>
                </c:pt>
                <c:pt idx="28">
                  <c:v>-0.15396741428548921</c:v>
                </c:pt>
                <c:pt idx="29">
                  <c:v>-0.54944703876503809</c:v>
                </c:pt>
                <c:pt idx="30">
                  <c:v>-0.48329207502501959</c:v>
                </c:pt>
                <c:pt idx="31">
                  <c:v>-0.46493892171110929</c:v>
                </c:pt>
                <c:pt idx="32">
                  <c:v>-0.40994717638250222</c:v>
                </c:pt>
                <c:pt idx="33">
                  <c:v>-0.46258144290959535</c:v>
                </c:pt>
                <c:pt idx="34">
                  <c:v>-0.3482913543491577</c:v>
                </c:pt>
                <c:pt idx="35">
                  <c:v>-0.28589970004009047</c:v>
                </c:pt>
                <c:pt idx="36">
                  <c:v>-0.26922164605184662</c:v>
                </c:pt>
                <c:pt idx="37">
                  <c:v>-0.22569008304049021</c:v>
                </c:pt>
                <c:pt idx="38">
                  <c:v>-0.12362684075196739</c:v>
                </c:pt>
                <c:pt idx="39">
                  <c:v>-0.10776478641014364</c:v>
                </c:pt>
                <c:pt idx="40">
                  <c:v>-1.6052915720820238E-2</c:v>
                </c:pt>
                <c:pt idx="41">
                  <c:v>5.9030226915638195E-2</c:v>
                </c:pt>
                <c:pt idx="42">
                  <c:v>0.10685754206747333</c:v>
                </c:pt>
                <c:pt idx="43">
                  <c:v>0.13470501323240569</c:v>
                </c:pt>
                <c:pt idx="44">
                  <c:v>0.3024175883076623</c:v>
                </c:pt>
                <c:pt idx="45">
                  <c:v>0.46232115358998271</c:v>
                </c:pt>
                <c:pt idx="46">
                  <c:v>0.49982007414314467</c:v>
                </c:pt>
                <c:pt idx="47">
                  <c:v>0.56080036193088745</c:v>
                </c:pt>
                <c:pt idx="48">
                  <c:v>0.64036639694495534</c:v>
                </c:pt>
                <c:pt idx="49">
                  <c:v>0.29791222240601201</c:v>
                </c:pt>
                <c:pt idx="50">
                  <c:v>0.43099975510494914</c:v>
                </c:pt>
                <c:pt idx="51">
                  <c:v>0.51309027192860412</c:v>
                </c:pt>
                <c:pt idx="52">
                  <c:v>0.28388799164417833</c:v>
                </c:pt>
                <c:pt idx="53">
                  <c:v>0.35219439892011906</c:v>
                </c:pt>
                <c:pt idx="54">
                  <c:v>0.38438509106413221</c:v>
                </c:pt>
                <c:pt idx="55">
                  <c:v>0.37451107313654575</c:v>
                </c:pt>
                <c:pt idx="56">
                  <c:v>0.36501521727882391</c:v>
                </c:pt>
                <c:pt idx="57">
                  <c:v>0.3165308978802841</c:v>
                </c:pt>
                <c:pt idx="58">
                  <c:v>0.15226523925684887</c:v>
                </c:pt>
                <c:pt idx="59">
                  <c:v>-0.1353242058894466</c:v>
                </c:pt>
                <c:pt idx="60">
                  <c:v>-0.41380217598293711</c:v>
                </c:pt>
                <c:pt idx="61">
                  <c:v>-0.56288501509084199</c:v>
                </c:pt>
                <c:pt idx="62">
                  <c:v>-0.76787462712718479</c:v>
                </c:pt>
                <c:pt idx="63">
                  <c:v>-0.91511298251339213</c:v>
                </c:pt>
                <c:pt idx="64">
                  <c:v>-1.08330851142955</c:v>
                </c:pt>
                <c:pt idx="65">
                  <c:v>-1.324588086233689</c:v>
                </c:pt>
                <c:pt idx="66">
                  <c:v>-1.4537880590075929</c:v>
                </c:pt>
                <c:pt idx="67">
                  <c:v>-1.5560374115780178</c:v>
                </c:pt>
                <c:pt idx="68">
                  <c:v>-1.5389635337562595</c:v>
                </c:pt>
                <c:pt idx="69">
                  <c:v>-1.4063768377948236</c:v>
                </c:pt>
                <c:pt idx="70">
                  <c:v>-1.2161630492100812</c:v>
                </c:pt>
                <c:pt idx="71">
                  <c:v>-0.90241815276272064</c:v>
                </c:pt>
                <c:pt idx="72">
                  <c:v>-0.70985984093681509</c:v>
                </c:pt>
                <c:pt idx="73">
                  <c:v>-0.32283843054415229</c:v>
                </c:pt>
                <c:pt idx="74">
                  <c:v>6.9852526862405284E-2</c:v>
                </c:pt>
                <c:pt idx="75">
                  <c:v>0.55387293629928536</c:v>
                </c:pt>
                <c:pt idx="76">
                  <c:v>0.73295020641239716</c:v>
                </c:pt>
                <c:pt idx="77">
                  <c:v>1.0226396615062185</c:v>
                </c:pt>
                <c:pt idx="78">
                  <c:v>1.352041116416558</c:v>
                </c:pt>
                <c:pt idx="79">
                  <c:v>1.7019701632846136</c:v>
                </c:pt>
                <c:pt idx="80">
                  <c:v>1.7959838488211517</c:v>
                </c:pt>
                <c:pt idx="81">
                  <c:v>1.8821571571761524</c:v>
                </c:pt>
                <c:pt idx="82">
                  <c:v>1.9152909631352486</c:v>
                </c:pt>
                <c:pt idx="83">
                  <c:v>2.1225558171252032</c:v>
                </c:pt>
                <c:pt idx="84">
                  <c:v>2.2475976766727399</c:v>
                </c:pt>
                <c:pt idx="85">
                  <c:v>2.2417860317311806</c:v>
                </c:pt>
                <c:pt idx="86">
                  <c:v>2.2650510112227948</c:v>
                </c:pt>
                <c:pt idx="87">
                  <c:v>2.2492586840751301</c:v>
                </c:pt>
                <c:pt idx="88">
                  <c:v>2.2111758704443218</c:v>
                </c:pt>
                <c:pt idx="89">
                  <c:v>2.1934140784646843</c:v>
                </c:pt>
                <c:pt idx="90">
                  <c:v>2.3187807828435325</c:v>
                </c:pt>
                <c:pt idx="91">
                  <c:v>2.4455187542887415</c:v>
                </c:pt>
                <c:pt idx="92">
                  <c:v>2.4808192638006403</c:v>
                </c:pt>
                <c:pt idx="93">
                  <c:v>2.4337268255967501</c:v>
                </c:pt>
                <c:pt idx="94">
                  <c:v>2.3859603799985507</c:v>
                </c:pt>
                <c:pt idx="95">
                  <c:v>2.3254159482041814</c:v>
                </c:pt>
                <c:pt idx="96">
                  <c:v>2.2301108523631683</c:v>
                </c:pt>
                <c:pt idx="97">
                  <c:v>2.1145871856153917</c:v>
                </c:pt>
                <c:pt idx="98">
                  <c:v>1.9480160089754008</c:v>
                </c:pt>
                <c:pt idx="99">
                  <c:v>1.6574379170149314</c:v>
                </c:pt>
                <c:pt idx="100">
                  <c:v>1.3677987099576967</c:v>
                </c:pt>
                <c:pt idx="101">
                  <c:v>1.0850015321461797</c:v>
                </c:pt>
                <c:pt idx="102">
                  <c:v>0.78553395078142785</c:v>
                </c:pt>
                <c:pt idx="103">
                  <c:v>0.51880084791127956</c:v>
                </c:pt>
                <c:pt idx="104">
                  <c:v>0.23868532102869722</c:v>
                </c:pt>
                <c:pt idx="105">
                  <c:v>-0.11751366233170302</c:v>
                </c:pt>
                <c:pt idx="106">
                  <c:v>-0.4758619857350368</c:v>
                </c:pt>
                <c:pt idx="107">
                  <c:v>-0.63656902501634249</c:v>
                </c:pt>
                <c:pt idx="108">
                  <c:v>-0.84820902857222791</c:v>
                </c:pt>
                <c:pt idx="109">
                  <c:v>-1.1512833510510063</c:v>
                </c:pt>
                <c:pt idx="110">
                  <c:v>-1.505217127292326</c:v>
                </c:pt>
                <c:pt idx="111">
                  <c:v>-1.8213391254814724</c:v>
                </c:pt>
                <c:pt idx="112">
                  <c:v>-2.012755413248442</c:v>
                </c:pt>
                <c:pt idx="113">
                  <c:v>-2.2403530792805668</c:v>
                </c:pt>
                <c:pt idx="114">
                  <c:v>-2.5715994012473402</c:v>
                </c:pt>
                <c:pt idx="115">
                  <c:v>-2.8763666634372385</c:v>
                </c:pt>
                <c:pt idx="116">
                  <c:v>-3.1941441060935176</c:v>
                </c:pt>
                <c:pt idx="117">
                  <c:v>-3.4486572900450483</c:v>
                </c:pt>
                <c:pt idx="118">
                  <c:v>-3.6824112746082847</c:v>
                </c:pt>
                <c:pt idx="119">
                  <c:v>-3.8704011150648512</c:v>
                </c:pt>
                <c:pt idx="120">
                  <c:v>-3.804580039709208</c:v>
                </c:pt>
                <c:pt idx="121">
                  <c:v>-3.5775841497647889</c:v>
                </c:pt>
                <c:pt idx="122">
                  <c:v>-3.2336293667779046</c:v>
                </c:pt>
                <c:pt idx="123">
                  <c:v>-2.7532644635707584</c:v>
                </c:pt>
                <c:pt idx="124">
                  <c:v>-2.1551400902237674</c:v>
                </c:pt>
                <c:pt idx="125">
                  <c:v>-1.1622502314044141</c:v>
                </c:pt>
                <c:pt idx="126">
                  <c:v>-0.11850249522444756</c:v>
                </c:pt>
                <c:pt idx="127">
                  <c:v>1.111709848111559</c:v>
                </c:pt>
                <c:pt idx="128">
                  <c:v>1.1573533256093924</c:v>
                </c:pt>
                <c:pt idx="129">
                  <c:v>0.93618624888222257</c:v>
                </c:pt>
                <c:pt idx="130">
                  <c:v>0.70784049180974762</c:v>
                </c:pt>
                <c:pt idx="131">
                  <c:v>0.78498882939538817</c:v>
                </c:pt>
                <c:pt idx="132">
                  <c:v>0.93633420499759268</c:v>
                </c:pt>
                <c:pt idx="133">
                  <c:v>1.0495284679416272</c:v>
                </c:pt>
                <c:pt idx="134">
                  <c:v>1.2683881744103473</c:v>
                </c:pt>
                <c:pt idx="135">
                  <c:v>1.7009446258273329</c:v>
                </c:pt>
                <c:pt idx="136">
                  <c:v>2.3021906368148848</c:v>
                </c:pt>
              </c:numCache>
            </c:numRef>
          </c:yVal>
          <c:smooth val="1"/>
          <c:extLst>
            <c:ext xmlns:c16="http://schemas.microsoft.com/office/drawing/2014/chart" uri="{C3380CC4-5D6E-409C-BE32-E72D297353CC}">
              <c16:uniqueId val="{00000000-F8E7-324A-A6FA-4B76A28EF886}"/>
            </c:ext>
          </c:extLst>
        </c:ser>
        <c:ser>
          <c:idx val="1"/>
          <c:order val="1"/>
          <c:tx>
            <c:v>zero</c:v>
          </c:tx>
          <c:spPr>
            <a:ln w="15875">
              <a:solidFill>
                <a:srgbClr val="808080"/>
              </a:solidFill>
            </a:ln>
          </c:spPr>
          <c:marker>
            <c:symbol val="none"/>
          </c:marker>
          <c:xVal>
            <c:numLit>
              <c:formatCode>General</c:formatCode>
              <c:ptCount val="2"/>
              <c:pt idx="0">
                <c:v>1873</c:v>
              </c:pt>
              <c:pt idx="1">
                <c:v>2008</c:v>
              </c:pt>
            </c:numLit>
          </c:xVal>
          <c:yVal>
            <c:numLit>
              <c:formatCode>General</c:formatCode>
              <c:ptCount val="2"/>
              <c:pt idx="0">
                <c:v>0</c:v>
              </c:pt>
              <c:pt idx="1">
                <c:v>0</c:v>
              </c:pt>
            </c:numLit>
          </c:yVal>
          <c:smooth val="1"/>
          <c:extLst>
            <c:ext xmlns:c16="http://schemas.microsoft.com/office/drawing/2014/chart" uri="{C3380CC4-5D6E-409C-BE32-E72D297353CC}">
              <c16:uniqueId val="{00000001-F8E7-324A-A6FA-4B76A28EF886}"/>
            </c:ext>
          </c:extLst>
        </c:ser>
        <c:ser>
          <c:idx val="2"/>
          <c:order val="2"/>
          <c:tx>
            <c:v>early r y</c:v>
          </c:tx>
          <c:spPr>
            <a:ln w="15875">
              <a:solidFill>
                <a:srgbClr val="008000"/>
              </a:solidFill>
              <a:prstDash val="lgDash"/>
            </a:ln>
          </c:spPr>
          <c:marker>
            <c:symbol val="none"/>
          </c:marker>
          <c:xVal>
            <c:numRef>
              <c:f>'Pennsylvania anthracite'!$D$9:$D$81</c:f>
              <c:numCache>
                <c:formatCode>General</c:formatCode>
                <c:ptCount val="73"/>
                <c:pt idx="0">
                  <c:v>1800</c:v>
                </c:pt>
                <c:pt idx="1">
                  <c:v>1801</c:v>
                </c:pt>
                <c:pt idx="2">
                  <c:v>1802</c:v>
                </c:pt>
                <c:pt idx="3">
                  <c:v>1803</c:v>
                </c:pt>
                <c:pt idx="4">
                  <c:v>1804</c:v>
                </c:pt>
                <c:pt idx="5">
                  <c:v>1805</c:v>
                </c:pt>
                <c:pt idx="6">
                  <c:v>1806</c:v>
                </c:pt>
                <c:pt idx="7">
                  <c:v>1807</c:v>
                </c:pt>
                <c:pt idx="8">
                  <c:v>1808</c:v>
                </c:pt>
                <c:pt idx="9">
                  <c:v>1809</c:v>
                </c:pt>
                <c:pt idx="10">
                  <c:v>1810</c:v>
                </c:pt>
                <c:pt idx="11">
                  <c:v>1811</c:v>
                </c:pt>
                <c:pt idx="12">
                  <c:v>1812</c:v>
                </c:pt>
                <c:pt idx="13">
                  <c:v>1813</c:v>
                </c:pt>
                <c:pt idx="14">
                  <c:v>1814</c:v>
                </c:pt>
                <c:pt idx="15">
                  <c:v>1815</c:v>
                </c:pt>
                <c:pt idx="16">
                  <c:v>1816</c:v>
                </c:pt>
                <c:pt idx="17">
                  <c:v>1817</c:v>
                </c:pt>
                <c:pt idx="18">
                  <c:v>1818</c:v>
                </c:pt>
                <c:pt idx="19">
                  <c:v>1819</c:v>
                </c:pt>
                <c:pt idx="20">
                  <c:v>1820</c:v>
                </c:pt>
                <c:pt idx="21">
                  <c:v>1821</c:v>
                </c:pt>
                <c:pt idx="22">
                  <c:v>1822</c:v>
                </c:pt>
                <c:pt idx="23">
                  <c:v>1823</c:v>
                </c:pt>
                <c:pt idx="24">
                  <c:v>1824</c:v>
                </c:pt>
                <c:pt idx="25">
                  <c:v>1825</c:v>
                </c:pt>
                <c:pt idx="26">
                  <c:v>1826</c:v>
                </c:pt>
                <c:pt idx="27">
                  <c:v>1827</c:v>
                </c:pt>
                <c:pt idx="28">
                  <c:v>1828</c:v>
                </c:pt>
                <c:pt idx="29">
                  <c:v>1829</c:v>
                </c:pt>
                <c:pt idx="30">
                  <c:v>1830</c:v>
                </c:pt>
                <c:pt idx="31">
                  <c:v>1831</c:v>
                </c:pt>
                <c:pt idx="32">
                  <c:v>1832</c:v>
                </c:pt>
                <c:pt idx="33">
                  <c:v>1833</c:v>
                </c:pt>
                <c:pt idx="34">
                  <c:v>1834</c:v>
                </c:pt>
                <c:pt idx="35">
                  <c:v>1835</c:v>
                </c:pt>
                <c:pt idx="36">
                  <c:v>1836</c:v>
                </c:pt>
                <c:pt idx="37">
                  <c:v>1837</c:v>
                </c:pt>
                <c:pt idx="38">
                  <c:v>1838</c:v>
                </c:pt>
                <c:pt idx="39">
                  <c:v>1839</c:v>
                </c:pt>
                <c:pt idx="40">
                  <c:v>1840</c:v>
                </c:pt>
                <c:pt idx="41">
                  <c:v>1841</c:v>
                </c:pt>
                <c:pt idx="42">
                  <c:v>1842</c:v>
                </c:pt>
                <c:pt idx="43">
                  <c:v>1843</c:v>
                </c:pt>
                <c:pt idx="44">
                  <c:v>1844</c:v>
                </c:pt>
                <c:pt idx="45">
                  <c:v>1845</c:v>
                </c:pt>
                <c:pt idx="46">
                  <c:v>1846</c:v>
                </c:pt>
                <c:pt idx="47">
                  <c:v>1847</c:v>
                </c:pt>
                <c:pt idx="48">
                  <c:v>1848</c:v>
                </c:pt>
                <c:pt idx="49">
                  <c:v>1849</c:v>
                </c:pt>
                <c:pt idx="50">
                  <c:v>1850</c:v>
                </c:pt>
                <c:pt idx="51">
                  <c:v>1851</c:v>
                </c:pt>
                <c:pt idx="52">
                  <c:v>1852</c:v>
                </c:pt>
                <c:pt idx="53">
                  <c:v>1853</c:v>
                </c:pt>
                <c:pt idx="54">
                  <c:v>1854</c:v>
                </c:pt>
                <c:pt idx="55">
                  <c:v>1855</c:v>
                </c:pt>
                <c:pt idx="56">
                  <c:v>1856</c:v>
                </c:pt>
                <c:pt idx="57">
                  <c:v>1857</c:v>
                </c:pt>
                <c:pt idx="58">
                  <c:v>1858</c:v>
                </c:pt>
                <c:pt idx="59">
                  <c:v>1859</c:v>
                </c:pt>
                <c:pt idx="60">
                  <c:v>1860</c:v>
                </c:pt>
                <c:pt idx="61">
                  <c:v>1861</c:v>
                </c:pt>
                <c:pt idx="62">
                  <c:v>1862</c:v>
                </c:pt>
                <c:pt idx="63">
                  <c:v>1863</c:v>
                </c:pt>
                <c:pt idx="64">
                  <c:v>1864</c:v>
                </c:pt>
                <c:pt idx="65">
                  <c:v>1865</c:v>
                </c:pt>
                <c:pt idx="66">
                  <c:v>1866</c:v>
                </c:pt>
                <c:pt idx="67">
                  <c:v>1867</c:v>
                </c:pt>
                <c:pt idx="68">
                  <c:v>1868</c:v>
                </c:pt>
                <c:pt idx="69">
                  <c:v>1869</c:v>
                </c:pt>
                <c:pt idx="70">
                  <c:v>1870</c:v>
                </c:pt>
                <c:pt idx="71">
                  <c:v>1871</c:v>
                </c:pt>
                <c:pt idx="72">
                  <c:v>1872</c:v>
                </c:pt>
              </c:numCache>
            </c:numRef>
          </c:xVal>
          <c:yVal>
            <c:numRef>
              <c:f>'Pennsylvania anthracite'!$I$9:$I$81</c:f>
              <c:numCache>
                <c:formatCode>0.0</c:formatCode>
                <c:ptCount val="73"/>
                <c:pt idx="0">
                  <c:v>-159.24327264731346</c:v>
                </c:pt>
                <c:pt idx="1">
                  <c:v>-148.93612051447963</c:v>
                </c:pt>
                <c:pt idx="2">
                  <c:v>-143.3218602227721</c:v>
                </c:pt>
                <c:pt idx="3">
                  <c:v>-138.83306471511287</c:v>
                </c:pt>
                <c:pt idx="4">
                  <c:v>-135.14017184836644</c:v>
                </c:pt>
                <c:pt idx="5">
                  <c:v>-132.04053589542605</c:v>
                </c:pt>
                <c:pt idx="6">
                  <c:v>-129.76703957129121</c:v>
                </c:pt>
                <c:pt idx="7">
                  <c:v>-127.73119433554575</c:v>
                </c:pt>
                <c:pt idx="8">
                  <c:v>-123.73337922055816</c:v>
                </c:pt>
                <c:pt idx="9">
                  <c:v>-119.21224580069679</c:v>
                </c:pt>
                <c:pt idx="10">
                  <c:v>-114.31332552346385</c:v>
                </c:pt>
                <c:pt idx="11">
                  <c:v>-110.99021818146912</c:v>
                </c:pt>
                <c:pt idx="12">
                  <c:v>-108.43666183628397</c:v>
                </c:pt>
                <c:pt idx="13">
                  <c:v>-106.5204347610088</c:v>
                </c:pt>
                <c:pt idx="14">
                  <c:v>-104.94785343508124</c:v>
                </c:pt>
                <c:pt idx="15">
                  <c:v>-103.72625190027406</c:v>
                </c:pt>
                <c:pt idx="16">
                  <c:v>-102.77125741170585</c:v>
                </c:pt>
                <c:pt idx="17">
                  <c:v>-102.02568239653829</c:v>
                </c:pt>
                <c:pt idx="18">
                  <c:v>-101.26217973756002</c:v>
                </c:pt>
                <c:pt idx="19">
                  <c:v>-100.39247443491649</c:v>
                </c:pt>
                <c:pt idx="20">
                  <c:v>-99.289931424862516</c:v>
                </c:pt>
                <c:pt idx="21">
                  <c:v>-98.601362605380473</c:v>
                </c:pt>
                <c:pt idx="22">
                  <c:v>-97.343963272637211</c:v>
                </c:pt>
                <c:pt idx="23">
                  <c:v>-94.886993369694665</c:v>
                </c:pt>
                <c:pt idx="24">
                  <c:v>-91.749476812601642</c:v>
                </c:pt>
                <c:pt idx="25">
                  <c:v>-84.756634975167799</c:v>
                </c:pt>
                <c:pt idx="26">
                  <c:v>-78.591365550406636</c:v>
                </c:pt>
                <c:pt idx="27">
                  <c:v>-73.400947594160698</c:v>
                </c:pt>
                <c:pt idx="28">
                  <c:v>-68.820834902348224</c:v>
                </c:pt>
                <c:pt idx="29">
                  <c:v>-64.102301489916726</c:v>
                </c:pt>
                <c:pt idx="30">
                  <c:v>-58.868630542471919</c:v>
                </c:pt>
                <c:pt idx="31">
                  <c:v>-54.985585646941217</c:v>
                </c:pt>
                <c:pt idx="32">
                  <c:v>-49.33387645909238</c:v>
                </c:pt>
                <c:pt idx="33">
                  <c:v>-44.356365868488638</c:v>
                </c:pt>
                <c:pt idx="34">
                  <c:v>-41.890414383181223</c:v>
                </c:pt>
                <c:pt idx="35">
                  <c:v>-38.808107089097803</c:v>
                </c:pt>
                <c:pt idx="36">
                  <c:v>-35.915356082186918</c:v>
                </c:pt>
                <c:pt idx="37">
                  <c:v>-33.051175105305219</c:v>
                </c:pt>
                <c:pt idx="38">
                  <c:v>-31.389281230444112</c:v>
                </c:pt>
                <c:pt idx="39">
                  <c:v>-29.895444402547355</c:v>
                </c:pt>
                <c:pt idx="40">
                  <c:v>-28.624866464686193</c:v>
                </c:pt>
                <c:pt idx="41">
                  <c:v>-27.41164178784129</c:v>
                </c:pt>
                <c:pt idx="42">
                  <c:v>-26.204107918236105</c:v>
                </c:pt>
                <c:pt idx="43">
                  <c:v>-24.987162685669773</c:v>
                </c:pt>
                <c:pt idx="44">
                  <c:v>-23.519170332282329</c:v>
                </c:pt>
                <c:pt idx="45">
                  <c:v>-21.910368247127508</c:v>
                </c:pt>
                <c:pt idx="46">
                  <c:v>-20.337464324875782</c:v>
                </c:pt>
                <c:pt idx="47">
                  <c:v>-18.64383603089118</c:v>
                </c:pt>
                <c:pt idx="48">
                  <c:v>-17.171132344335319</c:v>
                </c:pt>
                <c:pt idx="49">
                  <c:v>-15.935875399443603</c:v>
                </c:pt>
                <c:pt idx="50">
                  <c:v>-14.898644689288403</c:v>
                </c:pt>
                <c:pt idx="51">
                  <c:v>-13.505269115295278</c:v>
                </c:pt>
                <c:pt idx="52">
                  <c:v>-12.213357331294901</c:v>
                </c:pt>
                <c:pt idx="53">
                  <c:v>-11.128774108889047</c:v>
                </c:pt>
                <c:pt idx="54">
                  <c:v>-10.010928296758721</c:v>
                </c:pt>
                <c:pt idx="55">
                  <c:v>-8.9156209883863085</c:v>
                </c:pt>
                <c:pt idx="56">
                  <c:v>-7.9814226940366098</c:v>
                </c:pt>
                <c:pt idx="57">
                  <c:v>-7.3100113473433339</c:v>
                </c:pt>
                <c:pt idx="58">
                  <c:v>-6.7575076703803916</c:v>
                </c:pt>
                <c:pt idx="59">
                  <c:v>-6.1379439824443125</c:v>
                </c:pt>
                <c:pt idx="60">
                  <c:v>-5.5348393710094115</c:v>
                </c:pt>
                <c:pt idx="61">
                  <c:v>-5.1643443100012973</c:v>
                </c:pt>
                <c:pt idx="62">
                  <c:v>-4.9025377873233538</c:v>
                </c:pt>
                <c:pt idx="63">
                  <c:v>-4.4965415997694436</c:v>
                </c:pt>
                <c:pt idx="64">
                  <c:v>-4.1150689355076793</c:v>
                </c:pt>
                <c:pt idx="65">
                  <c:v>-3.9292959237393461</c:v>
                </c:pt>
                <c:pt idx="66">
                  <c:v>-3.4920094621218141</c:v>
                </c:pt>
                <c:pt idx="67">
                  <c:v>-3.1407585250824468</c:v>
                </c:pt>
                <c:pt idx="68">
                  <c:v>-2.7624103953755821</c:v>
                </c:pt>
                <c:pt idx="69">
                  <c:v>-2.4393021804801265</c:v>
                </c:pt>
                <c:pt idx="70">
                  <c:v>-2.1026606348116275</c:v>
                </c:pt>
                <c:pt idx="71">
                  <c:v>-1.8880479899019065</c:v>
                </c:pt>
                <c:pt idx="72">
                  <c:v>-1.4531821810978727</c:v>
                </c:pt>
              </c:numCache>
            </c:numRef>
          </c:yVal>
          <c:smooth val="1"/>
          <c:extLst>
            <c:ext xmlns:c16="http://schemas.microsoft.com/office/drawing/2014/chart" uri="{C3380CC4-5D6E-409C-BE32-E72D297353CC}">
              <c16:uniqueId val="{00000002-F8E7-324A-A6FA-4B76A28EF886}"/>
            </c:ext>
          </c:extLst>
        </c:ser>
        <c:ser>
          <c:idx val="3"/>
          <c:order val="3"/>
          <c:tx>
            <c:v>Beginning of World War II</c:v>
          </c:tx>
          <c:spPr>
            <a:ln w="15875">
              <a:solidFill>
                <a:srgbClr val="808080"/>
              </a:solidFill>
            </a:ln>
          </c:spPr>
          <c:marker>
            <c:symbol val="none"/>
          </c:marker>
          <c:xVal>
            <c:numLit>
              <c:formatCode>General</c:formatCode>
              <c:ptCount val="2"/>
              <c:pt idx="0">
                <c:v>1939</c:v>
              </c:pt>
              <c:pt idx="1">
                <c:v>1939</c:v>
              </c:pt>
            </c:numLit>
          </c:xVal>
          <c:yVal>
            <c:numLit>
              <c:formatCode>General</c:formatCode>
              <c:ptCount val="2"/>
              <c:pt idx="0">
                <c:v>-0.5</c:v>
              </c:pt>
              <c:pt idx="1">
                <c:v>0.5</c:v>
              </c:pt>
            </c:numLit>
          </c:yVal>
          <c:smooth val="1"/>
          <c:extLst>
            <c:ext xmlns:c16="http://schemas.microsoft.com/office/drawing/2014/chart" uri="{C3380CC4-5D6E-409C-BE32-E72D297353CC}">
              <c16:uniqueId val="{00000003-F8E7-324A-A6FA-4B76A28EF886}"/>
            </c:ext>
          </c:extLst>
        </c:ser>
        <c:ser>
          <c:idx val="4"/>
          <c:order val="4"/>
          <c:tx>
            <c:v>1873 depression</c:v>
          </c:tx>
          <c:spPr>
            <a:ln w="15875">
              <a:solidFill>
                <a:srgbClr val="808080"/>
              </a:solidFill>
            </a:ln>
          </c:spPr>
          <c:marker>
            <c:symbol val="none"/>
          </c:marker>
          <c:xVal>
            <c:numLit>
              <c:formatCode>General</c:formatCode>
              <c:ptCount val="2"/>
              <c:pt idx="0">
                <c:v>1873</c:v>
              </c:pt>
              <c:pt idx="1">
                <c:v>1873</c:v>
              </c:pt>
            </c:numLit>
          </c:xVal>
          <c:yVal>
            <c:numLit>
              <c:formatCode>General</c:formatCode>
              <c:ptCount val="2"/>
              <c:pt idx="0">
                <c:v>-0.5</c:v>
              </c:pt>
              <c:pt idx="1">
                <c:v>0.5</c:v>
              </c:pt>
            </c:numLit>
          </c:yVal>
          <c:smooth val="1"/>
          <c:extLst>
            <c:ext xmlns:c16="http://schemas.microsoft.com/office/drawing/2014/chart" uri="{C3380CC4-5D6E-409C-BE32-E72D297353CC}">
              <c16:uniqueId val="{00000004-F8E7-324A-A6FA-4B76A28EF886}"/>
            </c:ext>
          </c:extLst>
        </c:ser>
        <c:dLbls>
          <c:showLegendKey val="0"/>
          <c:showVal val="0"/>
          <c:showCatName val="0"/>
          <c:showSerName val="0"/>
          <c:showPercent val="0"/>
          <c:showBubbleSize val="0"/>
        </c:dLbls>
        <c:axId val="130491520"/>
        <c:axId val="130493056"/>
      </c:scatterChart>
      <c:valAx>
        <c:axId val="130491520"/>
        <c:scaling>
          <c:orientation val="minMax"/>
          <c:max val="2020"/>
          <c:min val="18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0493056"/>
        <c:crossesAt val="-100"/>
        <c:crossBetween val="midCat"/>
        <c:majorUnit val="60"/>
        <c:minorUnit val="10"/>
      </c:valAx>
      <c:valAx>
        <c:axId val="130493056"/>
        <c:scaling>
          <c:orientation val="minMax"/>
          <c:max val="5"/>
          <c:min val="-5"/>
        </c:scaling>
        <c:delete val="0"/>
        <c:axPos val="r"/>
        <c:title>
          <c:tx>
            <c:rich>
              <a:bodyPr rot="-5400000" vert="horz"/>
              <a:lstStyle/>
              <a:p>
                <a:pPr>
                  <a:defRPr sz="1200" b="0">
                    <a:solidFill>
                      <a:srgbClr val="333399"/>
                    </a:solidFill>
                  </a:defRPr>
                </a:pPr>
                <a:r>
                  <a:rPr lang="en-US" sz="1200" b="0">
                    <a:solidFill>
                      <a:srgbClr val="333399"/>
                    </a:solidFill>
                  </a:rPr>
                  <a:t>Residual, years</a:t>
                </a:r>
              </a:p>
            </c:rich>
          </c:tx>
          <c:layout>
            <c:manualLayout>
              <c:xMode val="edge"/>
              <c:yMode val="edge"/>
              <c:x val="0.96240681576144838"/>
              <c:y val="0.27488772236803732"/>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0491520"/>
        <c:crosses val="max"/>
        <c:crossBetween val="midCat"/>
        <c:majorUnit val="5"/>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7180330893143154"/>
          <c:h val="0.77264654418197765"/>
        </c:manualLayout>
      </c:layout>
      <c:scatterChart>
        <c:scatterStyle val="smoothMarker"/>
        <c:varyColors val="0"/>
        <c:ser>
          <c:idx val="0"/>
          <c:order val="0"/>
          <c:tx>
            <c:strRef>
              <c:f>'Pennsylvania anthracite'!$F$7</c:f>
              <c:strCache>
                <c:ptCount val="1"/>
                <c:pt idx="0">
                  <c:v>q Gt</c:v>
                </c:pt>
              </c:strCache>
            </c:strRef>
          </c:tx>
          <c:spPr>
            <a:ln w="15875">
              <a:solidFill>
                <a:srgbClr val="008000"/>
              </a:solidFill>
            </a:ln>
          </c:spPr>
          <c:marker>
            <c:symbol val="none"/>
          </c:marker>
          <c:xVal>
            <c:numRef>
              <c:f>'Pennsylvania anthracite'!$D$8:$D$359</c:f>
              <c:numCache>
                <c:formatCode>General</c:formatCode>
                <c:ptCount val="352"/>
                <c:pt idx="0">
                  <c:v>1799</c:v>
                </c:pt>
                <c:pt idx="1">
                  <c:v>1800</c:v>
                </c:pt>
                <c:pt idx="2">
                  <c:v>1801</c:v>
                </c:pt>
                <c:pt idx="3">
                  <c:v>1802</c:v>
                </c:pt>
                <c:pt idx="4">
                  <c:v>1803</c:v>
                </c:pt>
                <c:pt idx="5">
                  <c:v>1804</c:v>
                </c:pt>
                <c:pt idx="6">
                  <c:v>1805</c:v>
                </c:pt>
                <c:pt idx="7">
                  <c:v>1806</c:v>
                </c:pt>
                <c:pt idx="8">
                  <c:v>1807</c:v>
                </c:pt>
                <c:pt idx="9">
                  <c:v>1808</c:v>
                </c:pt>
                <c:pt idx="10">
                  <c:v>1809</c:v>
                </c:pt>
                <c:pt idx="11">
                  <c:v>1810</c:v>
                </c:pt>
                <c:pt idx="12">
                  <c:v>1811</c:v>
                </c:pt>
                <c:pt idx="13">
                  <c:v>1812</c:v>
                </c:pt>
                <c:pt idx="14">
                  <c:v>1813</c:v>
                </c:pt>
                <c:pt idx="15">
                  <c:v>1814</c:v>
                </c:pt>
                <c:pt idx="16">
                  <c:v>1815</c:v>
                </c:pt>
                <c:pt idx="17">
                  <c:v>1816</c:v>
                </c:pt>
                <c:pt idx="18">
                  <c:v>1817</c:v>
                </c:pt>
                <c:pt idx="19">
                  <c:v>1818</c:v>
                </c:pt>
                <c:pt idx="20">
                  <c:v>1819</c:v>
                </c:pt>
                <c:pt idx="21">
                  <c:v>1820</c:v>
                </c:pt>
                <c:pt idx="22">
                  <c:v>1821</c:v>
                </c:pt>
                <c:pt idx="23">
                  <c:v>1822</c:v>
                </c:pt>
                <c:pt idx="24">
                  <c:v>1823</c:v>
                </c:pt>
                <c:pt idx="25">
                  <c:v>1824</c:v>
                </c:pt>
                <c:pt idx="26">
                  <c:v>1825</c:v>
                </c:pt>
                <c:pt idx="27">
                  <c:v>1826</c:v>
                </c:pt>
                <c:pt idx="28">
                  <c:v>1827</c:v>
                </c:pt>
                <c:pt idx="29">
                  <c:v>1828</c:v>
                </c:pt>
                <c:pt idx="30">
                  <c:v>1829</c:v>
                </c:pt>
                <c:pt idx="31">
                  <c:v>1830</c:v>
                </c:pt>
                <c:pt idx="32">
                  <c:v>1831</c:v>
                </c:pt>
                <c:pt idx="33">
                  <c:v>1832</c:v>
                </c:pt>
                <c:pt idx="34">
                  <c:v>1833</c:v>
                </c:pt>
                <c:pt idx="35">
                  <c:v>1834</c:v>
                </c:pt>
                <c:pt idx="36">
                  <c:v>1835</c:v>
                </c:pt>
                <c:pt idx="37">
                  <c:v>1836</c:v>
                </c:pt>
                <c:pt idx="38">
                  <c:v>1837</c:v>
                </c:pt>
                <c:pt idx="39">
                  <c:v>1838</c:v>
                </c:pt>
                <c:pt idx="40">
                  <c:v>1839</c:v>
                </c:pt>
                <c:pt idx="41">
                  <c:v>1840</c:v>
                </c:pt>
                <c:pt idx="42">
                  <c:v>1841</c:v>
                </c:pt>
                <c:pt idx="43">
                  <c:v>1842</c:v>
                </c:pt>
                <c:pt idx="44">
                  <c:v>1843</c:v>
                </c:pt>
                <c:pt idx="45">
                  <c:v>1844</c:v>
                </c:pt>
                <c:pt idx="46">
                  <c:v>1845</c:v>
                </c:pt>
                <c:pt idx="47">
                  <c:v>1846</c:v>
                </c:pt>
                <c:pt idx="48">
                  <c:v>1847</c:v>
                </c:pt>
                <c:pt idx="49">
                  <c:v>1848</c:v>
                </c:pt>
                <c:pt idx="50">
                  <c:v>1849</c:v>
                </c:pt>
                <c:pt idx="51">
                  <c:v>1850</c:v>
                </c:pt>
                <c:pt idx="52">
                  <c:v>1851</c:v>
                </c:pt>
                <c:pt idx="53">
                  <c:v>1852</c:v>
                </c:pt>
                <c:pt idx="54">
                  <c:v>1853</c:v>
                </c:pt>
                <c:pt idx="55">
                  <c:v>1854</c:v>
                </c:pt>
                <c:pt idx="56">
                  <c:v>1855</c:v>
                </c:pt>
                <c:pt idx="57">
                  <c:v>1856</c:v>
                </c:pt>
                <c:pt idx="58">
                  <c:v>1857</c:v>
                </c:pt>
                <c:pt idx="59">
                  <c:v>1858</c:v>
                </c:pt>
                <c:pt idx="60">
                  <c:v>1859</c:v>
                </c:pt>
                <c:pt idx="61">
                  <c:v>1860</c:v>
                </c:pt>
                <c:pt idx="62">
                  <c:v>1861</c:v>
                </c:pt>
                <c:pt idx="63">
                  <c:v>1862</c:v>
                </c:pt>
                <c:pt idx="64">
                  <c:v>1863</c:v>
                </c:pt>
                <c:pt idx="65">
                  <c:v>1864</c:v>
                </c:pt>
                <c:pt idx="66">
                  <c:v>1865</c:v>
                </c:pt>
                <c:pt idx="67">
                  <c:v>1866</c:v>
                </c:pt>
                <c:pt idx="68">
                  <c:v>1867</c:v>
                </c:pt>
                <c:pt idx="69">
                  <c:v>1868</c:v>
                </c:pt>
                <c:pt idx="70">
                  <c:v>1869</c:v>
                </c:pt>
                <c:pt idx="71">
                  <c:v>1870</c:v>
                </c:pt>
                <c:pt idx="72">
                  <c:v>1871</c:v>
                </c:pt>
                <c:pt idx="73">
                  <c:v>1872</c:v>
                </c:pt>
                <c:pt idx="74">
                  <c:v>1873</c:v>
                </c:pt>
                <c:pt idx="75">
                  <c:v>1874</c:v>
                </c:pt>
                <c:pt idx="76">
                  <c:v>1875</c:v>
                </c:pt>
                <c:pt idx="77">
                  <c:v>1876</c:v>
                </c:pt>
                <c:pt idx="78">
                  <c:v>1877</c:v>
                </c:pt>
                <c:pt idx="79">
                  <c:v>1878</c:v>
                </c:pt>
                <c:pt idx="80">
                  <c:v>1879</c:v>
                </c:pt>
                <c:pt idx="81">
                  <c:v>1880</c:v>
                </c:pt>
                <c:pt idx="82">
                  <c:v>1881</c:v>
                </c:pt>
                <c:pt idx="83">
                  <c:v>1882</c:v>
                </c:pt>
                <c:pt idx="84">
                  <c:v>1883</c:v>
                </c:pt>
                <c:pt idx="85">
                  <c:v>1884</c:v>
                </c:pt>
                <c:pt idx="86">
                  <c:v>1885</c:v>
                </c:pt>
                <c:pt idx="87">
                  <c:v>1886</c:v>
                </c:pt>
                <c:pt idx="88">
                  <c:v>1887</c:v>
                </c:pt>
                <c:pt idx="89">
                  <c:v>1888</c:v>
                </c:pt>
                <c:pt idx="90">
                  <c:v>1889</c:v>
                </c:pt>
                <c:pt idx="91">
                  <c:v>1890</c:v>
                </c:pt>
                <c:pt idx="92">
                  <c:v>1891</c:v>
                </c:pt>
                <c:pt idx="93">
                  <c:v>1892</c:v>
                </c:pt>
                <c:pt idx="94">
                  <c:v>1893</c:v>
                </c:pt>
                <c:pt idx="95">
                  <c:v>1894</c:v>
                </c:pt>
                <c:pt idx="96">
                  <c:v>1895</c:v>
                </c:pt>
                <c:pt idx="97">
                  <c:v>1896</c:v>
                </c:pt>
                <c:pt idx="98">
                  <c:v>1897</c:v>
                </c:pt>
                <c:pt idx="99">
                  <c:v>1898</c:v>
                </c:pt>
                <c:pt idx="100">
                  <c:v>1899</c:v>
                </c:pt>
                <c:pt idx="101">
                  <c:v>1900</c:v>
                </c:pt>
                <c:pt idx="102">
                  <c:v>1901</c:v>
                </c:pt>
                <c:pt idx="103">
                  <c:v>1902</c:v>
                </c:pt>
                <c:pt idx="104">
                  <c:v>1903</c:v>
                </c:pt>
                <c:pt idx="105">
                  <c:v>1904</c:v>
                </c:pt>
                <c:pt idx="106">
                  <c:v>1905</c:v>
                </c:pt>
                <c:pt idx="107">
                  <c:v>1906</c:v>
                </c:pt>
                <c:pt idx="108">
                  <c:v>1907</c:v>
                </c:pt>
                <c:pt idx="109">
                  <c:v>1908</c:v>
                </c:pt>
                <c:pt idx="110">
                  <c:v>1909</c:v>
                </c:pt>
                <c:pt idx="111">
                  <c:v>1910</c:v>
                </c:pt>
                <c:pt idx="112">
                  <c:v>1911</c:v>
                </c:pt>
                <c:pt idx="113">
                  <c:v>1912</c:v>
                </c:pt>
                <c:pt idx="114">
                  <c:v>1913</c:v>
                </c:pt>
                <c:pt idx="115">
                  <c:v>1914</c:v>
                </c:pt>
                <c:pt idx="116">
                  <c:v>1915</c:v>
                </c:pt>
                <c:pt idx="117">
                  <c:v>1916</c:v>
                </c:pt>
                <c:pt idx="118">
                  <c:v>1917</c:v>
                </c:pt>
                <c:pt idx="119">
                  <c:v>1918</c:v>
                </c:pt>
                <c:pt idx="120">
                  <c:v>1919</c:v>
                </c:pt>
                <c:pt idx="121">
                  <c:v>1920</c:v>
                </c:pt>
                <c:pt idx="122">
                  <c:v>1921</c:v>
                </c:pt>
                <c:pt idx="123">
                  <c:v>1922</c:v>
                </c:pt>
                <c:pt idx="124">
                  <c:v>1923</c:v>
                </c:pt>
                <c:pt idx="125">
                  <c:v>1924</c:v>
                </c:pt>
                <c:pt idx="126">
                  <c:v>1925</c:v>
                </c:pt>
                <c:pt idx="127">
                  <c:v>1926</c:v>
                </c:pt>
                <c:pt idx="128">
                  <c:v>1927</c:v>
                </c:pt>
                <c:pt idx="129">
                  <c:v>1928</c:v>
                </c:pt>
                <c:pt idx="130">
                  <c:v>1929</c:v>
                </c:pt>
                <c:pt idx="131">
                  <c:v>1930</c:v>
                </c:pt>
                <c:pt idx="132">
                  <c:v>1931</c:v>
                </c:pt>
                <c:pt idx="133">
                  <c:v>1932</c:v>
                </c:pt>
                <c:pt idx="134">
                  <c:v>1933</c:v>
                </c:pt>
                <c:pt idx="135">
                  <c:v>1934</c:v>
                </c:pt>
                <c:pt idx="136">
                  <c:v>1935</c:v>
                </c:pt>
                <c:pt idx="137">
                  <c:v>1936</c:v>
                </c:pt>
                <c:pt idx="138">
                  <c:v>1937</c:v>
                </c:pt>
                <c:pt idx="139">
                  <c:v>1938</c:v>
                </c:pt>
                <c:pt idx="140">
                  <c:v>1939</c:v>
                </c:pt>
                <c:pt idx="141">
                  <c:v>1940</c:v>
                </c:pt>
                <c:pt idx="142">
                  <c:v>1941</c:v>
                </c:pt>
                <c:pt idx="143">
                  <c:v>1942</c:v>
                </c:pt>
                <c:pt idx="144">
                  <c:v>1943</c:v>
                </c:pt>
                <c:pt idx="145">
                  <c:v>1944</c:v>
                </c:pt>
                <c:pt idx="146">
                  <c:v>1945</c:v>
                </c:pt>
                <c:pt idx="147">
                  <c:v>1946</c:v>
                </c:pt>
                <c:pt idx="148">
                  <c:v>1947</c:v>
                </c:pt>
                <c:pt idx="149">
                  <c:v>1948</c:v>
                </c:pt>
                <c:pt idx="150">
                  <c:v>1949</c:v>
                </c:pt>
                <c:pt idx="151">
                  <c:v>1950</c:v>
                </c:pt>
                <c:pt idx="152">
                  <c:v>1951</c:v>
                </c:pt>
                <c:pt idx="153">
                  <c:v>1952</c:v>
                </c:pt>
                <c:pt idx="154">
                  <c:v>1953</c:v>
                </c:pt>
                <c:pt idx="155">
                  <c:v>1954</c:v>
                </c:pt>
                <c:pt idx="156">
                  <c:v>1955</c:v>
                </c:pt>
                <c:pt idx="157">
                  <c:v>1956</c:v>
                </c:pt>
                <c:pt idx="158">
                  <c:v>1957</c:v>
                </c:pt>
                <c:pt idx="159">
                  <c:v>1958</c:v>
                </c:pt>
                <c:pt idx="160">
                  <c:v>1959</c:v>
                </c:pt>
                <c:pt idx="161">
                  <c:v>1960</c:v>
                </c:pt>
                <c:pt idx="162">
                  <c:v>1961</c:v>
                </c:pt>
                <c:pt idx="163">
                  <c:v>1962</c:v>
                </c:pt>
                <c:pt idx="164">
                  <c:v>1963</c:v>
                </c:pt>
                <c:pt idx="165">
                  <c:v>1964</c:v>
                </c:pt>
                <c:pt idx="166">
                  <c:v>1965</c:v>
                </c:pt>
                <c:pt idx="167">
                  <c:v>1966</c:v>
                </c:pt>
                <c:pt idx="168">
                  <c:v>1967</c:v>
                </c:pt>
                <c:pt idx="169">
                  <c:v>1968</c:v>
                </c:pt>
                <c:pt idx="170">
                  <c:v>1969</c:v>
                </c:pt>
                <c:pt idx="171">
                  <c:v>1970</c:v>
                </c:pt>
                <c:pt idx="172">
                  <c:v>1971</c:v>
                </c:pt>
                <c:pt idx="173">
                  <c:v>1972</c:v>
                </c:pt>
                <c:pt idx="174">
                  <c:v>1973</c:v>
                </c:pt>
                <c:pt idx="175">
                  <c:v>1974</c:v>
                </c:pt>
                <c:pt idx="176">
                  <c:v>1975</c:v>
                </c:pt>
                <c:pt idx="177">
                  <c:v>1976</c:v>
                </c:pt>
                <c:pt idx="178">
                  <c:v>1977</c:v>
                </c:pt>
                <c:pt idx="179">
                  <c:v>1978</c:v>
                </c:pt>
                <c:pt idx="180">
                  <c:v>1979</c:v>
                </c:pt>
                <c:pt idx="181">
                  <c:v>1980</c:v>
                </c:pt>
                <c:pt idx="182">
                  <c:v>1981</c:v>
                </c:pt>
                <c:pt idx="183">
                  <c:v>1982</c:v>
                </c:pt>
                <c:pt idx="184">
                  <c:v>1983</c:v>
                </c:pt>
                <c:pt idx="185">
                  <c:v>1984</c:v>
                </c:pt>
                <c:pt idx="186">
                  <c:v>1985</c:v>
                </c:pt>
                <c:pt idx="187">
                  <c:v>1986</c:v>
                </c:pt>
                <c:pt idx="188">
                  <c:v>1987</c:v>
                </c:pt>
                <c:pt idx="189">
                  <c:v>1988</c:v>
                </c:pt>
                <c:pt idx="190">
                  <c:v>1989</c:v>
                </c:pt>
                <c:pt idx="191">
                  <c:v>1990</c:v>
                </c:pt>
                <c:pt idx="192">
                  <c:v>1991</c:v>
                </c:pt>
                <c:pt idx="193">
                  <c:v>1992</c:v>
                </c:pt>
                <c:pt idx="194">
                  <c:v>1993</c:v>
                </c:pt>
                <c:pt idx="195">
                  <c:v>1994</c:v>
                </c:pt>
                <c:pt idx="196">
                  <c:v>1995</c:v>
                </c:pt>
                <c:pt idx="197">
                  <c:v>1996</c:v>
                </c:pt>
                <c:pt idx="198">
                  <c:v>1997</c:v>
                </c:pt>
                <c:pt idx="199">
                  <c:v>1998</c:v>
                </c:pt>
                <c:pt idx="200">
                  <c:v>1999</c:v>
                </c:pt>
                <c:pt idx="201">
                  <c:v>2000</c:v>
                </c:pt>
                <c:pt idx="202">
                  <c:v>2001</c:v>
                </c:pt>
                <c:pt idx="203">
                  <c:v>2002</c:v>
                </c:pt>
                <c:pt idx="204">
                  <c:v>2003</c:v>
                </c:pt>
                <c:pt idx="205">
                  <c:v>2004</c:v>
                </c:pt>
                <c:pt idx="206">
                  <c:v>2005</c:v>
                </c:pt>
                <c:pt idx="207">
                  <c:v>2006</c:v>
                </c:pt>
                <c:pt idx="208">
                  <c:v>2007</c:v>
                </c:pt>
                <c:pt idx="209">
                  <c:v>2008</c:v>
                </c:pt>
                <c:pt idx="210">
                  <c:v>2009</c:v>
                </c:pt>
                <c:pt idx="211">
                  <c:v>2010</c:v>
                </c:pt>
                <c:pt idx="212">
                  <c:v>2011</c:v>
                </c:pt>
                <c:pt idx="213">
                  <c:v>2012</c:v>
                </c:pt>
                <c:pt idx="214">
                  <c:v>2013</c:v>
                </c:pt>
                <c:pt idx="215">
                  <c:v>2014</c:v>
                </c:pt>
                <c:pt idx="216">
                  <c:v>2015</c:v>
                </c:pt>
                <c:pt idx="217">
                  <c:v>2016</c:v>
                </c:pt>
                <c:pt idx="218">
                  <c:v>2017</c:v>
                </c:pt>
                <c:pt idx="219">
                  <c:v>2018</c:v>
                </c:pt>
                <c:pt idx="220">
                  <c:v>2019</c:v>
                </c:pt>
                <c:pt idx="221">
                  <c:v>2020</c:v>
                </c:pt>
                <c:pt idx="222">
                  <c:v>2021</c:v>
                </c:pt>
                <c:pt idx="223">
                  <c:v>2022</c:v>
                </c:pt>
                <c:pt idx="224">
                  <c:v>2023</c:v>
                </c:pt>
                <c:pt idx="225">
                  <c:v>2024</c:v>
                </c:pt>
                <c:pt idx="226">
                  <c:v>2025</c:v>
                </c:pt>
                <c:pt idx="227">
                  <c:v>2026</c:v>
                </c:pt>
                <c:pt idx="228">
                  <c:v>2027</c:v>
                </c:pt>
                <c:pt idx="229">
                  <c:v>2028</c:v>
                </c:pt>
                <c:pt idx="230">
                  <c:v>2029</c:v>
                </c:pt>
                <c:pt idx="231">
                  <c:v>2030</c:v>
                </c:pt>
                <c:pt idx="232">
                  <c:v>2031</c:v>
                </c:pt>
                <c:pt idx="233">
                  <c:v>2032</c:v>
                </c:pt>
                <c:pt idx="234">
                  <c:v>2033</c:v>
                </c:pt>
                <c:pt idx="235">
                  <c:v>2034</c:v>
                </c:pt>
                <c:pt idx="236">
                  <c:v>2035</c:v>
                </c:pt>
                <c:pt idx="237">
                  <c:v>2036</c:v>
                </c:pt>
                <c:pt idx="238">
                  <c:v>2037</c:v>
                </c:pt>
                <c:pt idx="239">
                  <c:v>2038</c:v>
                </c:pt>
                <c:pt idx="240">
                  <c:v>2039</c:v>
                </c:pt>
                <c:pt idx="241">
                  <c:v>2040</c:v>
                </c:pt>
                <c:pt idx="242">
                  <c:v>2041</c:v>
                </c:pt>
                <c:pt idx="243">
                  <c:v>2042</c:v>
                </c:pt>
                <c:pt idx="244">
                  <c:v>2043</c:v>
                </c:pt>
                <c:pt idx="245">
                  <c:v>2044</c:v>
                </c:pt>
                <c:pt idx="246">
                  <c:v>2045</c:v>
                </c:pt>
                <c:pt idx="247">
                  <c:v>2046</c:v>
                </c:pt>
                <c:pt idx="248">
                  <c:v>2047</c:v>
                </c:pt>
                <c:pt idx="249">
                  <c:v>2048</c:v>
                </c:pt>
                <c:pt idx="250">
                  <c:v>2049</c:v>
                </c:pt>
                <c:pt idx="251">
                  <c:v>2050</c:v>
                </c:pt>
                <c:pt idx="252">
                  <c:v>2051</c:v>
                </c:pt>
                <c:pt idx="253">
                  <c:v>2052</c:v>
                </c:pt>
                <c:pt idx="254">
                  <c:v>2053</c:v>
                </c:pt>
                <c:pt idx="255">
                  <c:v>2054</c:v>
                </c:pt>
                <c:pt idx="256">
                  <c:v>2055</c:v>
                </c:pt>
                <c:pt idx="257">
                  <c:v>2056</c:v>
                </c:pt>
                <c:pt idx="258">
                  <c:v>2057</c:v>
                </c:pt>
                <c:pt idx="259">
                  <c:v>2058</c:v>
                </c:pt>
                <c:pt idx="260">
                  <c:v>2059</c:v>
                </c:pt>
                <c:pt idx="261">
                  <c:v>2060</c:v>
                </c:pt>
                <c:pt idx="262">
                  <c:v>2061</c:v>
                </c:pt>
                <c:pt idx="263">
                  <c:v>2062</c:v>
                </c:pt>
                <c:pt idx="264">
                  <c:v>2063</c:v>
                </c:pt>
                <c:pt idx="265">
                  <c:v>2064</c:v>
                </c:pt>
                <c:pt idx="266">
                  <c:v>2065</c:v>
                </c:pt>
                <c:pt idx="267">
                  <c:v>2066</c:v>
                </c:pt>
                <c:pt idx="268">
                  <c:v>2067</c:v>
                </c:pt>
                <c:pt idx="269">
                  <c:v>2068</c:v>
                </c:pt>
                <c:pt idx="270">
                  <c:v>2069</c:v>
                </c:pt>
                <c:pt idx="271">
                  <c:v>2070</c:v>
                </c:pt>
                <c:pt idx="272">
                  <c:v>2071</c:v>
                </c:pt>
                <c:pt idx="273">
                  <c:v>2072</c:v>
                </c:pt>
                <c:pt idx="274">
                  <c:v>2073</c:v>
                </c:pt>
                <c:pt idx="275">
                  <c:v>2074</c:v>
                </c:pt>
                <c:pt idx="276">
                  <c:v>2075</c:v>
                </c:pt>
                <c:pt idx="277">
                  <c:v>2076</c:v>
                </c:pt>
                <c:pt idx="278">
                  <c:v>2077</c:v>
                </c:pt>
                <c:pt idx="279">
                  <c:v>2078</c:v>
                </c:pt>
                <c:pt idx="280">
                  <c:v>2079</c:v>
                </c:pt>
                <c:pt idx="281">
                  <c:v>2080</c:v>
                </c:pt>
                <c:pt idx="282">
                  <c:v>2081</c:v>
                </c:pt>
                <c:pt idx="283">
                  <c:v>2082</c:v>
                </c:pt>
                <c:pt idx="284">
                  <c:v>2083</c:v>
                </c:pt>
                <c:pt idx="285">
                  <c:v>2084</c:v>
                </c:pt>
                <c:pt idx="286">
                  <c:v>2085</c:v>
                </c:pt>
                <c:pt idx="287">
                  <c:v>2086</c:v>
                </c:pt>
                <c:pt idx="288">
                  <c:v>2087</c:v>
                </c:pt>
                <c:pt idx="289">
                  <c:v>2088</c:v>
                </c:pt>
                <c:pt idx="290">
                  <c:v>2089</c:v>
                </c:pt>
                <c:pt idx="291">
                  <c:v>2090</c:v>
                </c:pt>
                <c:pt idx="292">
                  <c:v>2091</c:v>
                </c:pt>
                <c:pt idx="293">
                  <c:v>2092</c:v>
                </c:pt>
                <c:pt idx="294">
                  <c:v>2093</c:v>
                </c:pt>
                <c:pt idx="295">
                  <c:v>2094</c:v>
                </c:pt>
                <c:pt idx="296">
                  <c:v>2095</c:v>
                </c:pt>
                <c:pt idx="297">
                  <c:v>2096</c:v>
                </c:pt>
                <c:pt idx="298">
                  <c:v>2097</c:v>
                </c:pt>
                <c:pt idx="299">
                  <c:v>2098</c:v>
                </c:pt>
                <c:pt idx="300">
                  <c:v>2099</c:v>
                </c:pt>
                <c:pt idx="301">
                  <c:v>2100</c:v>
                </c:pt>
                <c:pt idx="302">
                  <c:v>2101</c:v>
                </c:pt>
                <c:pt idx="303">
                  <c:v>2102</c:v>
                </c:pt>
                <c:pt idx="304">
                  <c:v>2103</c:v>
                </c:pt>
                <c:pt idx="305">
                  <c:v>2104</c:v>
                </c:pt>
                <c:pt idx="306">
                  <c:v>2105</c:v>
                </c:pt>
                <c:pt idx="307">
                  <c:v>2106</c:v>
                </c:pt>
                <c:pt idx="308">
                  <c:v>2107</c:v>
                </c:pt>
                <c:pt idx="309">
                  <c:v>2108</c:v>
                </c:pt>
                <c:pt idx="310">
                  <c:v>2109</c:v>
                </c:pt>
                <c:pt idx="311">
                  <c:v>2110</c:v>
                </c:pt>
                <c:pt idx="312">
                  <c:v>2111</c:v>
                </c:pt>
                <c:pt idx="313">
                  <c:v>2112</c:v>
                </c:pt>
                <c:pt idx="314">
                  <c:v>2113</c:v>
                </c:pt>
                <c:pt idx="315">
                  <c:v>2114</c:v>
                </c:pt>
                <c:pt idx="316">
                  <c:v>2115</c:v>
                </c:pt>
                <c:pt idx="317">
                  <c:v>2116</c:v>
                </c:pt>
                <c:pt idx="318">
                  <c:v>2117</c:v>
                </c:pt>
                <c:pt idx="319">
                  <c:v>2118</c:v>
                </c:pt>
                <c:pt idx="320">
                  <c:v>2119</c:v>
                </c:pt>
                <c:pt idx="321">
                  <c:v>2120</c:v>
                </c:pt>
                <c:pt idx="322">
                  <c:v>2121</c:v>
                </c:pt>
                <c:pt idx="323">
                  <c:v>2122</c:v>
                </c:pt>
                <c:pt idx="324">
                  <c:v>2123</c:v>
                </c:pt>
                <c:pt idx="325">
                  <c:v>2124</c:v>
                </c:pt>
                <c:pt idx="326">
                  <c:v>2125</c:v>
                </c:pt>
                <c:pt idx="327">
                  <c:v>2126</c:v>
                </c:pt>
                <c:pt idx="328">
                  <c:v>2127</c:v>
                </c:pt>
                <c:pt idx="329">
                  <c:v>2128</c:v>
                </c:pt>
                <c:pt idx="330">
                  <c:v>2129</c:v>
                </c:pt>
                <c:pt idx="331">
                  <c:v>2130</c:v>
                </c:pt>
                <c:pt idx="332">
                  <c:v>2131</c:v>
                </c:pt>
                <c:pt idx="333">
                  <c:v>2132</c:v>
                </c:pt>
                <c:pt idx="334">
                  <c:v>2133</c:v>
                </c:pt>
                <c:pt idx="335">
                  <c:v>2134</c:v>
                </c:pt>
                <c:pt idx="336">
                  <c:v>2135</c:v>
                </c:pt>
                <c:pt idx="337">
                  <c:v>2136</c:v>
                </c:pt>
                <c:pt idx="338">
                  <c:v>2137</c:v>
                </c:pt>
                <c:pt idx="339">
                  <c:v>2138</c:v>
                </c:pt>
                <c:pt idx="340">
                  <c:v>2139</c:v>
                </c:pt>
                <c:pt idx="341">
                  <c:v>2140</c:v>
                </c:pt>
                <c:pt idx="342">
                  <c:v>2141</c:v>
                </c:pt>
                <c:pt idx="343">
                  <c:v>2142</c:v>
                </c:pt>
                <c:pt idx="344">
                  <c:v>2143</c:v>
                </c:pt>
                <c:pt idx="345">
                  <c:v>2144</c:v>
                </c:pt>
                <c:pt idx="346">
                  <c:v>2145</c:v>
                </c:pt>
                <c:pt idx="347">
                  <c:v>2146</c:v>
                </c:pt>
                <c:pt idx="348">
                  <c:v>2147</c:v>
                </c:pt>
                <c:pt idx="349">
                  <c:v>2148</c:v>
                </c:pt>
                <c:pt idx="350">
                  <c:v>2149</c:v>
                </c:pt>
                <c:pt idx="351">
                  <c:v>2150</c:v>
                </c:pt>
              </c:numCache>
            </c:numRef>
          </c:xVal>
          <c:yVal>
            <c:numRef>
              <c:f>'Pennsylvania anthracite'!$F$8:$F$359</c:f>
              <c:numCache>
                <c:formatCode>0.0</c:formatCode>
                <c:ptCount val="352"/>
                <c:pt idx="0" formatCode="General">
                  <c:v>0</c:v>
                </c:pt>
                <c:pt idx="1">
                  <c:v>2.2679618519018918E-7</c:v>
                </c:pt>
                <c:pt idx="2">
                  <c:v>4.5359237038037835E-7</c:v>
                </c:pt>
                <c:pt idx="3">
                  <c:v>6.803885555705675E-7</c:v>
                </c:pt>
                <c:pt idx="4">
                  <c:v>9.5254397779879448E-7</c:v>
                </c:pt>
                <c:pt idx="5">
                  <c:v>1.2700586370650592E-6</c:v>
                </c:pt>
                <c:pt idx="6">
                  <c:v>1.6329325333693619E-6</c:v>
                </c:pt>
                <c:pt idx="7">
                  <c:v>1.9958064296736647E-6</c:v>
                </c:pt>
                <c:pt idx="8">
                  <c:v>2.4040395630160054E-6</c:v>
                </c:pt>
                <c:pt idx="9">
                  <c:v>3.2658650667387242E-6</c:v>
                </c:pt>
                <c:pt idx="10">
                  <c:v>4.5812829408418212E-6</c:v>
                </c:pt>
                <c:pt idx="11">
                  <c:v>6.5770893705154859E-6</c:v>
                </c:pt>
                <c:pt idx="12">
                  <c:v>8.5728958001891506E-6</c:v>
                </c:pt>
                <c:pt idx="13">
                  <c:v>1.065942070393889E-5</c:v>
                </c:pt>
                <c:pt idx="14">
                  <c:v>1.274594560768863E-5</c:v>
                </c:pt>
                <c:pt idx="15">
                  <c:v>1.4923188985514445E-5</c:v>
                </c:pt>
                <c:pt idx="16">
                  <c:v>1.7100432363340262E-5</c:v>
                </c:pt>
                <c:pt idx="17">
                  <c:v>1.9277675741166079E-5</c:v>
                </c:pt>
                <c:pt idx="18">
                  <c:v>2.1454919118991895E-5</c:v>
                </c:pt>
                <c:pt idx="19">
                  <c:v>2.3904317919045937E-5</c:v>
                </c:pt>
                <c:pt idx="20">
                  <c:v>2.6807309089480359E-5</c:v>
                </c:pt>
                <c:pt idx="21">
                  <c:v>3.0495015060672834E-5</c:v>
                </c:pt>
                <c:pt idx="22">
                  <c:v>3.3820754320301769E-5</c:v>
                </c:pt>
                <c:pt idx="23">
                  <c:v>3.8840207490931033E-5</c:v>
                </c:pt>
                <c:pt idx="24">
                  <c:v>4.8008216481059239E-5</c:v>
                </c:pt>
                <c:pt idx="25">
                  <c:v>6.1868184950402078E-5</c:v>
                </c:pt>
                <c:pt idx="26">
                  <c:v>1.0098508378726515E-4</c:v>
                </c:pt>
                <c:pt idx="27">
                  <c:v>1.5667987657679028E-4</c:v>
                </c:pt>
                <c:pt idx="28">
                  <c:v>2.289888507086079E-4</c:v>
                </c:pt>
                <c:pt idx="29">
                  <c:v>3.2237807666148327E-4</c:v>
                </c:pt>
                <c:pt idx="30">
                  <c:v>4.5771824658135828E-4</c:v>
                </c:pt>
                <c:pt idx="31">
                  <c:v>6.7071615186457627E-4</c:v>
                </c:pt>
                <c:pt idx="32">
                  <c:v>9.0473171322173946E-4</c:v>
                </c:pt>
                <c:pt idx="33">
                  <c:v>1.3600940010313422E-3</c:v>
                </c:pt>
                <c:pt idx="34">
                  <c:v>1.9618069599594331E-3</c:v>
                </c:pt>
                <c:pt idx="35">
                  <c:v>2.4259970624813786E-3</c:v>
                </c:pt>
                <c:pt idx="36">
                  <c:v>3.1154021271903674E-3</c:v>
                </c:pt>
                <c:pt idx="37">
                  <c:v>3.9543810904017675E-3</c:v>
                </c:pt>
                <c:pt idx="38">
                  <c:v>5.0102987694102506E-3</c:v>
                </c:pt>
                <c:pt idx="39">
                  <c:v>5.8973213293075991E-3</c:v>
                </c:pt>
                <c:pt idx="40">
                  <c:v>6.8701209279980998E-3</c:v>
                </c:pt>
                <c:pt idx="41">
                  <c:v>7.8945193803735911E-3</c:v>
                </c:pt>
                <c:pt idx="42">
                  <c:v>9.0396096906598927E-3</c:v>
                </c:pt>
                <c:pt idx="43">
                  <c:v>1.0346850201509772E-2</c:v>
                </c:pt>
                <c:pt idx="44">
                  <c:v>1.1849508284551667E-2</c:v>
                </c:pt>
                <c:pt idx="45">
                  <c:v>1.3779682619785513E-2</c:v>
                </c:pt>
                <c:pt idx="46">
                  <c:v>1.6161729303131256E-2</c:v>
                </c:pt>
                <c:pt idx="47">
                  <c:v>1.8912493966881282E-2</c:v>
                </c:pt>
                <c:pt idx="48">
                  <c:v>2.2293039885438536E-2</c:v>
                </c:pt>
                <c:pt idx="49">
                  <c:v>2.592306523644396E-2</c:v>
                </c:pt>
                <c:pt idx="50">
                  <c:v>2.9707648558917537E-2</c:v>
                </c:pt>
                <c:pt idx="51">
                  <c:v>3.3633008809462364E-2</c:v>
                </c:pt>
                <c:pt idx="52">
                  <c:v>3.8906993524361097E-2</c:v>
                </c:pt>
                <c:pt idx="53">
                  <c:v>4.4724012674786033E-2</c:v>
                </c:pt>
                <c:pt idx="54">
                  <c:v>5.0759181632636971E-2</c:v>
                </c:pt>
                <c:pt idx="55">
                  <c:v>5.7715603952208379E-2</c:v>
                </c:pt>
                <c:pt idx="56">
                  <c:v>6.552345906711235E-2</c:v>
                </c:pt>
                <c:pt idx="57">
                  <c:v>7.3651597569111396E-2</c:v>
                </c:pt>
                <c:pt idx="58">
                  <c:v>8.146991796718478E-2</c:v>
                </c:pt>
                <c:pt idx="59">
                  <c:v>8.94603449183516E-2</c:v>
                </c:pt>
                <c:pt idx="60">
                  <c:v>9.8615665115510787E-2</c:v>
                </c:pt>
                <c:pt idx="61">
                  <c:v>0.1085801569068542</c:v>
                </c:pt>
                <c:pt idx="62">
                  <c:v>0.11787440609676771</c:v>
                </c:pt>
                <c:pt idx="63">
                  <c:v>0.12711538449151899</c:v>
                </c:pt>
                <c:pt idx="64">
                  <c:v>0.13824424245452038</c:v>
                </c:pt>
                <c:pt idx="65">
                  <c:v>0.15009857786907763</c:v>
                </c:pt>
                <c:pt idx="66">
                  <c:v>0.16105464435450631</c:v>
                </c:pt>
                <c:pt idx="67">
                  <c:v>0.17537362743742504</c:v>
                </c:pt>
                <c:pt idx="68">
                  <c:v>0.18994947443658175</c:v>
                </c:pt>
                <c:pt idx="69">
                  <c:v>0.20601364962861529</c:v>
                </c:pt>
                <c:pt idx="70">
                  <c:v>0.2226521063273858</c:v>
                </c:pt>
                <c:pt idx="71">
                  <c:v>0.2407577574433124</c:v>
                </c:pt>
                <c:pt idx="72">
                  <c:v>0.25841599774568214</c:v>
                </c:pt>
                <c:pt idx="73">
                  <c:v>0.28085446206661885</c:v>
                </c:pt>
                <c:pt idx="74">
                  <c:v>0.30410255066692543</c:v>
                </c:pt>
                <c:pt idx="75">
                  <c:v>0.32611763096216434</c:v>
                </c:pt>
                <c:pt idx="76">
                  <c:v>0.34709240441341377</c:v>
                </c:pt>
                <c:pt idx="77">
                  <c:v>0.36777008846983517</c:v>
                </c:pt>
                <c:pt idx="78">
                  <c:v>0.39104873558813424</c:v>
                </c:pt>
                <c:pt idx="79">
                  <c:v>0.41072528413048748</c:v>
                </c:pt>
                <c:pt idx="80">
                  <c:v>0.43812933299214707</c:v>
                </c:pt>
                <c:pt idx="81">
                  <c:v>0.46412000526421149</c:v>
                </c:pt>
                <c:pt idx="82">
                  <c:v>0.49307735851862017</c:v>
                </c:pt>
                <c:pt idx="83">
                  <c:v>0.52493882603817232</c:v>
                </c:pt>
                <c:pt idx="84">
                  <c:v>0.55982628899997389</c:v>
                </c:pt>
                <c:pt idx="85">
                  <c:v>0.59353441361315595</c:v>
                </c:pt>
                <c:pt idx="86">
                  <c:v>0.62831222424815703</c:v>
                </c:pt>
                <c:pt idx="87">
                  <c:v>0.66372458520814759</c:v>
                </c:pt>
                <c:pt idx="88">
                  <c:v>0.7019063552926802</c:v>
                </c:pt>
                <c:pt idx="89">
                  <c:v>0.74419891237439972</c:v>
                </c:pt>
                <c:pt idx="90">
                  <c:v>0.78551842854628773</c:v>
                </c:pt>
                <c:pt idx="91">
                  <c:v>0.82767407058537734</c:v>
                </c:pt>
                <c:pt idx="92">
                  <c:v>0.87363697647264438</c:v>
                </c:pt>
                <c:pt idx="93">
                  <c:v>0.9212392314109521</c:v>
                </c:pt>
                <c:pt idx="94">
                  <c:v>0.97019776291690207</c:v>
                </c:pt>
                <c:pt idx="95">
                  <c:v>1.017299811611295</c:v>
                </c:pt>
                <c:pt idx="96">
                  <c:v>1.0699159251119357</c:v>
                </c:pt>
                <c:pt idx="97">
                  <c:v>1.1192178605152838</c:v>
                </c:pt>
                <c:pt idx="98">
                  <c:v>1.1669463747042566</c:v>
                </c:pt>
                <c:pt idx="99">
                  <c:v>1.2153742956697051</c:v>
                </c:pt>
                <c:pt idx="100">
                  <c:v>1.2701845878729121</c:v>
                </c:pt>
                <c:pt idx="101">
                  <c:v>1.3222278849701723</c:v>
                </c:pt>
                <c:pt idx="102">
                  <c:v>1.3834371517062634</c:v>
                </c:pt>
                <c:pt idx="103">
                  <c:v>1.420970645760679</c:v>
                </c:pt>
                <c:pt idx="104">
                  <c:v>1.4886530394031792</c:v>
                </c:pt>
                <c:pt idx="105">
                  <c:v>1.5550196894922543</c:v>
                </c:pt>
                <c:pt idx="106">
                  <c:v>1.6254715203820236</c:v>
                </c:pt>
                <c:pt idx="107">
                  <c:v>1.6901378359258603</c:v>
                </c:pt>
                <c:pt idx="108">
                  <c:v>1.7677967615155832</c:v>
                </c:pt>
                <c:pt idx="109">
                  <c:v>1.8433369045265444</c:v>
                </c:pt>
                <c:pt idx="110">
                  <c:v>1.9168826971393409</c:v>
                </c:pt>
                <c:pt idx="111">
                  <c:v>1.9935264140581122</c:v>
                </c:pt>
                <c:pt idx="112">
                  <c:v>2.0755940352276707</c:v>
                </c:pt>
                <c:pt idx="113">
                  <c:v>2.1521255896394638</c:v>
                </c:pt>
                <c:pt idx="114">
                  <c:v>2.2351556022771821</c:v>
                </c:pt>
                <c:pt idx="115">
                  <c:v>2.3175474875604785</c:v>
                </c:pt>
                <c:pt idx="116">
                  <c:v>2.398282448902751</c:v>
                </c:pt>
                <c:pt idx="117">
                  <c:v>2.4777323213711737</c:v>
                </c:pt>
                <c:pt idx="118">
                  <c:v>2.5680986363099181</c:v>
                </c:pt>
                <c:pt idx="119">
                  <c:v>2.6577521517038587</c:v>
                </c:pt>
                <c:pt idx="120">
                  <c:v>2.7376680522310881</c:v>
                </c:pt>
                <c:pt idx="121">
                  <c:v>2.8189502165227709</c:v>
                </c:pt>
                <c:pt idx="122">
                  <c:v>2.9010263507139369</c:v>
                </c:pt>
                <c:pt idx="123">
                  <c:v>2.9506339538510216</c:v>
                </c:pt>
                <c:pt idx="124">
                  <c:v>3.0353096785335527</c:v>
                </c:pt>
                <c:pt idx="125">
                  <c:v>3.1150755860429293</c:v>
                </c:pt>
                <c:pt idx="126">
                  <c:v>3.1711551603330634</c:v>
                </c:pt>
                <c:pt idx="127">
                  <c:v>3.2477555283361821</c:v>
                </c:pt>
                <c:pt idx="128">
                  <c:v>3.3204170017996089</c:v>
                </c:pt>
                <c:pt idx="129">
                  <c:v>3.3887716202421974</c:v>
                </c:pt>
                <c:pt idx="130">
                  <c:v>3.4557474321841068</c:v>
                </c:pt>
                <c:pt idx="131">
                  <c:v>3.5186922975506794</c:v>
                </c:pt>
                <c:pt idx="132">
                  <c:v>3.5728019228978058</c:v>
                </c:pt>
                <c:pt idx="133">
                  <c:v>3.6180298186362609</c:v>
                </c:pt>
                <c:pt idx="134">
                  <c:v>3.6629729699498403</c:v>
                </c:pt>
                <c:pt idx="135">
                  <c:v>3.7148351712004106</c:v>
                </c:pt>
                <c:pt idx="136">
                  <c:v>3.7621528232346622</c:v>
                </c:pt>
                <c:pt idx="137">
                  <c:v>3.81166654454448</c:v>
                </c:pt>
                <c:pt idx="138">
                  <c:v>3.8587099092723625</c:v>
                </c:pt>
                <c:pt idx="139">
                  <c:v>3.9005302431306808</c:v>
                </c:pt>
                <c:pt idx="140">
                  <c:v>3.9472388058868773</c:v>
                </c:pt>
                <c:pt idx="141">
                  <c:v>3.9939448856784381</c:v>
                </c:pt>
                <c:pt idx="142">
                  <c:v>4.0450813173639659</c:v>
                </c:pt>
                <c:pt idx="143">
                  <c:v>4.0998097125575157</c:v>
                </c:pt>
                <c:pt idx="144">
                  <c:v>4.1548246792460093</c:v>
                </c:pt>
                <c:pt idx="145">
                  <c:v>4.2126135837252709</c:v>
                </c:pt>
                <c:pt idx="146">
                  <c:v>4.2624487877204107</c:v>
                </c:pt>
                <c:pt idx="147">
                  <c:v>4.3173396996171594</c:v>
                </c:pt>
                <c:pt idx="148">
                  <c:v>4.3692216031059301</c:v>
                </c:pt>
                <c:pt idx="149">
                  <c:v>4.4210580920193934</c:v>
                </c:pt>
                <c:pt idx="150">
                  <c:v>4.4597966948193593</c:v>
                </c:pt>
                <c:pt idx="151">
                  <c:v>4.4997826766378708</c:v>
                </c:pt>
                <c:pt idx="152">
                  <c:v>4.5384922495261319</c:v>
                </c:pt>
                <c:pt idx="153">
                  <c:v>4.5753085278604253</c:v>
                </c:pt>
                <c:pt idx="154">
                  <c:v>4.6033849884022295</c:v>
                </c:pt>
                <c:pt idx="155">
                  <c:v>4.6297686422177744</c:v>
                </c:pt>
                <c:pt idx="156">
                  <c:v>4.6535414183494099</c:v>
                </c:pt>
                <c:pt idx="157">
                  <c:v>4.6797590573573959</c:v>
                </c:pt>
                <c:pt idx="158">
                  <c:v>4.7027453043187917</c:v>
                </c:pt>
                <c:pt idx="159">
                  <c:v>4.7219513124654373</c:v>
                </c:pt>
                <c:pt idx="160">
                  <c:v>4.7406837701774061</c:v>
                </c:pt>
                <c:pt idx="161">
                  <c:v>4.7577542654443015</c:v>
                </c:pt>
                <c:pt idx="162">
                  <c:v>4.7735810104316139</c:v>
                </c:pt>
                <c:pt idx="163">
                  <c:v>4.788906989442026</c:v>
                </c:pt>
                <c:pt idx="164">
                  <c:v>4.8054785331015024</c:v>
                </c:pt>
                <c:pt idx="165">
                  <c:v>4.8210675956867348</c:v>
                </c:pt>
                <c:pt idx="166">
                  <c:v>4.8345538040428844</c:v>
                </c:pt>
                <c:pt idx="167">
                  <c:v>4.8462936817730693</c:v>
                </c:pt>
                <c:pt idx="168">
                  <c:v>4.8574121379558335</c:v>
                </c:pt>
                <c:pt idx="169">
                  <c:v>4.8678093822696926</c:v>
                </c:pt>
                <c:pt idx="170">
                  <c:v>4.8773103280596803</c:v>
                </c:pt>
                <c:pt idx="171">
                  <c:v>4.8861363284025421</c:v>
                </c:pt>
                <c:pt idx="172">
                  <c:v>4.8940533296351614</c:v>
                </c:pt>
                <c:pt idx="173">
                  <c:v>4.9004997844030074</c:v>
                </c:pt>
                <c:pt idx="174">
                  <c:v>4.9066958561824032</c:v>
                </c:pt>
                <c:pt idx="175">
                  <c:v>4.9126986976120168</c:v>
                </c:pt>
                <c:pt idx="176">
                  <c:v>4.9183259645589557</c:v>
                </c:pt>
                <c:pt idx="177">
                  <c:v>4.9239759111244137</c:v>
                </c:pt>
                <c:pt idx="178">
                  <c:v>4.9292929208900125</c:v>
                </c:pt>
                <c:pt idx="179">
                  <c:v>4.9338624104292244</c:v>
                </c:pt>
                <c:pt idx="180">
                  <c:v>4.938248648650803</c:v>
                </c:pt>
                <c:pt idx="181">
                  <c:v>4.9437425594408504</c:v>
                </c:pt>
                <c:pt idx="182">
                  <c:v>4.9486622222899959</c:v>
                </c:pt>
                <c:pt idx="183">
                  <c:v>4.9528252930653469</c:v>
                </c:pt>
                <c:pt idx="184">
                  <c:v>4.9565347714703174</c:v>
                </c:pt>
                <c:pt idx="185">
                  <c:v>4.960310233957407</c:v>
                </c:pt>
                <c:pt idx="186">
                  <c:v>4.9645815999111864</c:v>
                </c:pt>
                <c:pt idx="187">
                  <c:v>4.9684751923664789</c:v>
                </c:pt>
                <c:pt idx="188">
                  <c:v>4.9717051864413833</c:v>
                </c:pt>
                <c:pt idx="189">
                  <c:v>4.97492978276708</c:v>
                </c:pt>
                <c:pt idx="190">
                  <c:v>4.9779670336504083</c:v>
                </c:pt>
                <c:pt idx="191">
                  <c:v>4.9811478474261461</c:v>
                </c:pt>
                <c:pt idx="192">
                  <c:v>4.9842731714328465</c:v>
                </c:pt>
                <c:pt idx="193">
                  <c:v>4.9874327697862375</c:v>
                </c:pt>
                <c:pt idx="194">
                  <c:v>4.9913538608253925</c:v>
                </c:pt>
                <c:pt idx="195">
                  <c:v>4.9955686701608784</c:v>
                </c:pt>
                <c:pt idx="196">
                  <c:v>4.9998428692526034</c:v>
                </c:pt>
                <c:pt idx="197">
                  <c:v>5.0041681682464061</c:v>
                </c:pt>
                <c:pt idx="198">
                  <c:v>5.008424623711786</c:v>
                </c:pt>
                <c:pt idx="199">
                  <c:v>5.0131889075872733</c:v>
                </c:pt>
                <c:pt idx="200">
                  <c:v>5.0175141394494052</c:v>
                </c:pt>
                <c:pt idx="201">
                  <c:v>5.0216619903863604</c:v>
                </c:pt>
                <c:pt idx="202">
                  <c:v>5.0234219442055768</c:v>
                </c:pt>
                <c:pt idx="203">
                  <c:v>5.0246621727939962</c:v>
                </c:pt>
                <c:pt idx="204">
                  <c:v>5.0258344995117543</c:v>
                </c:pt>
                <c:pt idx="205">
                  <c:v>5.0273817638684992</c:v>
                </c:pt>
                <c:pt idx="206">
                  <c:v>5.0289274043645582</c:v>
                </c:pt>
                <c:pt idx="207">
                  <c:v>5.0303224149990768</c:v>
                </c:pt>
                <c:pt idx="208">
                  <c:v>5.0317453242859278</c:v>
                </c:pt>
                <c:pt idx="209">
                  <c:v>5.0332882160122221</c:v>
                </c:pt>
                <c:pt idx="210">
                  <c:v>5.0348607533022394</c:v>
                </c:pt>
              </c:numCache>
            </c:numRef>
          </c:yVal>
          <c:smooth val="1"/>
          <c:extLst>
            <c:ext xmlns:c16="http://schemas.microsoft.com/office/drawing/2014/chart" uri="{C3380CC4-5D6E-409C-BE32-E72D297353CC}">
              <c16:uniqueId val="{00000000-AA9F-5947-B0E5-E588025BBF4E}"/>
            </c:ext>
          </c:extLst>
        </c:ser>
        <c:ser>
          <c:idx val="1"/>
          <c:order val="1"/>
          <c:tx>
            <c:strRef>
              <c:f>'Pennsylvania anthracite'!$J$7</c:f>
              <c:strCache>
                <c:ptCount val="1"/>
                <c:pt idx="0">
                  <c:v>q l</c:v>
                </c:pt>
              </c:strCache>
            </c:strRef>
          </c:tx>
          <c:spPr>
            <a:ln w="15875">
              <a:solidFill>
                <a:srgbClr val="808080"/>
              </a:solidFill>
              <a:prstDash val="dash"/>
            </a:ln>
          </c:spPr>
          <c:marker>
            <c:symbol val="none"/>
          </c:marker>
          <c:xVal>
            <c:numRef>
              <c:f>'Pennsylvania anthracite'!$D$9:$D$359</c:f>
              <c:numCache>
                <c:formatCode>General</c:formatCode>
                <c:ptCount val="351"/>
                <c:pt idx="0">
                  <c:v>1800</c:v>
                </c:pt>
                <c:pt idx="1">
                  <c:v>1801</c:v>
                </c:pt>
                <c:pt idx="2">
                  <c:v>1802</c:v>
                </c:pt>
                <c:pt idx="3">
                  <c:v>1803</c:v>
                </c:pt>
                <c:pt idx="4">
                  <c:v>1804</c:v>
                </c:pt>
                <c:pt idx="5">
                  <c:v>1805</c:v>
                </c:pt>
                <c:pt idx="6">
                  <c:v>1806</c:v>
                </c:pt>
                <c:pt idx="7">
                  <c:v>1807</c:v>
                </c:pt>
                <c:pt idx="8">
                  <c:v>1808</c:v>
                </c:pt>
                <c:pt idx="9">
                  <c:v>1809</c:v>
                </c:pt>
                <c:pt idx="10">
                  <c:v>1810</c:v>
                </c:pt>
                <c:pt idx="11">
                  <c:v>1811</c:v>
                </c:pt>
                <c:pt idx="12">
                  <c:v>1812</c:v>
                </c:pt>
                <c:pt idx="13">
                  <c:v>1813</c:v>
                </c:pt>
                <c:pt idx="14">
                  <c:v>1814</c:v>
                </c:pt>
                <c:pt idx="15">
                  <c:v>1815</c:v>
                </c:pt>
                <c:pt idx="16">
                  <c:v>1816</c:v>
                </c:pt>
                <c:pt idx="17">
                  <c:v>1817</c:v>
                </c:pt>
                <c:pt idx="18">
                  <c:v>1818</c:v>
                </c:pt>
                <c:pt idx="19">
                  <c:v>1819</c:v>
                </c:pt>
                <c:pt idx="20">
                  <c:v>1820</c:v>
                </c:pt>
                <c:pt idx="21">
                  <c:v>1821</c:v>
                </c:pt>
                <c:pt idx="22">
                  <c:v>1822</c:v>
                </c:pt>
                <c:pt idx="23">
                  <c:v>1823</c:v>
                </c:pt>
                <c:pt idx="24">
                  <c:v>1824</c:v>
                </c:pt>
                <c:pt idx="25">
                  <c:v>1825</c:v>
                </c:pt>
                <c:pt idx="26">
                  <c:v>1826</c:v>
                </c:pt>
                <c:pt idx="27">
                  <c:v>1827</c:v>
                </c:pt>
                <c:pt idx="28">
                  <c:v>1828</c:v>
                </c:pt>
                <c:pt idx="29">
                  <c:v>1829</c:v>
                </c:pt>
                <c:pt idx="30">
                  <c:v>1830</c:v>
                </c:pt>
                <c:pt idx="31">
                  <c:v>1831</c:v>
                </c:pt>
                <c:pt idx="32">
                  <c:v>1832</c:v>
                </c:pt>
                <c:pt idx="33">
                  <c:v>1833</c:v>
                </c:pt>
                <c:pt idx="34">
                  <c:v>1834</c:v>
                </c:pt>
                <c:pt idx="35">
                  <c:v>1835</c:v>
                </c:pt>
                <c:pt idx="36">
                  <c:v>1836</c:v>
                </c:pt>
                <c:pt idx="37">
                  <c:v>1837</c:v>
                </c:pt>
                <c:pt idx="38">
                  <c:v>1838</c:v>
                </c:pt>
                <c:pt idx="39">
                  <c:v>1839</c:v>
                </c:pt>
                <c:pt idx="40">
                  <c:v>1840</c:v>
                </c:pt>
                <c:pt idx="41">
                  <c:v>1841</c:v>
                </c:pt>
                <c:pt idx="42">
                  <c:v>1842</c:v>
                </c:pt>
                <c:pt idx="43">
                  <c:v>1843</c:v>
                </c:pt>
                <c:pt idx="44">
                  <c:v>1844</c:v>
                </c:pt>
                <c:pt idx="45">
                  <c:v>1845</c:v>
                </c:pt>
                <c:pt idx="46">
                  <c:v>1846</c:v>
                </c:pt>
                <c:pt idx="47">
                  <c:v>1847</c:v>
                </c:pt>
                <c:pt idx="48">
                  <c:v>1848</c:v>
                </c:pt>
                <c:pt idx="49">
                  <c:v>1849</c:v>
                </c:pt>
                <c:pt idx="50">
                  <c:v>1850</c:v>
                </c:pt>
                <c:pt idx="51">
                  <c:v>1851</c:v>
                </c:pt>
                <c:pt idx="52">
                  <c:v>1852</c:v>
                </c:pt>
                <c:pt idx="53">
                  <c:v>1853</c:v>
                </c:pt>
                <c:pt idx="54">
                  <c:v>1854</c:v>
                </c:pt>
                <c:pt idx="55">
                  <c:v>1855</c:v>
                </c:pt>
                <c:pt idx="56">
                  <c:v>1856</c:v>
                </c:pt>
                <c:pt idx="57">
                  <c:v>1857</c:v>
                </c:pt>
                <c:pt idx="58">
                  <c:v>1858</c:v>
                </c:pt>
                <c:pt idx="59">
                  <c:v>1859</c:v>
                </c:pt>
                <c:pt idx="60">
                  <c:v>1860</c:v>
                </c:pt>
                <c:pt idx="61">
                  <c:v>1861</c:v>
                </c:pt>
                <c:pt idx="62">
                  <c:v>1862</c:v>
                </c:pt>
                <c:pt idx="63">
                  <c:v>1863</c:v>
                </c:pt>
                <c:pt idx="64">
                  <c:v>1864</c:v>
                </c:pt>
                <c:pt idx="65">
                  <c:v>1865</c:v>
                </c:pt>
                <c:pt idx="66">
                  <c:v>1866</c:v>
                </c:pt>
                <c:pt idx="67">
                  <c:v>1867</c:v>
                </c:pt>
                <c:pt idx="68">
                  <c:v>1868</c:v>
                </c:pt>
                <c:pt idx="69">
                  <c:v>1869</c:v>
                </c:pt>
                <c:pt idx="70">
                  <c:v>1870</c:v>
                </c:pt>
                <c:pt idx="71">
                  <c:v>1871</c:v>
                </c:pt>
                <c:pt idx="72">
                  <c:v>1872</c:v>
                </c:pt>
                <c:pt idx="73">
                  <c:v>1873</c:v>
                </c:pt>
                <c:pt idx="74">
                  <c:v>1874</c:v>
                </c:pt>
                <c:pt idx="75">
                  <c:v>1875</c:v>
                </c:pt>
                <c:pt idx="76">
                  <c:v>1876</c:v>
                </c:pt>
                <c:pt idx="77">
                  <c:v>1877</c:v>
                </c:pt>
                <c:pt idx="78">
                  <c:v>1878</c:v>
                </c:pt>
                <c:pt idx="79">
                  <c:v>1879</c:v>
                </c:pt>
                <c:pt idx="80">
                  <c:v>1880</c:v>
                </c:pt>
                <c:pt idx="81">
                  <c:v>1881</c:v>
                </c:pt>
                <c:pt idx="82">
                  <c:v>1882</c:v>
                </c:pt>
                <c:pt idx="83">
                  <c:v>1883</c:v>
                </c:pt>
                <c:pt idx="84">
                  <c:v>1884</c:v>
                </c:pt>
                <c:pt idx="85">
                  <c:v>1885</c:v>
                </c:pt>
                <c:pt idx="86">
                  <c:v>1886</c:v>
                </c:pt>
                <c:pt idx="87">
                  <c:v>1887</c:v>
                </c:pt>
                <c:pt idx="88">
                  <c:v>1888</c:v>
                </c:pt>
                <c:pt idx="89">
                  <c:v>1889</c:v>
                </c:pt>
                <c:pt idx="90">
                  <c:v>1890</c:v>
                </c:pt>
                <c:pt idx="91">
                  <c:v>1891</c:v>
                </c:pt>
                <c:pt idx="92">
                  <c:v>1892</c:v>
                </c:pt>
                <c:pt idx="93">
                  <c:v>1893</c:v>
                </c:pt>
                <c:pt idx="94">
                  <c:v>1894</c:v>
                </c:pt>
                <c:pt idx="95">
                  <c:v>1895</c:v>
                </c:pt>
                <c:pt idx="96">
                  <c:v>1896</c:v>
                </c:pt>
                <c:pt idx="97">
                  <c:v>1897</c:v>
                </c:pt>
                <c:pt idx="98">
                  <c:v>1898</c:v>
                </c:pt>
                <c:pt idx="99">
                  <c:v>1899</c:v>
                </c:pt>
                <c:pt idx="100">
                  <c:v>1900</c:v>
                </c:pt>
                <c:pt idx="101">
                  <c:v>1901</c:v>
                </c:pt>
                <c:pt idx="102">
                  <c:v>1902</c:v>
                </c:pt>
                <c:pt idx="103">
                  <c:v>1903</c:v>
                </c:pt>
                <c:pt idx="104">
                  <c:v>1904</c:v>
                </c:pt>
                <c:pt idx="105">
                  <c:v>1905</c:v>
                </c:pt>
                <c:pt idx="106">
                  <c:v>1906</c:v>
                </c:pt>
                <c:pt idx="107">
                  <c:v>1907</c:v>
                </c:pt>
                <c:pt idx="108">
                  <c:v>1908</c:v>
                </c:pt>
                <c:pt idx="109">
                  <c:v>1909</c:v>
                </c:pt>
                <c:pt idx="110">
                  <c:v>1910</c:v>
                </c:pt>
                <c:pt idx="111">
                  <c:v>1911</c:v>
                </c:pt>
                <c:pt idx="112">
                  <c:v>1912</c:v>
                </c:pt>
                <c:pt idx="113">
                  <c:v>1913</c:v>
                </c:pt>
                <c:pt idx="114">
                  <c:v>1914</c:v>
                </c:pt>
                <c:pt idx="115">
                  <c:v>1915</c:v>
                </c:pt>
                <c:pt idx="116">
                  <c:v>1916</c:v>
                </c:pt>
                <c:pt idx="117">
                  <c:v>1917</c:v>
                </c:pt>
                <c:pt idx="118">
                  <c:v>1918</c:v>
                </c:pt>
                <c:pt idx="119">
                  <c:v>1919</c:v>
                </c:pt>
                <c:pt idx="120">
                  <c:v>1920</c:v>
                </c:pt>
                <c:pt idx="121">
                  <c:v>1921</c:v>
                </c:pt>
                <c:pt idx="122">
                  <c:v>1922</c:v>
                </c:pt>
                <c:pt idx="123">
                  <c:v>1923</c:v>
                </c:pt>
                <c:pt idx="124">
                  <c:v>1924</c:v>
                </c:pt>
                <c:pt idx="125">
                  <c:v>1925</c:v>
                </c:pt>
                <c:pt idx="126">
                  <c:v>1926</c:v>
                </c:pt>
                <c:pt idx="127">
                  <c:v>1927</c:v>
                </c:pt>
                <c:pt idx="128">
                  <c:v>1928</c:v>
                </c:pt>
                <c:pt idx="129">
                  <c:v>1929</c:v>
                </c:pt>
                <c:pt idx="130">
                  <c:v>1930</c:v>
                </c:pt>
                <c:pt idx="131">
                  <c:v>1931</c:v>
                </c:pt>
                <c:pt idx="132">
                  <c:v>1932</c:v>
                </c:pt>
                <c:pt idx="133">
                  <c:v>1933</c:v>
                </c:pt>
                <c:pt idx="134">
                  <c:v>1934</c:v>
                </c:pt>
                <c:pt idx="135">
                  <c:v>1935</c:v>
                </c:pt>
                <c:pt idx="136">
                  <c:v>1936</c:v>
                </c:pt>
                <c:pt idx="137">
                  <c:v>1937</c:v>
                </c:pt>
                <c:pt idx="138">
                  <c:v>1938</c:v>
                </c:pt>
                <c:pt idx="139">
                  <c:v>1939</c:v>
                </c:pt>
                <c:pt idx="140">
                  <c:v>1940</c:v>
                </c:pt>
                <c:pt idx="141">
                  <c:v>1941</c:v>
                </c:pt>
                <c:pt idx="142">
                  <c:v>1942</c:v>
                </c:pt>
                <c:pt idx="143">
                  <c:v>1943</c:v>
                </c:pt>
                <c:pt idx="144">
                  <c:v>1944</c:v>
                </c:pt>
                <c:pt idx="145">
                  <c:v>1945</c:v>
                </c:pt>
                <c:pt idx="146">
                  <c:v>1946</c:v>
                </c:pt>
                <c:pt idx="147">
                  <c:v>1947</c:v>
                </c:pt>
                <c:pt idx="148">
                  <c:v>1948</c:v>
                </c:pt>
                <c:pt idx="149">
                  <c:v>1949</c:v>
                </c:pt>
                <c:pt idx="150">
                  <c:v>1950</c:v>
                </c:pt>
                <c:pt idx="151">
                  <c:v>1951</c:v>
                </c:pt>
                <c:pt idx="152">
                  <c:v>1952</c:v>
                </c:pt>
                <c:pt idx="153">
                  <c:v>1953</c:v>
                </c:pt>
                <c:pt idx="154">
                  <c:v>1954</c:v>
                </c:pt>
                <c:pt idx="155">
                  <c:v>1955</c:v>
                </c:pt>
                <c:pt idx="156">
                  <c:v>1956</c:v>
                </c:pt>
                <c:pt idx="157">
                  <c:v>1957</c:v>
                </c:pt>
                <c:pt idx="158">
                  <c:v>1958</c:v>
                </c:pt>
                <c:pt idx="159">
                  <c:v>1959</c:v>
                </c:pt>
                <c:pt idx="160">
                  <c:v>1960</c:v>
                </c:pt>
                <c:pt idx="161">
                  <c:v>1961</c:v>
                </c:pt>
                <c:pt idx="162">
                  <c:v>1962</c:v>
                </c:pt>
                <c:pt idx="163">
                  <c:v>1963</c:v>
                </c:pt>
                <c:pt idx="164">
                  <c:v>1964</c:v>
                </c:pt>
                <c:pt idx="165">
                  <c:v>1965</c:v>
                </c:pt>
                <c:pt idx="166">
                  <c:v>1966</c:v>
                </c:pt>
                <c:pt idx="167">
                  <c:v>1967</c:v>
                </c:pt>
                <c:pt idx="168">
                  <c:v>1968</c:v>
                </c:pt>
                <c:pt idx="169">
                  <c:v>1969</c:v>
                </c:pt>
                <c:pt idx="170">
                  <c:v>1970</c:v>
                </c:pt>
                <c:pt idx="171">
                  <c:v>1971</c:v>
                </c:pt>
                <c:pt idx="172">
                  <c:v>1972</c:v>
                </c:pt>
                <c:pt idx="173">
                  <c:v>1973</c:v>
                </c:pt>
                <c:pt idx="174">
                  <c:v>1974</c:v>
                </c:pt>
                <c:pt idx="175">
                  <c:v>1975</c:v>
                </c:pt>
                <c:pt idx="176">
                  <c:v>1976</c:v>
                </c:pt>
                <c:pt idx="177">
                  <c:v>1977</c:v>
                </c:pt>
                <c:pt idx="178">
                  <c:v>1978</c:v>
                </c:pt>
                <c:pt idx="179">
                  <c:v>1979</c:v>
                </c:pt>
                <c:pt idx="180">
                  <c:v>1980</c:v>
                </c:pt>
                <c:pt idx="181">
                  <c:v>1981</c:v>
                </c:pt>
                <c:pt idx="182">
                  <c:v>1982</c:v>
                </c:pt>
                <c:pt idx="183">
                  <c:v>1983</c:v>
                </c:pt>
                <c:pt idx="184">
                  <c:v>1984</c:v>
                </c:pt>
                <c:pt idx="185">
                  <c:v>1985</c:v>
                </c:pt>
                <c:pt idx="186">
                  <c:v>1986</c:v>
                </c:pt>
                <c:pt idx="187">
                  <c:v>1987</c:v>
                </c:pt>
                <c:pt idx="188">
                  <c:v>1988</c:v>
                </c:pt>
                <c:pt idx="189">
                  <c:v>1989</c:v>
                </c:pt>
                <c:pt idx="190">
                  <c:v>1990</c:v>
                </c:pt>
                <c:pt idx="191">
                  <c:v>1991</c:v>
                </c:pt>
                <c:pt idx="192">
                  <c:v>1992</c:v>
                </c:pt>
                <c:pt idx="193">
                  <c:v>1993</c:v>
                </c:pt>
                <c:pt idx="194">
                  <c:v>1994</c:v>
                </c:pt>
                <c:pt idx="195">
                  <c:v>1995</c:v>
                </c:pt>
                <c:pt idx="196">
                  <c:v>1996</c:v>
                </c:pt>
                <c:pt idx="197">
                  <c:v>1997</c:v>
                </c:pt>
                <c:pt idx="198">
                  <c:v>1998</c:v>
                </c:pt>
                <c:pt idx="199">
                  <c:v>1999</c:v>
                </c:pt>
                <c:pt idx="200">
                  <c:v>2000</c:v>
                </c:pt>
                <c:pt idx="201">
                  <c:v>2001</c:v>
                </c:pt>
                <c:pt idx="202">
                  <c:v>2002</c:v>
                </c:pt>
                <c:pt idx="203">
                  <c:v>2003</c:v>
                </c:pt>
                <c:pt idx="204">
                  <c:v>2004</c:v>
                </c:pt>
                <c:pt idx="205">
                  <c:v>2005</c:v>
                </c:pt>
                <c:pt idx="206">
                  <c:v>2006</c:v>
                </c:pt>
                <c:pt idx="207">
                  <c:v>2007</c:v>
                </c:pt>
                <c:pt idx="208">
                  <c:v>2008</c:v>
                </c:pt>
                <c:pt idx="209">
                  <c:v>2009</c:v>
                </c:pt>
                <c:pt idx="210">
                  <c:v>2010</c:v>
                </c:pt>
                <c:pt idx="211">
                  <c:v>2011</c:v>
                </c:pt>
                <c:pt idx="212">
                  <c:v>2012</c:v>
                </c:pt>
                <c:pt idx="213">
                  <c:v>2013</c:v>
                </c:pt>
                <c:pt idx="214">
                  <c:v>2014</c:v>
                </c:pt>
                <c:pt idx="215">
                  <c:v>2015</c:v>
                </c:pt>
                <c:pt idx="216">
                  <c:v>2016</c:v>
                </c:pt>
                <c:pt idx="217">
                  <c:v>2017</c:v>
                </c:pt>
                <c:pt idx="218">
                  <c:v>2018</c:v>
                </c:pt>
                <c:pt idx="219">
                  <c:v>2019</c:v>
                </c:pt>
                <c:pt idx="220">
                  <c:v>2020</c:v>
                </c:pt>
                <c:pt idx="221">
                  <c:v>2021</c:v>
                </c:pt>
                <c:pt idx="222">
                  <c:v>2022</c:v>
                </c:pt>
                <c:pt idx="223">
                  <c:v>2023</c:v>
                </c:pt>
                <c:pt idx="224">
                  <c:v>2024</c:v>
                </c:pt>
                <c:pt idx="225">
                  <c:v>2025</c:v>
                </c:pt>
                <c:pt idx="226">
                  <c:v>2026</c:v>
                </c:pt>
                <c:pt idx="227">
                  <c:v>2027</c:v>
                </c:pt>
                <c:pt idx="228">
                  <c:v>2028</c:v>
                </c:pt>
                <c:pt idx="229">
                  <c:v>2029</c:v>
                </c:pt>
                <c:pt idx="230">
                  <c:v>2030</c:v>
                </c:pt>
                <c:pt idx="231">
                  <c:v>2031</c:v>
                </c:pt>
                <c:pt idx="232">
                  <c:v>2032</c:v>
                </c:pt>
                <c:pt idx="233">
                  <c:v>2033</c:v>
                </c:pt>
                <c:pt idx="234">
                  <c:v>2034</c:v>
                </c:pt>
                <c:pt idx="235">
                  <c:v>2035</c:v>
                </c:pt>
                <c:pt idx="236">
                  <c:v>2036</c:v>
                </c:pt>
                <c:pt idx="237">
                  <c:v>2037</c:v>
                </c:pt>
                <c:pt idx="238">
                  <c:v>2038</c:v>
                </c:pt>
                <c:pt idx="239">
                  <c:v>2039</c:v>
                </c:pt>
                <c:pt idx="240">
                  <c:v>2040</c:v>
                </c:pt>
                <c:pt idx="241">
                  <c:v>2041</c:v>
                </c:pt>
                <c:pt idx="242">
                  <c:v>2042</c:v>
                </c:pt>
                <c:pt idx="243">
                  <c:v>2043</c:v>
                </c:pt>
                <c:pt idx="244">
                  <c:v>2044</c:v>
                </c:pt>
                <c:pt idx="245">
                  <c:v>2045</c:v>
                </c:pt>
                <c:pt idx="246">
                  <c:v>2046</c:v>
                </c:pt>
                <c:pt idx="247">
                  <c:v>2047</c:v>
                </c:pt>
                <c:pt idx="248">
                  <c:v>2048</c:v>
                </c:pt>
                <c:pt idx="249">
                  <c:v>2049</c:v>
                </c:pt>
                <c:pt idx="250">
                  <c:v>2050</c:v>
                </c:pt>
                <c:pt idx="251">
                  <c:v>2051</c:v>
                </c:pt>
                <c:pt idx="252">
                  <c:v>2052</c:v>
                </c:pt>
                <c:pt idx="253">
                  <c:v>2053</c:v>
                </c:pt>
                <c:pt idx="254">
                  <c:v>2054</c:v>
                </c:pt>
                <c:pt idx="255">
                  <c:v>2055</c:v>
                </c:pt>
                <c:pt idx="256">
                  <c:v>2056</c:v>
                </c:pt>
                <c:pt idx="257">
                  <c:v>2057</c:v>
                </c:pt>
                <c:pt idx="258">
                  <c:v>2058</c:v>
                </c:pt>
                <c:pt idx="259">
                  <c:v>2059</c:v>
                </c:pt>
                <c:pt idx="260">
                  <c:v>2060</c:v>
                </c:pt>
                <c:pt idx="261">
                  <c:v>2061</c:v>
                </c:pt>
                <c:pt idx="262">
                  <c:v>2062</c:v>
                </c:pt>
                <c:pt idx="263">
                  <c:v>2063</c:v>
                </c:pt>
                <c:pt idx="264">
                  <c:v>2064</c:v>
                </c:pt>
                <c:pt idx="265">
                  <c:v>2065</c:v>
                </c:pt>
                <c:pt idx="266">
                  <c:v>2066</c:v>
                </c:pt>
                <c:pt idx="267">
                  <c:v>2067</c:v>
                </c:pt>
                <c:pt idx="268">
                  <c:v>2068</c:v>
                </c:pt>
                <c:pt idx="269">
                  <c:v>2069</c:v>
                </c:pt>
                <c:pt idx="270">
                  <c:v>2070</c:v>
                </c:pt>
                <c:pt idx="271">
                  <c:v>2071</c:v>
                </c:pt>
                <c:pt idx="272">
                  <c:v>2072</c:v>
                </c:pt>
                <c:pt idx="273">
                  <c:v>2073</c:v>
                </c:pt>
                <c:pt idx="274">
                  <c:v>2074</c:v>
                </c:pt>
                <c:pt idx="275">
                  <c:v>2075</c:v>
                </c:pt>
                <c:pt idx="276">
                  <c:v>2076</c:v>
                </c:pt>
                <c:pt idx="277">
                  <c:v>2077</c:v>
                </c:pt>
                <c:pt idx="278">
                  <c:v>2078</c:v>
                </c:pt>
                <c:pt idx="279">
                  <c:v>2079</c:v>
                </c:pt>
                <c:pt idx="280">
                  <c:v>2080</c:v>
                </c:pt>
                <c:pt idx="281">
                  <c:v>2081</c:v>
                </c:pt>
                <c:pt idx="282">
                  <c:v>2082</c:v>
                </c:pt>
                <c:pt idx="283">
                  <c:v>2083</c:v>
                </c:pt>
                <c:pt idx="284">
                  <c:v>2084</c:v>
                </c:pt>
                <c:pt idx="285">
                  <c:v>2085</c:v>
                </c:pt>
                <c:pt idx="286">
                  <c:v>2086</c:v>
                </c:pt>
                <c:pt idx="287">
                  <c:v>2087</c:v>
                </c:pt>
                <c:pt idx="288">
                  <c:v>2088</c:v>
                </c:pt>
                <c:pt idx="289">
                  <c:v>2089</c:v>
                </c:pt>
                <c:pt idx="290">
                  <c:v>2090</c:v>
                </c:pt>
                <c:pt idx="291">
                  <c:v>2091</c:v>
                </c:pt>
                <c:pt idx="292">
                  <c:v>2092</c:v>
                </c:pt>
                <c:pt idx="293">
                  <c:v>2093</c:v>
                </c:pt>
                <c:pt idx="294">
                  <c:v>2094</c:v>
                </c:pt>
                <c:pt idx="295">
                  <c:v>2095</c:v>
                </c:pt>
                <c:pt idx="296">
                  <c:v>2096</c:v>
                </c:pt>
                <c:pt idx="297">
                  <c:v>2097</c:v>
                </c:pt>
                <c:pt idx="298">
                  <c:v>2098</c:v>
                </c:pt>
                <c:pt idx="299">
                  <c:v>2099</c:v>
                </c:pt>
                <c:pt idx="300">
                  <c:v>2100</c:v>
                </c:pt>
                <c:pt idx="301">
                  <c:v>2101</c:v>
                </c:pt>
                <c:pt idx="302">
                  <c:v>2102</c:v>
                </c:pt>
                <c:pt idx="303">
                  <c:v>2103</c:v>
                </c:pt>
                <c:pt idx="304">
                  <c:v>2104</c:v>
                </c:pt>
                <c:pt idx="305">
                  <c:v>2105</c:v>
                </c:pt>
                <c:pt idx="306">
                  <c:v>2106</c:v>
                </c:pt>
                <c:pt idx="307">
                  <c:v>2107</c:v>
                </c:pt>
                <c:pt idx="308">
                  <c:v>2108</c:v>
                </c:pt>
                <c:pt idx="309">
                  <c:v>2109</c:v>
                </c:pt>
                <c:pt idx="310">
                  <c:v>2110</c:v>
                </c:pt>
                <c:pt idx="311">
                  <c:v>2111</c:v>
                </c:pt>
                <c:pt idx="312">
                  <c:v>2112</c:v>
                </c:pt>
                <c:pt idx="313">
                  <c:v>2113</c:v>
                </c:pt>
                <c:pt idx="314">
                  <c:v>2114</c:v>
                </c:pt>
                <c:pt idx="315">
                  <c:v>2115</c:v>
                </c:pt>
                <c:pt idx="316">
                  <c:v>2116</c:v>
                </c:pt>
                <c:pt idx="317">
                  <c:v>2117</c:v>
                </c:pt>
                <c:pt idx="318">
                  <c:v>2118</c:v>
                </c:pt>
                <c:pt idx="319">
                  <c:v>2119</c:v>
                </c:pt>
                <c:pt idx="320">
                  <c:v>2120</c:v>
                </c:pt>
                <c:pt idx="321">
                  <c:v>2121</c:v>
                </c:pt>
                <c:pt idx="322">
                  <c:v>2122</c:v>
                </c:pt>
                <c:pt idx="323">
                  <c:v>2123</c:v>
                </c:pt>
                <c:pt idx="324">
                  <c:v>2124</c:v>
                </c:pt>
                <c:pt idx="325">
                  <c:v>2125</c:v>
                </c:pt>
                <c:pt idx="326">
                  <c:v>2126</c:v>
                </c:pt>
                <c:pt idx="327">
                  <c:v>2127</c:v>
                </c:pt>
                <c:pt idx="328">
                  <c:v>2128</c:v>
                </c:pt>
                <c:pt idx="329">
                  <c:v>2129</c:v>
                </c:pt>
                <c:pt idx="330">
                  <c:v>2130</c:v>
                </c:pt>
                <c:pt idx="331">
                  <c:v>2131</c:v>
                </c:pt>
                <c:pt idx="332">
                  <c:v>2132</c:v>
                </c:pt>
                <c:pt idx="333">
                  <c:v>2133</c:v>
                </c:pt>
                <c:pt idx="334">
                  <c:v>2134</c:v>
                </c:pt>
                <c:pt idx="335">
                  <c:v>2135</c:v>
                </c:pt>
                <c:pt idx="336">
                  <c:v>2136</c:v>
                </c:pt>
                <c:pt idx="337">
                  <c:v>2137</c:v>
                </c:pt>
                <c:pt idx="338">
                  <c:v>2138</c:v>
                </c:pt>
                <c:pt idx="339">
                  <c:v>2139</c:v>
                </c:pt>
                <c:pt idx="340">
                  <c:v>2140</c:v>
                </c:pt>
                <c:pt idx="341">
                  <c:v>2141</c:v>
                </c:pt>
                <c:pt idx="342">
                  <c:v>2142</c:v>
                </c:pt>
                <c:pt idx="343">
                  <c:v>2143</c:v>
                </c:pt>
                <c:pt idx="344">
                  <c:v>2144</c:v>
                </c:pt>
                <c:pt idx="345">
                  <c:v>2145</c:v>
                </c:pt>
                <c:pt idx="346">
                  <c:v>2146</c:v>
                </c:pt>
                <c:pt idx="347">
                  <c:v>2147</c:v>
                </c:pt>
                <c:pt idx="348">
                  <c:v>2148</c:v>
                </c:pt>
                <c:pt idx="349">
                  <c:v>2149</c:v>
                </c:pt>
                <c:pt idx="350">
                  <c:v>2150</c:v>
                </c:pt>
              </c:numCache>
            </c:numRef>
          </c:xVal>
          <c:yVal>
            <c:numRef>
              <c:f>'Pennsylvania anthracite'!$J$9:$J$359</c:f>
              <c:numCache>
                <c:formatCode>0.0</c:formatCode>
                <c:ptCount val="351"/>
                <c:pt idx="73">
                  <c:v>0.32351203680974949</c:v>
                </c:pt>
                <c:pt idx="74">
                  <c:v>0.34257695859752008</c:v>
                </c:pt>
                <c:pt idx="75">
                  <c:v>0.36267918898689649</c:v>
                </c:pt>
                <c:pt idx="76">
                  <c:v>0.38386482160771335</c:v>
                </c:pt>
                <c:pt idx="77">
                  <c:v>0.40618076115775248</c:v>
                </c:pt>
                <c:pt idx="78">
                  <c:v>0.42967457621966593</c:v>
                </c:pt>
                <c:pt idx="79">
                  <c:v>0.4543943291401511</c:v>
                </c:pt>
                <c:pt idx="80">
                  <c:v>0.48038838151343394</c:v>
                </c:pt>
                <c:pt idx="81">
                  <c:v>0.50770517392400605</c:v>
                </c:pt>
                <c:pt idx="82">
                  <c:v>0.53639297876253222</c:v>
                </c:pt>
                <c:pt idx="83">
                  <c:v>0.56649962513959262</c:v>
                </c:pt>
                <c:pt idx="84">
                  <c:v>0.59807219518989185</c:v>
                </c:pt>
                <c:pt idx="85">
                  <c:v>0.63115669138965735</c:v>
                </c:pt>
                <c:pt idx="86">
                  <c:v>0.6657976749063319</c:v>
                </c:pt>
                <c:pt idx="87">
                  <c:v>0.70203787546524465</c:v>
                </c:pt>
                <c:pt idx="88">
                  <c:v>0.73991777375413592</c:v>
                </c:pt>
                <c:pt idx="89">
                  <c:v>0.77947515799263634</c:v>
                </c:pt>
                <c:pt idx="90">
                  <c:v>0.8207446569669844</c:v>
                </c:pt>
                <c:pt idx="91">
                  <c:v>0.86375725256457481</c:v>
                </c:pt>
                <c:pt idx="92">
                  <c:v>0.90853977562911781</c:v>
                </c:pt>
                <c:pt idx="93">
                  <c:v>0.95511438978247198</c:v>
                </c:pt>
                <c:pt idx="94">
                  <c:v>1.0034980687068324</c:v>
                </c:pt>
                <c:pt idx="95">
                  <c:v>1.0537020732301727</c:v>
                </c:pt>
                <c:pt idx="96">
                  <c:v>1.105731435383897</c:v>
                </c:pt>
                <c:pt idx="97">
                  <c:v>1.1595844573761127</c:v>
                </c:pt>
                <c:pt idx="98">
                  <c:v>1.2152522341151639</c:v>
                </c:pt>
                <c:pt idx="99">
                  <c:v>1.2727182084919979</c:v>
                </c:pt>
                <c:pt idx="100">
                  <c:v>1.33195776905131</c:v>
                </c:pt>
                <c:pt idx="101">
                  <c:v>1.3929378999149413</c:v>
                </c:pt>
                <c:pt idx="102">
                  <c:v>1.4556168928332622</c:v>
                </c:pt>
                <c:pt idx="103">
                  <c:v>1.519944131001371</c:v>
                </c:pt>
                <c:pt idx="104">
                  <c:v>1.5858599537625993</c:v>
                </c:pt>
                <c:pt idx="105">
                  <c:v>1.6532956105154739</c:v>
                </c:pt>
                <c:pt idx="106">
                  <c:v>1.7221733110347739</c:v>
                </c:pt>
                <c:pt idx="107">
                  <c:v>1.7924063780168644</c:v>
                </c:pt>
                <c:pt idx="108">
                  <c:v>1.8638995059806505</c:v>
                </c:pt>
                <c:pt idx="109">
                  <c:v>1.9365491287281402</c:v>
                </c:pt>
                <c:pt idx="110">
                  <c:v>2.0102438954357562</c:v>
                </c:pt>
                <c:pt idx="111">
                  <c:v>2.0848652531648368</c:v>
                </c:pt>
                <c:pt idx="112">
                  <c:v>2.1602881312136417</c:v>
                </c:pt>
                <c:pt idx="113">
                  <c:v>2.2363817203588581</c:v>
                </c:pt>
                <c:pt idx="114">
                  <c:v>2.3130103377326448</c:v>
                </c:pt>
                <c:pt idx="115">
                  <c:v>2.3900343659342114</c:v>
                </c:pt>
                <c:pt idx="116">
                  <c:v>2.4673112530631314</c:v>
                </c:pt>
                <c:pt idx="117">
                  <c:v>2.5446965587590196</c:v>
                </c:pt>
                <c:pt idx="118">
                  <c:v>2.6220450301026017</c:v>
                </c:pt>
                <c:pt idx="119">
                  <c:v>2.6992116904263921</c:v>
                </c:pt>
                <c:pt idx="120">
                  <c:v>2.776052923732288</c:v>
                </c:pt>
                <c:pt idx="121">
                  <c:v>2.8524275375329475</c:v>
                </c:pt>
                <c:pt idx="122">
                  <c:v>2.928197787518859</c:v>
                </c:pt>
                <c:pt idx="123">
                  <c:v>3.0032303484793843</c:v>
                </c:pt>
                <c:pt idx="124">
                  <c:v>3.0773972173319337</c:v>
                </c:pt>
                <c:pt idx="125">
                  <c:v>3.1505765358814282</c:v>
                </c:pt>
                <c:pt idx="126">
                  <c:v>3.2226533229730241</c:v>
                </c:pt>
                <c:pt idx="127">
                  <c:v>3.2935201079369163</c:v>
                </c:pt>
                <c:pt idx="128">
                  <c:v>3.3630774595729531</c:v>
                </c:pt>
                <c:pt idx="129">
                  <c:v>3.4312344073027865</c:v>
                </c:pt>
                <c:pt idx="130">
                  <c:v>3.4979087534500257</c:v>
                </c:pt>
                <c:pt idx="131">
                  <c:v>3.5630272778232559</c:v>
                </c:pt>
                <c:pt idx="132">
                  <c:v>3.6265258378116658</c:v>
                </c:pt>
                <c:pt idx="133">
                  <c:v>3.6883493690089346</c:v>
                </c:pt>
                <c:pt idx="134">
                  <c:v>3.7484517929216614</c:v>
                </c:pt>
                <c:pt idx="135">
                  <c:v>3.8067958395707975</c:v>
                </c:pt>
                <c:pt idx="136">
                  <c:v>3.8633527937481871</c:v>
                </c:pt>
                <c:pt idx="137">
                  <c:v>3.9181021743471129</c:v>
                </c:pt>
                <c:pt idx="138">
                  <c:v>3.9710313565578246</c:v>
                </c:pt>
                <c:pt idx="139">
                  <c:v>4.0221351468271962</c:v>
                </c:pt>
                <c:pt idx="140">
                  <c:v>4.0714153203532275</c:v>
                </c:pt>
                <c:pt idx="141">
                  <c:v>4.1188801305519815</c:v>
                </c:pt>
                <c:pt idx="142">
                  <c:v>4.164543799431442</c:v>
                </c:pt>
                <c:pt idx="143">
                  <c:v>4.2084259971689786</c:v>
                </c:pt>
                <c:pt idx="144">
                  <c:v>4.2505513184515822</c:v>
                </c:pt>
                <c:pt idx="145">
                  <c:v>4.2909487623336364</c:v>
                </c:pt>
                <c:pt idx="146">
                  <c:v>4.3296512215258884</c:v>
                </c:pt>
                <c:pt idx="147">
                  <c:v>4.3666949861779809</c:v>
                </c:pt>
                <c:pt idx="148">
                  <c:v>4.4021192663783371</c:v>
                </c:pt>
                <c:pt idx="149">
                  <c:v>4.4359657367878134</c:v>
                </c:pt>
                <c:pt idx="150">
                  <c:v>4.4682781060623409</c:v>
                </c:pt>
                <c:pt idx="151">
                  <c:v>4.4991017130154924</c:v>
                </c:pt>
                <c:pt idx="152">
                  <c:v>4.5284831508321117</c:v>
                </c:pt>
                <c:pt idx="153">
                  <c:v>4.5564699200732575</c:v>
                </c:pt>
                <c:pt idx="154">
                  <c:v>4.5831101107123118</c:v>
                </c:pt>
                <c:pt idx="155">
                  <c:v>4.6084521130119409</c:v>
                </c:pt>
                <c:pt idx="156">
                  <c:v>4.6325443566892375</c:v>
                </c:pt>
                <c:pt idx="157">
                  <c:v>4.6554350775183702</c:v>
                </c:pt>
                <c:pt idx="158">
                  <c:v>4.6771721102817319</c:v>
                </c:pt>
                <c:pt idx="159">
                  <c:v>4.6978027067968258</c:v>
                </c:pt>
                <c:pt idx="160">
                  <c:v>4.7173733776111781</c:v>
                </c:pt>
                <c:pt idx="161">
                  <c:v>4.7359297558659019</c:v>
                </c:pt>
                <c:pt idx="162">
                  <c:v>4.7535164817743087</c:v>
                </c:pt>
                <c:pt idx="163">
                  <c:v>4.7701771061398226</c:v>
                </c:pt>
                <c:pt idx="164">
                  <c:v>4.7859540113421497</c:v>
                </c:pt>
                <c:pt idx="165">
                  <c:v>4.8008883482475069</c:v>
                </c:pt>
                <c:pt idx="166">
                  <c:v>4.815019987543252</c:v>
                </c:pt>
                <c:pt idx="167">
                  <c:v>4.8283874840557122</c:v>
                </c:pt>
                <c:pt idx="168">
                  <c:v>4.8410280526788467</c:v>
                </c:pt>
                <c:pt idx="169">
                  <c:v>4.8529775546175999</c:v>
                </c:pt>
                <c:pt idx="170">
                  <c:v>4.8642704927309763</c:v>
                </c:pt>
                <c:pt idx="171">
                  <c:v>4.8749400148436113</c:v>
                </c:pt>
                <c:pt idx="172">
                  <c:v>4.8850179239793157</c:v>
                </c:pt>
                <c:pt idx="173">
                  <c:v>4.8945346945541317</c:v>
                </c:pt>
                <c:pt idx="174">
                  <c:v>4.9035194936487798</c:v>
                </c:pt>
                <c:pt idx="175">
                  <c:v>4.9120002065599753</c:v>
                </c:pt>
                <c:pt idx="176">
                  <c:v>4.9200034659063503</c:v>
                </c:pt>
                <c:pt idx="177">
                  <c:v>4.9275546836370809</c:v>
                </c:pt>
                <c:pt idx="178">
                  <c:v>4.9346780853594563</c:v>
                </c:pt>
                <c:pt idx="179">
                  <c:v>4.9413967464653741</c:v>
                </c:pt>
                <c:pt idx="180">
                  <c:v>4.9477326295959392</c:v>
                </c:pt>
                <c:pt idx="181">
                  <c:v>4.9537066230380784</c:v>
                </c:pt>
                <c:pt idx="182">
                  <c:v>4.9593385796973388</c:v>
                </c:pt>
                <c:pt idx="183">
                  <c:v>4.9646473563370428</c:v>
                </c:pt>
                <c:pt idx="184">
                  <c:v>4.9696508528157812</c:v>
                </c:pt>
                <c:pt idx="185">
                  <c:v>4.9743660510931349</c:v>
                </c:pt>
                <c:pt idx="186">
                  <c:v>4.9788090538077423</c:v>
                </c:pt>
                <c:pt idx="187">
                  <c:v>4.9829951222624747</c:v>
                </c:pt>
                <c:pt idx="188">
                  <c:v>4.986938713679022</c:v>
                </c:pt>
                <c:pt idx="189">
                  <c:v>4.99065351760862</c:v>
                </c:pt>
                <c:pt idx="190">
                  <c:v>4.994152491407359</c:v>
                </c:pt>
                <c:pt idx="191">
                  <c:v>4.997447894703706</c:v>
                </c:pt>
                <c:pt idx="192">
                  <c:v>5.0005513228027052</c:v>
                </c:pt>
                <c:pt idx="193">
                  <c:v>5.0034737389860959</c:v>
                </c:pt>
                <c:pt idx="194">
                  <c:v>5.0062255056804252</c:v>
                </c:pt>
                <c:pt idx="195">
                  <c:v>5.0088164144763754</c:v>
                </c:pt>
                <c:pt idx="196">
                  <c:v>5.0112557149921022</c:v>
                </c:pt>
                <c:pt idx="197">
                  <c:v>5.0135521425815952</c:v>
                </c:pt>
                <c:pt idx="198">
                  <c:v>5.015713944896028</c:v>
                </c:pt>
                <c:pt idx="199">
                  <c:v>5.017748907311959</c:v>
                </c:pt>
                <c:pt idx="200">
                  <c:v>5.0196643772451015</c:v>
                </c:pt>
                <c:pt idx="201">
                  <c:v>5.0214672873724551</c:v>
                </c:pt>
                <c:pt idx="202">
                  <c:v>5.0231641777888418</c:v>
                </c:pt>
                <c:pt idx="203">
                  <c:v>5.0247612171264828</c:v>
                </c:pt>
                <c:pt idx="204">
                  <c:v>5.0262642226683445</c:v>
                </c:pt>
                <c:pt idx="205">
                  <c:v>5.027678679487412</c:v>
                </c:pt>
                <c:pt idx="206">
                  <c:v>5.0290097586452038</c:v>
                </c:pt>
                <c:pt idx="207">
                  <c:v>5.0302623344835107</c:v>
                </c:pt>
                <c:pt idx="208">
                  <c:v>5.0314410010437269</c:v>
                </c:pt>
                <c:pt idx="209">
                  <c:v>5.0325500876482296</c:v>
                </c:pt>
                <c:pt idx="210">
                  <c:v>5.0335936736781539</c:v>
                </c:pt>
                <c:pt idx="211">
                  <c:v>5.0345756025815653</c:v>
                </c:pt>
                <c:pt idx="212">
                  <c:v>5.0354994951455083</c:v>
                </c:pt>
                <c:pt idx="213">
                  <c:v>5.0363687620648392</c:v>
                </c:pt>
                <c:pt idx="214">
                  <c:v>5.0371866158399428</c:v>
                </c:pt>
                <c:pt idx="215">
                  <c:v>5.0379560820346407</c:v>
                </c:pt>
                <c:pt idx="216">
                  <c:v>5.0386800099247022</c:v>
                </c:pt>
                <c:pt idx="217">
                  <c:v>5.0393610825663773</c:v>
                </c:pt>
                <c:pt idx="218">
                  <c:v>5.0400018263134321</c:v>
                </c:pt>
                <c:pt idx="219">
                  <c:v>5.0406046198101206</c:v>
                </c:pt>
                <c:pt idx="220">
                  <c:v>5.0411717024864977</c:v>
                </c:pt>
                <c:pt idx="221">
                  <c:v>5.0417051825814703</c:v>
                </c:pt>
                <c:pt idx="222">
                  <c:v>5.0422070447179017</c:v>
                </c:pt>
                <c:pt idx="223">
                  <c:v>5.0426791570531133</c:v>
                </c:pt>
                <c:pt idx="224">
                  <c:v>5.0431232780270756</c:v>
                </c:pt>
                <c:pt idx="225">
                  <c:v>5.0435410627296102</c:v>
                </c:pt>
                <c:pt idx="226">
                  <c:v>5.0439340689069381</c:v>
                </c:pt>
                <c:pt idx="227">
                  <c:v>5.0443037626269795</c:v>
                </c:pt>
                <c:pt idx="228">
                  <c:v>5.0446515236218614</c:v>
                </c:pt>
                <c:pt idx="229">
                  <c:v>5.0449786503252403</c:v>
                </c:pt>
                <c:pt idx="230">
                  <c:v>5.045286364621143</c:v>
                </c:pt>
                <c:pt idx="231">
                  <c:v>5.0455758163202153</c:v>
                </c:pt>
                <c:pt idx="232">
                  <c:v>5.0458480873784817</c:v>
                </c:pt>
                <c:pt idx="233">
                  <c:v>5.0461041958729096</c:v>
                </c:pt>
                <c:pt idx="234">
                  <c:v>5.0463450997473895</c:v>
                </c:pt>
                <c:pt idx="235">
                  <c:v>5.046571700341973</c:v>
                </c:pt>
                <c:pt idx="236">
                  <c:v>5.046784845717597</c:v>
                </c:pt>
                <c:pt idx="237">
                  <c:v>5.0469853337878163</c:v>
                </c:pt>
                <c:pt idx="238">
                  <c:v>5.0471739152685009</c:v>
                </c:pt>
                <c:pt idx="239">
                  <c:v>5.0473512964558322</c:v>
                </c:pt>
                <c:pt idx="240">
                  <c:v>5.0475181418423807</c:v>
                </c:pt>
                <c:pt idx="241">
                  <c:v>5.0476750765805294</c:v>
                </c:pt>
                <c:pt idx="242">
                  <c:v>5.0478226888019755</c:v>
                </c:pt>
                <c:pt idx="243">
                  <c:v>5.047961531801584</c:v>
                </c:pt>
                <c:pt idx="244">
                  <c:v>5.0480921260933886</c:v>
                </c:pt>
                <c:pt idx="245">
                  <c:v>5.0482149613461162</c:v>
                </c:pt>
                <c:pt idx="246">
                  <c:v>5.0483304982052024</c:v>
                </c:pt>
                <c:pt idx="247">
                  <c:v>5.0484391700078444</c:v>
                </c:pt>
                <c:pt idx="248">
                  <c:v>5.0485413843973213</c:v>
                </c:pt>
                <c:pt idx="249">
                  <c:v>5.048637524842408</c:v>
                </c:pt>
                <c:pt idx="250">
                  <c:v>5.0487279520673987</c:v>
                </c:pt>
                <c:pt idx="251">
                  <c:v>5.0488130053979683</c:v>
                </c:pt>
                <c:pt idx="252">
                  <c:v>5.0488930040277538</c:v>
                </c:pt>
                <c:pt idx="253">
                  <c:v>5.0489682482102847</c:v>
                </c:pt>
                <c:pt idx="254">
                  <c:v>5.0490390203806514</c:v>
                </c:pt>
                <c:pt idx="255">
                  <c:v>5.0491055862109766</c:v>
                </c:pt>
                <c:pt idx="256">
                  <c:v>5.049168195603607</c:v>
                </c:pt>
                <c:pt idx="257">
                  <c:v>5.0492270836256488</c:v>
                </c:pt>
                <c:pt idx="258">
                  <c:v>5.0492824713883113</c:v>
                </c:pt>
                <c:pt idx="259">
                  <c:v>5.0493345668742613</c:v>
                </c:pt>
                <c:pt idx="260">
                  <c:v>5.0493835657160906</c:v>
                </c:pt>
                <c:pt idx="261">
                  <c:v>5.0494296519287225</c:v>
                </c:pt>
                <c:pt idx="262">
                  <c:v>5.0494729985985156</c:v>
                </c:pt>
                <c:pt idx="263">
                  <c:v>5.0495137685315683</c:v>
                </c:pt>
                <c:pt idx="264">
                  <c:v>5.0495521148636584</c:v>
                </c:pt>
                <c:pt idx="265">
                  <c:v>5.0495881816340678</c:v>
                </c:pt>
                <c:pt idx="266">
                  <c:v>5.0496221043254224</c:v>
                </c:pt>
                <c:pt idx="267">
                  <c:v>5.049654010371551</c:v>
                </c:pt>
                <c:pt idx="268">
                  <c:v>5.0496840196352624</c:v>
                </c:pt>
                <c:pt idx="269">
                  <c:v>5.0497122448577878</c:v>
                </c:pt>
                <c:pt idx="270">
                  <c:v>5.049738792081607</c:v>
                </c:pt>
                <c:pt idx="271">
                  <c:v>5.0497637610481911</c:v>
                </c:pt>
                <c:pt idx="272">
                  <c:v>5.0497872455721602</c:v>
                </c:pt>
                <c:pt idx="273">
                  <c:v>5.0498093338932577</c:v>
                </c:pt>
                <c:pt idx="274">
                  <c:v>5.0498301090074484</c:v>
                </c:pt>
                <c:pt idx="275">
                  <c:v>5.0498496489783626</c:v>
                </c:pt>
                <c:pt idx="276">
                  <c:v>5.0498680272302732</c:v>
                </c:pt>
                <c:pt idx="277">
                  <c:v>5.0498853128236867</c:v>
                </c:pt>
                <c:pt idx="278">
                  <c:v>5.0499015707145691</c:v>
                </c:pt>
                <c:pt idx="279">
                  <c:v>5.0499168619981969</c:v>
                </c:pt>
                <c:pt idx="280">
                  <c:v>5.0499312441385262</c:v>
                </c:pt>
                <c:pt idx="281">
                  <c:v>5.0499447711839469</c:v>
                </c:pt>
                <c:pt idx="282">
                  <c:v>5.0499574939702292</c:v>
                </c:pt>
                <c:pt idx="283">
                  <c:v>5.0499694603114174</c:v>
                </c:pt>
                <c:pt idx="284">
                  <c:v>5.0499807151793847</c:v>
                </c:pt>
                <c:pt idx="285">
                  <c:v>5.0499913008727351</c:v>
                </c:pt>
                <c:pt idx="286">
                  <c:v>5.0500012571756621</c:v>
                </c:pt>
                <c:pt idx="287">
                  <c:v>5.050010621507381</c:v>
                </c:pt>
                <c:pt idx="288">
                  <c:v>5.0500194290626776</c:v>
                </c:pt>
                <c:pt idx="289">
                  <c:v>5.0500277129441162</c:v>
                </c:pt>
                <c:pt idx="290">
                  <c:v>5.0500355042863871</c:v>
                </c:pt>
                <c:pt idx="291">
                  <c:v>5.0500428323732676</c:v>
                </c:pt>
                <c:pt idx="292">
                  <c:v>5.0500497247476357</c:v>
                </c:pt>
                <c:pt idx="293">
                  <c:v>5.0500562073149506</c:v>
                </c:pt>
                <c:pt idx="294">
                  <c:v>5.0500623044405728</c:v>
                </c:pt>
                <c:pt idx="295">
                  <c:v>5.0500680390413182</c:v>
                </c:pt>
                <c:pt idx="296">
                  <c:v>5.0500734326715566</c:v>
                </c:pt>
                <c:pt idx="297">
                  <c:v>5.0500785056042039</c:v>
                </c:pt>
                <c:pt idx="298">
                  <c:v>5.0500832769068955</c:v>
                </c:pt>
                <c:pt idx="299">
                  <c:v>5.0500877645136333</c:v>
                </c:pt>
                <c:pt idx="300">
                  <c:v>5.0500919852921813</c:v>
                </c:pt>
                <c:pt idx="301">
                  <c:v>5.0500959551074436</c:v>
                </c:pt>
                <c:pt idx="302">
                  <c:v>5.0500996888810876</c:v>
                </c:pt>
                <c:pt idx="303">
                  <c:v>5.0501032006476159</c:v>
                </c:pt>
                <c:pt idx="304">
                  <c:v>5.0501065036071067</c:v>
                </c:pt>
                <c:pt idx="305">
                  <c:v>5.0501096101748217</c:v>
                </c:pt>
                <c:pt idx="306">
                  <c:v>5.0501125320278675</c:v>
                </c:pt>
                <c:pt idx="307">
                  <c:v>5.0501152801490719</c:v>
                </c:pt>
                <c:pt idx="308">
                  <c:v>5.0501178648682661</c:v>
                </c:pt>
                <c:pt idx="309">
                  <c:v>5.0501202959011051</c:v>
                </c:pt>
                <c:pt idx="310">
                  <c:v>5.0501225823855806</c:v>
                </c:pt>
                <c:pt idx="311">
                  <c:v>5.0501247329163714</c:v>
                </c:pt>
                <c:pt idx="312">
                  <c:v>5.0501267555771365</c:v>
                </c:pt>
                <c:pt idx="313">
                  <c:v>5.0501286579709008</c:v>
                </c:pt>
                <c:pt idx="314">
                  <c:v>5.0501304472486348</c:v>
                </c:pt>
                <c:pt idx="315">
                  <c:v>5.0501321301361246</c:v>
                </c:pt>
                <c:pt idx="316">
                  <c:v>5.0501337129592594</c:v>
                </c:pt>
                <c:pt idx="317">
                  <c:v>5.0501352016677998</c:v>
                </c:pt>
                <c:pt idx="318">
                  <c:v>5.0501366018577425</c:v>
                </c:pt>
                <c:pt idx="319">
                  <c:v>5.0501379187923607</c:v>
                </c:pt>
                <c:pt idx="320">
                  <c:v>5.0501391574219765</c:v>
                </c:pt>
                <c:pt idx="321">
                  <c:v>5.0501403224025765</c:v>
                </c:pt>
                <c:pt idx="322">
                  <c:v>5.0501414181133031</c:v>
                </c:pt>
                <c:pt idx="323">
                  <c:v>5.0501424486729247</c:v>
                </c:pt>
                <c:pt idx="324">
                  <c:v>5.0501434179553115</c:v>
                </c:pt>
                <c:pt idx="325">
                  <c:v>5.0501443296039943</c:v>
                </c:pt>
                <c:pt idx="326">
                  <c:v>5.0501451870458638</c:v>
                </c:pt>
                <c:pt idx="327">
                  <c:v>5.0501459935040529</c:v>
                </c:pt>
                <c:pt idx="328">
                  <c:v>5.0501467520100469</c:v>
                </c:pt>
                <c:pt idx="329">
                  <c:v>5.0501474654150815</c:v>
                </c:pt>
                <c:pt idx="330">
                  <c:v>5.0501481364008587</c:v>
                </c:pt>
                <c:pt idx="331">
                  <c:v>5.0501487674896302</c:v>
                </c:pt>
                <c:pt idx="332">
                  <c:v>5.0501493610536734</c:v>
                </c:pt>
                <c:pt idx="333">
                  <c:v>5.0501499193242125</c:v>
                </c:pt>
                <c:pt idx="334">
                  <c:v>5.0501504443998035</c:v>
                </c:pt>
                <c:pt idx="335">
                  <c:v>5.0501509382542205</c:v>
                </c:pt>
                <c:pt idx="336">
                  <c:v>5.0501514027438814</c:v>
                </c:pt>
                <c:pt idx="337">
                  <c:v>5.0501518396148199</c:v>
                </c:pt>
                <c:pt idx="338">
                  <c:v>5.0501522505092504</c:v>
                </c:pt>
                <c:pt idx="339">
                  <c:v>5.0501526369717418</c:v>
                </c:pt>
                <c:pt idx="340">
                  <c:v>5.0501530004550226</c:v>
                </c:pt>
                <c:pt idx="341">
                  <c:v>5.0501533423254434</c:v>
                </c:pt>
                <c:pt idx="342">
                  <c:v>5.0501536638681115</c:v>
                </c:pt>
                <c:pt idx="343">
                  <c:v>5.0501539662917194</c:v>
                </c:pt>
                <c:pt idx="344">
                  <c:v>5.0501542507330921</c:v>
                </c:pt>
                <c:pt idx="345">
                  <c:v>5.0501545182614596</c:v>
                </c:pt>
                <c:pt idx="346">
                  <c:v>5.0501547698824742</c:v>
                </c:pt>
                <c:pt idx="347">
                  <c:v>5.0501550065419956</c:v>
                </c:pt>
                <c:pt idx="348">
                  <c:v>5.0501552291296345</c:v>
                </c:pt>
                <c:pt idx="349">
                  <c:v>5.0501554384821148</c:v>
                </c:pt>
                <c:pt idx="350">
                  <c:v>5.0501556353864006</c:v>
                </c:pt>
              </c:numCache>
            </c:numRef>
          </c:yVal>
          <c:smooth val="1"/>
          <c:extLst>
            <c:ext xmlns:c16="http://schemas.microsoft.com/office/drawing/2014/chart" uri="{C3380CC4-5D6E-409C-BE32-E72D297353CC}">
              <c16:uniqueId val="{00000001-AA9F-5947-B0E5-E588025BBF4E}"/>
            </c:ext>
          </c:extLst>
        </c:ser>
        <c:ser>
          <c:idx val="3"/>
          <c:order val="2"/>
          <c:tx>
            <c:v>Current long-term fit</c:v>
          </c:tx>
          <c:spPr>
            <a:ln w="15875">
              <a:solidFill>
                <a:srgbClr val="808080"/>
              </a:solidFill>
              <a:prstDash val="solid"/>
            </a:ln>
          </c:spPr>
          <c:marker>
            <c:symbol val="none"/>
          </c:marker>
          <c:xVal>
            <c:numLit>
              <c:formatCode>General</c:formatCode>
              <c:ptCount val="2"/>
              <c:pt idx="0">
                <c:v>1900</c:v>
              </c:pt>
              <c:pt idx="1">
                <c:v>2009</c:v>
              </c:pt>
            </c:numLit>
          </c:xVal>
          <c:yVal>
            <c:numRef>
              <c:f>('Pennsylvania anthracite'!$F$1,'Pennsylvania anthracite'!$F$1)</c:f>
              <c:numCache>
                <c:formatCode>0.0</c:formatCode>
                <c:ptCount val="2"/>
                <c:pt idx="0">
                  <c:v>5.0501587499966902</c:v>
                </c:pt>
                <c:pt idx="1">
                  <c:v>5.0501587499966902</c:v>
                </c:pt>
              </c:numCache>
            </c:numRef>
          </c:yVal>
          <c:smooth val="1"/>
          <c:extLst>
            <c:ext xmlns:c16="http://schemas.microsoft.com/office/drawing/2014/chart" uri="{C3380CC4-5D6E-409C-BE32-E72D297353CC}">
              <c16:uniqueId val="{00000002-AA9F-5947-B0E5-E588025BBF4E}"/>
            </c:ext>
          </c:extLst>
        </c:ser>
        <c:ser>
          <c:idx val="2"/>
          <c:order val="3"/>
          <c:tx>
            <c:strRef>
              <c:f>'Pennsylvania anthracite'!$H$7</c:f>
              <c:strCache>
                <c:ptCount val="1"/>
                <c:pt idx="0">
                  <c:v>Q historical</c:v>
                </c:pt>
              </c:strCache>
            </c:strRef>
          </c:tx>
          <c:spPr>
            <a:ln w="15875">
              <a:solidFill>
                <a:srgbClr val="333399"/>
              </a:solidFill>
            </a:ln>
          </c:spPr>
          <c:marker>
            <c:symbol val="none"/>
          </c:marker>
          <c:xVal>
            <c:numRef>
              <c:f>'Pennsylvania anthracite'!$D$109:$D$294</c:f>
              <c:numCache>
                <c:formatCode>General</c:formatCode>
                <c:ptCount val="186"/>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pt idx="13">
                  <c:v>1913</c:v>
                </c:pt>
                <c:pt idx="14">
                  <c:v>1914</c:v>
                </c:pt>
                <c:pt idx="15">
                  <c:v>1915</c:v>
                </c:pt>
                <c:pt idx="16">
                  <c:v>1916</c:v>
                </c:pt>
                <c:pt idx="17">
                  <c:v>1917</c:v>
                </c:pt>
                <c:pt idx="18">
                  <c:v>1918</c:v>
                </c:pt>
                <c:pt idx="19">
                  <c:v>1919</c:v>
                </c:pt>
                <c:pt idx="20">
                  <c:v>1920</c:v>
                </c:pt>
                <c:pt idx="21">
                  <c:v>1921</c:v>
                </c:pt>
                <c:pt idx="22">
                  <c:v>1922</c:v>
                </c:pt>
                <c:pt idx="23">
                  <c:v>1923</c:v>
                </c:pt>
                <c:pt idx="24">
                  <c:v>1924</c:v>
                </c:pt>
                <c:pt idx="25">
                  <c:v>1925</c:v>
                </c:pt>
                <c:pt idx="26">
                  <c:v>1926</c:v>
                </c:pt>
                <c:pt idx="27">
                  <c:v>1927</c:v>
                </c:pt>
                <c:pt idx="28">
                  <c:v>1928</c:v>
                </c:pt>
                <c:pt idx="29">
                  <c:v>1929</c:v>
                </c:pt>
                <c:pt idx="30">
                  <c:v>1930</c:v>
                </c:pt>
                <c:pt idx="31">
                  <c:v>1931</c:v>
                </c:pt>
                <c:pt idx="32">
                  <c:v>1932</c:v>
                </c:pt>
                <c:pt idx="33">
                  <c:v>1933</c:v>
                </c:pt>
                <c:pt idx="34">
                  <c:v>1934</c:v>
                </c:pt>
                <c:pt idx="35">
                  <c:v>1935</c:v>
                </c:pt>
                <c:pt idx="36">
                  <c:v>1936</c:v>
                </c:pt>
                <c:pt idx="37">
                  <c:v>1937</c:v>
                </c:pt>
                <c:pt idx="38">
                  <c:v>1938</c:v>
                </c:pt>
                <c:pt idx="39">
                  <c:v>1939</c:v>
                </c:pt>
                <c:pt idx="40">
                  <c:v>1940</c:v>
                </c:pt>
                <c:pt idx="41">
                  <c:v>1941</c:v>
                </c:pt>
                <c:pt idx="42">
                  <c:v>1942</c:v>
                </c:pt>
                <c:pt idx="43">
                  <c:v>1943</c:v>
                </c:pt>
                <c:pt idx="44">
                  <c:v>1944</c:v>
                </c:pt>
                <c:pt idx="45">
                  <c:v>1945</c:v>
                </c:pt>
                <c:pt idx="46">
                  <c:v>1946</c:v>
                </c:pt>
                <c:pt idx="47">
                  <c:v>1947</c:v>
                </c:pt>
                <c:pt idx="48">
                  <c:v>1948</c:v>
                </c:pt>
                <c:pt idx="49">
                  <c:v>1949</c:v>
                </c:pt>
                <c:pt idx="50">
                  <c:v>1950</c:v>
                </c:pt>
                <c:pt idx="51">
                  <c:v>1951</c:v>
                </c:pt>
                <c:pt idx="52">
                  <c:v>1952</c:v>
                </c:pt>
                <c:pt idx="53">
                  <c:v>1953</c:v>
                </c:pt>
                <c:pt idx="54">
                  <c:v>1954</c:v>
                </c:pt>
                <c:pt idx="55">
                  <c:v>1955</c:v>
                </c:pt>
                <c:pt idx="56">
                  <c:v>1956</c:v>
                </c:pt>
                <c:pt idx="57">
                  <c:v>1957</c:v>
                </c:pt>
                <c:pt idx="58">
                  <c:v>1958</c:v>
                </c:pt>
                <c:pt idx="59">
                  <c:v>1959</c:v>
                </c:pt>
                <c:pt idx="60">
                  <c:v>1960</c:v>
                </c:pt>
                <c:pt idx="61">
                  <c:v>1961</c:v>
                </c:pt>
                <c:pt idx="62">
                  <c:v>1962</c:v>
                </c:pt>
                <c:pt idx="63">
                  <c:v>1963</c:v>
                </c:pt>
                <c:pt idx="64">
                  <c:v>1964</c:v>
                </c:pt>
                <c:pt idx="65">
                  <c:v>1965</c:v>
                </c:pt>
                <c:pt idx="66">
                  <c:v>1966</c:v>
                </c:pt>
                <c:pt idx="67">
                  <c:v>1967</c:v>
                </c:pt>
                <c:pt idx="68">
                  <c:v>1968</c:v>
                </c:pt>
                <c:pt idx="69">
                  <c:v>1969</c:v>
                </c:pt>
                <c:pt idx="70">
                  <c:v>1970</c:v>
                </c:pt>
                <c:pt idx="71">
                  <c:v>1971</c:v>
                </c:pt>
                <c:pt idx="72">
                  <c:v>1972</c:v>
                </c:pt>
                <c:pt idx="73">
                  <c:v>1973</c:v>
                </c:pt>
                <c:pt idx="74">
                  <c:v>1974</c:v>
                </c:pt>
                <c:pt idx="75">
                  <c:v>1975</c:v>
                </c:pt>
                <c:pt idx="76">
                  <c:v>1976</c:v>
                </c:pt>
                <c:pt idx="77">
                  <c:v>1977</c:v>
                </c:pt>
                <c:pt idx="78">
                  <c:v>1978</c:v>
                </c:pt>
                <c:pt idx="79">
                  <c:v>1979</c:v>
                </c:pt>
                <c:pt idx="80">
                  <c:v>1980</c:v>
                </c:pt>
                <c:pt idx="81">
                  <c:v>1981</c:v>
                </c:pt>
                <c:pt idx="82">
                  <c:v>1982</c:v>
                </c:pt>
                <c:pt idx="83">
                  <c:v>1983</c:v>
                </c:pt>
                <c:pt idx="84">
                  <c:v>1984</c:v>
                </c:pt>
                <c:pt idx="85">
                  <c:v>1985</c:v>
                </c:pt>
                <c:pt idx="86">
                  <c:v>1986</c:v>
                </c:pt>
                <c:pt idx="87">
                  <c:v>1987</c:v>
                </c:pt>
                <c:pt idx="88">
                  <c:v>1988</c:v>
                </c:pt>
                <c:pt idx="89">
                  <c:v>1989</c:v>
                </c:pt>
                <c:pt idx="90">
                  <c:v>1990</c:v>
                </c:pt>
                <c:pt idx="91">
                  <c:v>1991</c:v>
                </c:pt>
                <c:pt idx="92">
                  <c:v>1992</c:v>
                </c:pt>
                <c:pt idx="93">
                  <c:v>1993</c:v>
                </c:pt>
                <c:pt idx="94">
                  <c:v>1994</c:v>
                </c:pt>
                <c:pt idx="95">
                  <c:v>1995</c:v>
                </c:pt>
                <c:pt idx="96">
                  <c:v>1996</c:v>
                </c:pt>
                <c:pt idx="97">
                  <c:v>1997</c:v>
                </c:pt>
                <c:pt idx="98">
                  <c:v>1998</c:v>
                </c:pt>
                <c:pt idx="99">
                  <c:v>1999</c:v>
                </c:pt>
                <c:pt idx="100">
                  <c:v>2000</c:v>
                </c:pt>
                <c:pt idx="101">
                  <c:v>2001</c:v>
                </c:pt>
                <c:pt idx="102">
                  <c:v>2002</c:v>
                </c:pt>
                <c:pt idx="103">
                  <c:v>2003</c:v>
                </c:pt>
                <c:pt idx="104">
                  <c:v>2004</c:v>
                </c:pt>
                <c:pt idx="105">
                  <c:v>2005</c:v>
                </c:pt>
                <c:pt idx="106">
                  <c:v>2006</c:v>
                </c:pt>
                <c:pt idx="107">
                  <c:v>2007</c:v>
                </c:pt>
                <c:pt idx="108">
                  <c:v>2008</c:v>
                </c:pt>
                <c:pt idx="109">
                  <c:v>2009</c:v>
                </c:pt>
                <c:pt idx="110">
                  <c:v>2010</c:v>
                </c:pt>
                <c:pt idx="111">
                  <c:v>2011</c:v>
                </c:pt>
                <c:pt idx="112">
                  <c:v>2012</c:v>
                </c:pt>
                <c:pt idx="113">
                  <c:v>2013</c:v>
                </c:pt>
                <c:pt idx="114">
                  <c:v>2014</c:v>
                </c:pt>
                <c:pt idx="115">
                  <c:v>2015</c:v>
                </c:pt>
                <c:pt idx="116">
                  <c:v>2016</c:v>
                </c:pt>
                <c:pt idx="117">
                  <c:v>2017</c:v>
                </c:pt>
                <c:pt idx="118">
                  <c:v>2018</c:v>
                </c:pt>
                <c:pt idx="119">
                  <c:v>2019</c:v>
                </c:pt>
                <c:pt idx="120">
                  <c:v>2020</c:v>
                </c:pt>
                <c:pt idx="121">
                  <c:v>2021</c:v>
                </c:pt>
                <c:pt idx="122">
                  <c:v>2022</c:v>
                </c:pt>
                <c:pt idx="123">
                  <c:v>2023</c:v>
                </c:pt>
                <c:pt idx="124">
                  <c:v>2024</c:v>
                </c:pt>
                <c:pt idx="125">
                  <c:v>2025</c:v>
                </c:pt>
                <c:pt idx="126">
                  <c:v>2026</c:v>
                </c:pt>
                <c:pt idx="127">
                  <c:v>2027</c:v>
                </c:pt>
                <c:pt idx="128">
                  <c:v>2028</c:v>
                </c:pt>
                <c:pt idx="129">
                  <c:v>2029</c:v>
                </c:pt>
                <c:pt idx="130">
                  <c:v>2030</c:v>
                </c:pt>
                <c:pt idx="131">
                  <c:v>2031</c:v>
                </c:pt>
                <c:pt idx="132">
                  <c:v>2032</c:v>
                </c:pt>
                <c:pt idx="133">
                  <c:v>2033</c:v>
                </c:pt>
                <c:pt idx="134">
                  <c:v>2034</c:v>
                </c:pt>
                <c:pt idx="135">
                  <c:v>2035</c:v>
                </c:pt>
                <c:pt idx="136">
                  <c:v>2036</c:v>
                </c:pt>
                <c:pt idx="137">
                  <c:v>2037</c:v>
                </c:pt>
                <c:pt idx="138">
                  <c:v>2038</c:v>
                </c:pt>
                <c:pt idx="139">
                  <c:v>2039</c:v>
                </c:pt>
                <c:pt idx="140">
                  <c:v>2040</c:v>
                </c:pt>
                <c:pt idx="141">
                  <c:v>2041</c:v>
                </c:pt>
                <c:pt idx="142">
                  <c:v>2042</c:v>
                </c:pt>
                <c:pt idx="143">
                  <c:v>2043</c:v>
                </c:pt>
                <c:pt idx="144">
                  <c:v>2044</c:v>
                </c:pt>
                <c:pt idx="145">
                  <c:v>2045</c:v>
                </c:pt>
                <c:pt idx="146">
                  <c:v>2046</c:v>
                </c:pt>
                <c:pt idx="147">
                  <c:v>2047</c:v>
                </c:pt>
                <c:pt idx="148">
                  <c:v>2048</c:v>
                </c:pt>
                <c:pt idx="149">
                  <c:v>2049</c:v>
                </c:pt>
                <c:pt idx="150">
                  <c:v>2050</c:v>
                </c:pt>
                <c:pt idx="151">
                  <c:v>2051</c:v>
                </c:pt>
                <c:pt idx="152">
                  <c:v>2052</c:v>
                </c:pt>
                <c:pt idx="153">
                  <c:v>2053</c:v>
                </c:pt>
                <c:pt idx="154">
                  <c:v>2054</c:v>
                </c:pt>
                <c:pt idx="155">
                  <c:v>2055</c:v>
                </c:pt>
                <c:pt idx="156">
                  <c:v>2056</c:v>
                </c:pt>
                <c:pt idx="157">
                  <c:v>2057</c:v>
                </c:pt>
                <c:pt idx="158">
                  <c:v>2058</c:v>
                </c:pt>
                <c:pt idx="159">
                  <c:v>2059</c:v>
                </c:pt>
                <c:pt idx="160">
                  <c:v>2060</c:v>
                </c:pt>
                <c:pt idx="161">
                  <c:v>2061</c:v>
                </c:pt>
                <c:pt idx="162">
                  <c:v>2062</c:v>
                </c:pt>
                <c:pt idx="163">
                  <c:v>2063</c:v>
                </c:pt>
                <c:pt idx="164">
                  <c:v>2064</c:v>
                </c:pt>
                <c:pt idx="165">
                  <c:v>2065</c:v>
                </c:pt>
                <c:pt idx="166">
                  <c:v>2066</c:v>
                </c:pt>
                <c:pt idx="167">
                  <c:v>2067</c:v>
                </c:pt>
                <c:pt idx="168">
                  <c:v>2068</c:v>
                </c:pt>
                <c:pt idx="169">
                  <c:v>2069</c:v>
                </c:pt>
                <c:pt idx="170">
                  <c:v>2070</c:v>
                </c:pt>
                <c:pt idx="171">
                  <c:v>2071</c:v>
                </c:pt>
                <c:pt idx="172">
                  <c:v>2072</c:v>
                </c:pt>
                <c:pt idx="173">
                  <c:v>2073</c:v>
                </c:pt>
                <c:pt idx="174">
                  <c:v>2074</c:v>
                </c:pt>
                <c:pt idx="175">
                  <c:v>2075</c:v>
                </c:pt>
                <c:pt idx="176">
                  <c:v>2076</c:v>
                </c:pt>
                <c:pt idx="177">
                  <c:v>2077</c:v>
                </c:pt>
                <c:pt idx="178">
                  <c:v>2078</c:v>
                </c:pt>
                <c:pt idx="179">
                  <c:v>2079</c:v>
                </c:pt>
                <c:pt idx="180">
                  <c:v>2080</c:v>
                </c:pt>
                <c:pt idx="181">
                  <c:v>2081</c:v>
                </c:pt>
                <c:pt idx="182">
                  <c:v>2082</c:v>
                </c:pt>
                <c:pt idx="183">
                  <c:v>2083</c:v>
                </c:pt>
                <c:pt idx="184">
                  <c:v>2084</c:v>
                </c:pt>
                <c:pt idx="185">
                  <c:v>2085</c:v>
                </c:pt>
              </c:numCache>
            </c:numRef>
          </c:xVal>
          <c:yVal>
            <c:numRef>
              <c:f>'Pennsylvania anthracite'!$H$109:$H$294</c:f>
              <c:numCache>
                <c:formatCode>0.0</c:formatCode>
                <c:ptCount val="186"/>
                <c:pt idx="0">
                  <c:v>3.253260275396515</c:v>
                </c:pt>
                <c:pt idx="1">
                  <c:v>3.240096839744115</c:v>
                </c:pt>
                <c:pt idx="2">
                  <c:v>3.1226233836933202</c:v>
                </c:pt>
                <c:pt idx="3">
                  <c:v>3.1152676335770106</c:v>
                </c:pt>
                <c:pt idx="4">
                  <c:v>3.161829000621537</c:v>
                </c:pt>
                <c:pt idx="5">
                  <c:v>3.2534648746750356</c:v>
                </c:pt>
                <c:pt idx="6">
                  <c:v>3.3397494662006921</c:v>
                </c:pt>
                <c:pt idx="7">
                  <c:v>3.4701740492099078</c:v>
                </c:pt>
                <c:pt idx="8">
                  <c:v>3.6123567917960044</c:v>
                </c:pt>
                <c:pt idx="9">
                  <c:v>3.7467399027276804</c:v>
                </c:pt>
                <c:pt idx="10">
                  <c:v>3.8802706266298626</c:v>
                </c:pt>
                <c:pt idx="11">
                  <c:v>4.0250317072605766</c:v>
                </c:pt>
                <c:pt idx="12">
                  <c:v>4.1524209149079985</c:v>
                </c:pt>
                <c:pt idx="13">
                  <c:v>4.2823720215583556</c:v>
                </c:pt>
                <c:pt idx="14">
                  <c:v>4.4064930608959676</c:v>
                </c:pt>
                <c:pt idx="15">
                  <c:v>4.5171225156575154</c:v>
                </c:pt>
                <c:pt idx="16">
                  <c:v>4.6112917624710557</c:v>
                </c:pt>
                <c:pt idx="17">
                  <c:v>4.7168525389732521</c:v>
                </c:pt>
                <c:pt idx="18">
                  <c:v>4.8249051510607952</c:v>
                </c:pt>
                <c:pt idx="19">
                  <c:v>4.9103262003454136</c:v>
                </c:pt>
                <c:pt idx="20">
                  <c:v>4.9810144869418238</c:v>
                </c:pt>
                <c:pt idx="21">
                  <c:v>5.041546068857591</c:v>
                </c:pt>
                <c:pt idx="22">
                  <c:v>5.0422227316752597</c:v>
                </c:pt>
                <c:pt idx="23">
                  <c:v>5.0551897791039746</c:v>
                </c:pt>
                <c:pt idx="24">
                  <c:v>5.0708952721857212</c:v>
                </c:pt>
                <c:pt idx="25">
                  <c:v>5.0595884994696867</c:v>
                </c:pt>
                <c:pt idx="26">
                  <c:v>5.0551801237709917</c:v>
                </c:pt>
                <c:pt idx="27">
                  <c:v>5.0529323435509923</c:v>
                </c:pt>
                <c:pt idx="28">
                  <c:v>5.0492860249971656</c:v>
                </c:pt>
                <c:pt idx="29">
                  <c:v>5.0448796074242122</c:v>
                </c:pt>
                <c:pt idx="30">
                  <c:v>5.0378597717802975</c:v>
                </c:pt>
                <c:pt idx="31">
                  <c:v>5.0232722751726184</c:v>
                </c:pt>
                <c:pt idx="32">
                  <c:v>4.9985781426174913</c:v>
                </c:pt>
                <c:pt idx="33">
                  <c:v>4.968558482005724</c:v>
                </c:pt>
                <c:pt idx="34">
                  <c:v>4.9408507180259953</c:v>
                </c:pt>
                <c:pt idx="35">
                  <c:v>4.9138915104177814</c:v>
                </c:pt>
                <c:pt idx="36">
                  <c:v>4.890380698630004</c:v>
                </c:pt>
                <c:pt idx="37">
                  <c:v>4.8696506557932837</c:v>
                </c:pt>
                <c:pt idx="38">
                  <c:v>4.8496666121481988</c:v>
                </c:pt>
                <c:pt idx="39">
                  <c:v>4.8340772979519651</c:v>
                </c:pt>
                <c:pt idx="40">
                  <c:v>4.8231383496964533</c:v>
                </c:pt>
                <c:pt idx="41">
                  <c:v>4.8192891567518661</c:v>
                </c:pt>
                <c:pt idx="42">
                  <c:v>4.8240627297028649</c:v>
                </c:pt>
                <c:pt idx="43">
                  <c:v>4.8366846692089629</c:v>
                </c:pt>
                <c:pt idx="44">
                  <c:v>4.8577342057493214</c:v>
                </c:pt>
                <c:pt idx="45">
                  <c:v>4.8809088591901997</c:v>
                </c:pt>
                <c:pt idx="46">
                  <c:v>4.9091913423149709</c:v>
                </c:pt>
                <c:pt idx="47">
                  <c:v>4.9398437835755233</c:v>
                </c:pt>
                <c:pt idx="48">
                  <c:v>4.9725991903487676</c:v>
                </c:pt>
                <c:pt idx="49">
                  <c:v>4.9997646846535453</c:v>
                </c:pt>
                <c:pt idx="50">
                  <c:v>5.0243076602916528</c:v>
                </c:pt>
                <c:pt idx="51">
                  <c:v>5.0467918884902137</c:v>
                </c:pt>
                <c:pt idx="52">
                  <c:v>5.0672970091691623</c:v>
                </c:pt>
                <c:pt idx="53">
                  <c:v>5.0827792525273594</c:v>
                </c:pt>
                <c:pt idx="54">
                  <c:v>5.0944226379937563</c:v>
                </c:pt>
                <c:pt idx="55">
                  <c:v>5.1026572124700866</c:v>
                </c:pt>
                <c:pt idx="56">
                  <c:v>5.1096364823278027</c:v>
                </c:pt>
                <c:pt idx="57">
                  <c:v>5.1148612660586803</c:v>
                </c:pt>
                <c:pt idx="58">
                  <c:v>5.1178237144861338</c:v>
                </c:pt>
                <c:pt idx="59">
                  <c:v>5.1192361212608706</c:v>
                </c:pt>
                <c:pt idx="60">
                  <c:v>5.1192555515741738</c:v>
                </c:pt>
                <c:pt idx="61">
                  <c:v>5.1181218029461659</c:v>
                </c:pt>
                <c:pt idx="62">
                  <c:v>5.1162115636530761</c:v>
                </c:pt>
                <c:pt idx="63">
                  <c:v>5.1142612953567124</c:v>
                </c:pt>
                <c:pt idx="64">
                  <c:v>5.112277858639767</c:v>
                </c:pt>
                <c:pt idx="65">
                  <c:v>5.1099689148366387</c:v>
                </c:pt>
                <c:pt idx="66">
                  <c:v>5.1071855868802603</c:v>
                </c:pt>
                <c:pt idx="67">
                  <c:v>5.1040743247562501</c:v>
                </c:pt>
                <c:pt idx="68">
                  <c:v>5.1007209127295612</c:v>
                </c:pt>
                <c:pt idx="69">
                  <c:v>5.0971485082514532</c:v>
                </c:pt>
                <c:pt idx="70">
                  <c:v>5.0934170086172808</c:v>
                </c:pt>
                <c:pt idx="71">
                  <c:v>5.0895206515140297</c:v>
                </c:pt>
                <c:pt idx="72">
                  <c:v>5.0853421964770762</c:v>
                </c:pt>
                <c:pt idx="73">
                  <c:v>5.0810134032337118</c:v>
                </c:pt>
                <c:pt idx="74">
                  <c:v>5.0766428847033946</c:v>
                </c:pt>
                <c:pt idx="75">
                  <c:v>5.0722824663438741</c:v>
                </c:pt>
                <c:pt idx="76">
                  <c:v>5.0680353066036119</c:v>
                </c:pt>
                <c:pt idx="77">
                  <c:v>5.0639266435622066</c:v>
                </c:pt>
                <c:pt idx="78">
                  <c:v>5.0599069551267108</c:v>
                </c:pt>
                <c:pt idx="79">
                  <c:v>5.0560161386057629</c:v>
                </c:pt>
                <c:pt idx="80">
                  <c:v>5.0524873170974161</c:v>
                </c:pt>
                <c:pt idx="81">
                  <c:v>5.0492695699625063</c:v>
                </c:pt>
                <c:pt idx="82">
                  <c:v>5.0462742272662737</c:v>
                </c:pt>
                <c:pt idx="83">
                  <c:v>5.0434630456881768</c:v>
                </c:pt>
                <c:pt idx="84">
                  <c:v>5.0408832553084197</c:v>
                </c:pt>
                <c:pt idx="85">
                  <c:v>5.0386518161577545</c:v>
                </c:pt>
                <c:pt idx="86">
                  <c:v>5.0367232438307132</c:v>
                </c:pt>
                <c:pt idx="87">
                  <c:v>5.0349908737313287</c:v>
                </c:pt>
                <c:pt idx="88">
                  <c:v>5.0334750413285452</c:v>
                </c:pt>
                <c:pt idx="89">
                  <c:v>5.0321562237103894</c:v>
                </c:pt>
                <c:pt idx="90">
                  <c:v>5.031079548042154</c:v>
                </c:pt>
                <c:pt idx="91">
                  <c:v>5.0302448760585259</c:v>
                </c:pt>
                <c:pt idx="92">
                  <c:v>5.0296692329076844</c:v>
                </c:pt>
                <c:pt idx="93">
                  <c:v>5.0295473328866453</c:v>
                </c:pt>
                <c:pt idx="94">
                  <c:v>5.0299664171125462</c:v>
                </c:pt>
                <c:pt idx="95">
                  <c:v>5.0309298192577083</c:v>
                </c:pt>
                <c:pt idx="96">
                  <c:v>5.0324129336383621</c:v>
                </c:pt>
                <c:pt idx="97">
                  <c:v>5.0343228467160053</c:v>
                </c:pt>
                <c:pt idx="98">
                  <c:v>5.0368176200884953</c:v>
                </c:pt>
                <c:pt idx="99">
                  <c:v>5.0395651473136898</c:v>
                </c:pt>
                <c:pt idx="100">
                  <c:v>5.0424392505038353</c:v>
                </c:pt>
                <c:pt idx="101">
                  <c:v>5.0443791445541537</c:v>
                </c:pt>
                <c:pt idx="102">
                  <c:v>5.0456733328643661</c:v>
                </c:pt>
                <c:pt idx="103">
                  <c:v>5.0465770625848672</c:v>
                </c:pt>
                <c:pt idx="104">
                  <c:v>5.0473340956778694</c:v>
                </c:pt>
                <c:pt idx="105">
                  <c:v>5.0479975407482778</c:v>
                </c:pt>
                <c:pt idx="106">
                  <c:v>5.0485665988779855</c:v>
                </c:pt>
                <c:pt idx="107">
                  <c:v>5.049084937680556</c:v>
                </c:pt>
                <c:pt idx="108">
                  <c:v>5.0496082928243817</c:v>
                </c:pt>
                <c:pt idx="109">
                  <c:v>5.0501587499966902</c:v>
                </c:pt>
              </c:numCache>
            </c:numRef>
          </c:yVal>
          <c:smooth val="1"/>
          <c:extLst>
            <c:ext xmlns:c16="http://schemas.microsoft.com/office/drawing/2014/chart" uri="{C3380CC4-5D6E-409C-BE32-E72D297353CC}">
              <c16:uniqueId val="{00000003-AA9F-5947-B0E5-E588025BBF4E}"/>
            </c:ext>
          </c:extLst>
        </c:ser>
        <c:ser>
          <c:idx val="4"/>
          <c:order val="4"/>
          <c:tx>
            <c:v>early Q historical</c:v>
          </c:tx>
          <c:spPr>
            <a:ln w="15875">
              <a:solidFill>
                <a:srgbClr val="333399"/>
              </a:solidFill>
              <a:prstDash val="lgDash"/>
            </a:ln>
          </c:spPr>
          <c:marker>
            <c:symbol val="none"/>
          </c:marker>
          <c:xVal>
            <c:numRef>
              <c:f>'Pennsylvania anthracite'!$D$95:$D$108</c:f>
              <c:numCache>
                <c:formatCode>General</c:formatCode>
                <c:ptCount val="14"/>
                <c:pt idx="0">
                  <c:v>1886</c:v>
                </c:pt>
                <c:pt idx="1">
                  <c:v>1887</c:v>
                </c:pt>
                <c:pt idx="2">
                  <c:v>1888</c:v>
                </c:pt>
                <c:pt idx="3">
                  <c:v>1889</c:v>
                </c:pt>
                <c:pt idx="4">
                  <c:v>1890</c:v>
                </c:pt>
                <c:pt idx="5">
                  <c:v>1891</c:v>
                </c:pt>
                <c:pt idx="6">
                  <c:v>1892</c:v>
                </c:pt>
                <c:pt idx="7">
                  <c:v>1893</c:v>
                </c:pt>
                <c:pt idx="8">
                  <c:v>1894</c:v>
                </c:pt>
                <c:pt idx="9">
                  <c:v>1895</c:v>
                </c:pt>
                <c:pt idx="10">
                  <c:v>1896</c:v>
                </c:pt>
                <c:pt idx="11">
                  <c:v>1897</c:v>
                </c:pt>
                <c:pt idx="12">
                  <c:v>1898</c:v>
                </c:pt>
                <c:pt idx="13">
                  <c:v>1899</c:v>
                </c:pt>
              </c:numCache>
            </c:numRef>
          </c:xVal>
          <c:yVal>
            <c:numRef>
              <c:f>'Pennsylvania anthracite'!$H$95:$H$108</c:f>
              <c:numCache>
                <c:formatCode>0.0</c:formatCode>
                <c:ptCount val="14"/>
                <c:pt idx="0">
                  <c:v>19.374364264945321</c:v>
                </c:pt>
                <c:pt idx="1">
                  <c:v>9.3100329194128602</c:v>
                </c:pt>
                <c:pt idx="2">
                  <c:v>7.9158160394287398</c:v>
                </c:pt>
                <c:pt idx="3">
                  <c:v>6.5559354264110787</c:v>
                </c:pt>
                <c:pt idx="4">
                  <c:v>5.4751999835450826</c:v>
                </c:pt>
                <c:pt idx="5">
                  <c:v>4.9886199517888912</c:v>
                </c:pt>
                <c:pt idx="6">
                  <c:v>4.7197168369336797</c:v>
                </c:pt>
                <c:pt idx="7">
                  <c:v>4.5311600314603311</c:v>
                </c:pt>
                <c:pt idx="8">
                  <c:v>4.2420380807680464</c:v>
                </c:pt>
                <c:pt idx="9">
                  <c:v>4.0980578799743652</c:v>
                </c:pt>
                <c:pt idx="10">
                  <c:v>3.9050735290532752</c:v>
                </c:pt>
                <c:pt idx="11">
                  <c:v>3.6751671837107196</c:v>
                </c:pt>
                <c:pt idx="12">
                  <c:v>3.4650344755228573</c:v>
                </c:pt>
                <c:pt idx="13">
                  <c:v>3.3480061158607168</c:v>
                </c:pt>
              </c:numCache>
            </c:numRef>
          </c:yVal>
          <c:smooth val="1"/>
          <c:extLst>
            <c:ext xmlns:c16="http://schemas.microsoft.com/office/drawing/2014/chart" uri="{C3380CC4-5D6E-409C-BE32-E72D297353CC}">
              <c16:uniqueId val="{00000004-AA9F-5947-B0E5-E588025BBF4E}"/>
            </c:ext>
          </c:extLst>
        </c:ser>
        <c:dLbls>
          <c:showLegendKey val="0"/>
          <c:showVal val="0"/>
          <c:showCatName val="0"/>
          <c:showSerName val="0"/>
          <c:showPercent val="0"/>
          <c:showBubbleSize val="0"/>
        </c:dLbls>
        <c:axId val="130646784"/>
        <c:axId val="130648320"/>
      </c:scatterChart>
      <c:valAx>
        <c:axId val="130646784"/>
        <c:scaling>
          <c:orientation val="minMax"/>
          <c:max val="2020"/>
          <c:min val="18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0648320"/>
        <c:crosses val="autoZero"/>
        <c:crossBetween val="midCat"/>
        <c:majorUnit val="60"/>
        <c:minorUnit val="10"/>
      </c:valAx>
      <c:valAx>
        <c:axId val="130648320"/>
        <c:scaling>
          <c:orientation val="minMax"/>
          <c:max val="6"/>
          <c:min val="0"/>
        </c:scaling>
        <c:delete val="0"/>
        <c:axPos val="r"/>
        <c:title>
          <c:tx>
            <c:rich>
              <a:bodyPr rot="-5400000" vert="horz"/>
              <a:lstStyle/>
              <a:p>
                <a:pPr>
                  <a:defRPr sz="1200" b="0">
                    <a:solidFill>
                      <a:srgbClr val="333399"/>
                    </a:solidFill>
                  </a:defRPr>
                </a:pPr>
                <a:r>
                  <a:rPr lang="en-US" sz="1200" b="0">
                    <a:solidFill>
                      <a:srgbClr val="333399"/>
                    </a:solidFill>
                  </a:rPr>
                  <a:t>Cumulative production, Gt</a:t>
                </a:r>
              </a:p>
            </c:rich>
          </c:tx>
          <c:layout>
            <c:manualLayout>
              <c:xMode val="edge"/>
              <c:yMode val="edge"/>
              <c:x val="0.96240681576144838"/>
              <c:y val="0.13136920384951883"/>
            </c:manualLayout>
          </c:layout>
          <c:overlay val="0"/>
        </c:title>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0646784"/>
        <c:crosses val="max"/>
        <c:crossBetween val="midCat"/>
        <c:majorUnit val="3"/>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7180330893143154"/>
          <c:h val="0.77264654418197765"/>
        </c:manualLayout>
      </c:layout>
      <c:scatterChart>
        <c:scatterStyle val="smoothMarker"/>
        <c:varyColors val="0"/>
        <c:ser>
          <c:idx val="2"/>
          <c:order val="0"/>
          <c:tx>
            <c:strRef>
              <c:f>'Pennsylvania anthracite'!$H$7</c:f>
              <c:strCache>
                <c:ptCount val="1"/>
                <c:pt idx="0">
                  <c:v>Q historical</c:v>
                </c:pt>
              </c:strCache>
            </c:strRef>
          </c:tx>
          <c:spPr>
            <a:ln w="15875">
              <a:solidFill>
                <a:srgbClr val="333399"/>
              </a:solidFill>
            </a:ln>
          </c:spPr>
          <c:marker>
            <c:symbol val="none"/>
          </c:marker>
          <c:xVal>
            <c:numRef>
              <c:f>'Pennsylvania anthracite'!$D$109:$D$294</c:f>
              <c:numCache>
                <c:formatCode>General</c:formatCode>
                <c:ptCount val="186"/>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pt idx="13">
                  <c:v>1913</c:v>
                </c:pt>
                <c:pt idx="14">
                  <c:v>1914</c:v>
                </c:pt>
                <c:pt idx="15">
                  <c:v>1915</c:v>
                </c:pt>
                <c:pt idx="16">
                  <c:v>1916</c:v>
                </c:pt>
                <c:pt idx="17">
                  <c:v>1917</c:v>
                </c:pt>
                <c:pt idx="18">
                  <c:v>1918</c:v>
                </c:pt>
                <c:pt idx="19">
                  <c:v>1919</c:v>
                </c:pt>
                <c:pt idx="20">
                  <c:v>1920</c:v>
                </c:pt>
                <c:pt idx="21">
                  <c:v>1921</c:v>
                </c:pt>
                <c:pt idx="22">
                  <c:v>1922</c:v>
                </c:pt>
                <c:pt idx="23">
                  <c:v>1923</c:v>
                </c:pt>
                <c:pt idx="24">
                  <c:v>1924</c:v>
                </c:pt>
                <c:pt idx="25">
                  <c:v>1925</c:v>
                </c:pt>
                <c:pt idx="26">
                  <c:v>1926</c:v>
                </c:pt>
                <c:pt idx="27">
                  <c:v>1927</c:v>
                </c:pt>
                <c:pt idx="28">
                  <c:v>1928</c:v>
                </c:pt>
                <c:pt idx="29">
                  <c:v>1929</c:v>
                </c:pt>
                <c:pt idx="30">
                  <c:v>1930</c:v>
                </c:pt>
                <c:pt idx="31">
                  <c:v>1931</c:v>
                </c:pt>
                <c:pt idx="32">
                  <c:v>1932</c:v>
                </c:pt>
                <c:pt idx="33">
                  <c:v>1933</c:v>
                </c:pt>
                <c:pt idx="34">
                  <c:v>1934</c:v>
                </c:pt>
                <c:pt idx="35">
                  <c:v>1935</c:v>
                </c:pt>
                <c:pt idx="36">
                  <c:v>1936</c:v>
                </c:pt>
                <c:pt idx="37">
                  <c:v>1937</c:v>
                </c:pt>
                <c:pt idx="38">
                  <c:v>1938</c:v>
                </c:pt>
                <c:pt idx="39">
                  <c:v>1939</c:v>
                </c:pt>
                <c:pt idx="40">
                  <c:v>1940</c:v>
                </c:pt>
                <c:pt idx="41">
                  <c:v>1941</c:v>
                </c:pt>
                <c:pt idx="42">
                  <c:v>1942</c:v>
                </c:pt>
                <c:pt idx="43">
                  <c:v>1943</c:v>
                </c:pt>
                <c:pt idx="44">
                  <c:v>1944</c:v>
                </c:pt>
                <c:pt idx="45">
                  <c:v>1945</c:v>
                </c:pt>
                <c:pt idx="46">
                  <c:v>1946</c:v>
                </c:pt>
                <c:pt idx="47">
                  <c:v>1947</c:v>
                </c:pt>
                <c:pt idx="48">
                  <c:v>1948</c:v>
                </c:pt>
                <c:pt idx="49">
                  <c:v>1949</c:v>
                </c:pt>
                <c:pt idx="50">
                  <c:v>1950</c:v>
                </c:pt>
                <c:pt idx="51">
                  <c:v>1951</c:v>
                </c:pt>
                <c:pt idx="52">
                  <c:v>1952</c:v>
                </c:pt>
                <c:pt idx="53">
                  <c:v>1953</c:v>
                </c:pt>
                <c:pt idx="54">
                  <c:v>1954</c:v>
                </c:pt>
                <c:pt idx="55">
                  <c:v>1955</c:v>
                </c:pt>
                <c:pt idx="56">
                  <c:v>1956</c:v>
                </c:pt>
                <c:pt idx="57">
                  <c:v>1957</c:v>
                </c:pt>
                <c:pt idx="58">
                  <c:v>1958</c:v>
                </c:pt>
                <c:pt idx="59">
                  <c:v>1959</c:v>
                </c:pt>
                <c:pt idx="60">
                  <c:v>1960</c:v>
                </c:pt>
                <c:pt idx="61">
                  <c:v>1961</c:v>
                </c:pt>
                <c:pt idx="62">
                  <c:v>1962</c:v>
                </c:pt>
                <c:pt idx="63">
                  <c:v>1963</c:v>
                </c:pt>
                <c:pt idx="64">
                  <c:v>1964</c:v>
                </c:pt>
                <c:pt idx="65">
                  <c:v>1965</c:v>
                </c:pt>
                <c:pt idx="66">
                  <c:v>1966</c:v>
                </c:pt>
                <c:pt idx="67">
                  <c:v>1967</c:v>
                </c:pt>
                <c:pt idx="68">
                  <c:v>1968</c:v>
                </c:pt>
                <c:pt idx="69">
                  <c:v>1969</c:v>
                </c:pt>
                <c:pt idx="70">
                  <c:v>1970</c:v>
                </c:pt>
                <c:pt idx="71">
                  <c:v>1971</c:v>
                </c:pt>
                <c:pt idx="72">
                  <c:v>1972</c:v>
                </c:pt>
                <c:pt idx="73">
                  <c:v>1973</c:v>
                </c:pt>
                <c:pt idx="74">
                  <c:v>1974</c:v>
                </c:pt>
                <c:pt idx="75">
                  <c:v>1975</c:v>
                </c:pt>
                <c:pt idx="76">
                  <c:v>1976</c:v>
                </c:pt>
                <c:pt idx="77">
                  <c:v>1977</c:v>
                </c:pt>
                <c:pt idx="78">
                  <c:v>1978</c:v>
                </c:pt>
                <c:pt idx="79">
                  <c:v>1979</c:v>
                </c:pt>
                <c:pt idx="80">
                  <c:v>1980</c:v>
                </c:pt>
                <c:pt idx="81">
                  <c:v>1981</c:v>
                </c:pt>
                <c:pt idx="82">
                  <c:v>1982</c:v>
                </c:pt>
                <c:pt idx="83">
                  <c:v>1983</c:v>
                </c:pt>
                <c:pt idx="84">
                  <c:v>1984</c:v>
                </c:pt>
                <c:pt idx="85">
                  <c:v>1985</c:v>
                </c:pt>
                <c:pt idx="86">
                  <c:v>1986</c:v>
                </c:pt>
                <c:pt idx="87">
                  <c:v>1987</c:v>
                </c:pt>
                <c:pt idx="88">
                  <c:v>1988</c:v>
                </c:pt>
                <c:pt idx="89">
                  <c:v>1989</c:v>
                </c:pt>
                <c:pt idx="90">
                  <c:v>1990</c:v>
                </c:pt>
                <c:pt idx="91">
                  <c:v>1991</c:v>
                </c:pt>
                <c:pt idx="92">
                  <c:v>1992</c:v>
                </c:pt>
                <c:pt idx="93">
                  <c:v>1993</c:v>
                </c:pt>
                <c:pt idx="94">
                  <c:v>1994</c:v>
                </c:pt>
                <c:pt idx="95">
                  <c:v>1995</c:v>
                </c:pt>
                <c:pt idx="96">
                  <c:v>1996</c:v>
                </c:pt>
                <c:pt idx="97">
                  <c:v>1997</c:v>
                </c:pt>
                <c:pt idx="98">
                  <c:v>1998</c:v>
                </c:pt>
                <c:pt idx="99">
                  <c:v>1999</c:v>
                </c:pt>
                <c:pt idx="100">
                  <c:v>2000</c:v>
                </c:pt>
                <c:pt idx="101">
                  <c:v>2001</c:v>
                </c:pt>
                <c:pt idx="102">
                  <c:v>2002</c:v>
                </c:pt>
                <c:pt idx="103">
                  <c:v>2003</c:v>
                </c:pt>
                <c:pt idx="104">
                  <c:v>2004</c:v>
                </c:pt>
                <c:pt idx="105">
                  <c:v>2005</c:v>
                </c:pt>
                <c:pt idx="106">
                  <c:v>2006</c:v>
                </c:pt>
                <c:pt idx="107">
                  <c:v>2007</c:v>
                </c:pt>
                <c:pt idx="108">
                  <c:v>2008</c:v>
                </c:pt>
                <c:pt idx="109">
                  <c:v>2009</c:v>
                </c:pt>
                <c:pt idx="110">
                  <c:v>2010</c:v>
                </c:pt>
                <c:pt idx="111">
                  <c:v>2011</c:v>
                </c:pt>
                <c:pt idx="112">
                  <c:v>2012</c:v>
                </c:pt>
                <c:pt idx="113">
                  <c:v>2013</c:v>
                </c:pt>
                <c:pt idx="114">
                  <c:v>2014</c:v>
                </c:pt>
                <c:pt idx="115">
                  <c:v>2015</c:v>
                </c:pt>
                <c:pt idx="116">
                  <c:v>2016</c:v>
                </c:pt>
                <c:pt idx="117">
                  <c:v>2017</c:v>
                </c:pt>
                <c:pt idx="118">
                  <c:v>2018</c:v>
                </c:pt>
                <c:pt idx="119">
                  <c:v>2019</c:v>
                </c:pt>
                <c:pt idx="120">
                  <c:v>2020</c:v>
                </c:pt>
                <c:pt idx="121">
                  <c:v>2021</c:v>
                </c:pt>
                <c:pt idx="122">
                  <c:v>2022</c:v>
                </c:pt>
                <c:pt idx="123">
                  <c:v>2023</c:v>
                </c:pt>
                <c:pt idx="124">
                  <c:v>2024</c:v>
                </c:pt>
                <c:pt idx="125">
                  <c:v>2025</c:v>
                </c:pt>
                <c:pt idx="126">
                  <c:v>2026</c:v>
                </c:pt>
                <c:pt idx="127">
                  <c:v>2027</c:v>
                </c:pt>
                <c:pt idx="128">
                  <c:v>2028</c:v>
                </c:pt>
                <c:pt idx="129">
                  <c:v>2029</c:v>
                </c:pt>
                <c:pt idx="130">
                  <c:v>2030</c:v>
                </c:pt>
                <c:pt idx="131">
                  <c:v>2031</c:v>
                </c:pt>
                <c:pt idx="132">
                  <c:v>2032</c:v>
                </c:pt>
                <c:pt idx="133">
                  <c:v>2033</c:v>
                </c:pt>
                <c:pt idx="134">
                  <c:v>2034</c:v>
                </c:pt>
                <c:pt idx="135">
                  <c:v>2035</c:v>
                </c:pt>
                <c:pt idx="136">
                  <c:v>2036</c:v>
                </c:pt>
                <c:pt idx="137">
                  <c:v>2037</c:v>
                </c:pt>
                <c:pt idx="138">
                  <c:v>2038</c:v>
                </c:pt>
                <c:pt idx="139">
                  <c:v>2039</c:v>
                </c:pt>
                <c:pt idx="140">
                  <c:v>2040</c:v>
                </c:pt>
                <c:pt idx="141">
                  <c:v>2041</c:v>
                </c:pt>
                <c:pt idx="142">
                  <c:v>2042</c:v>
                </c:pt>
                <c:pt idx="143">
                  <c:v>2043</c:v>
                </c:pt>
                <c:pt idx="144">
                  <c:v>2044</c:v>
                </c:pt>
                <c:pt idx="145">
                  <c:v>2045</c:v>
                </c:pt>
                <c:pt idx="146">
                  <c:v>2046</c:v>
                </c:pt>
                <c:pt idx="147">
                  <c:v>2047</c:v>
                </c:pt>
                <c:pt idx="148">
                  <c:v>2048</c:v>
                </c:pt>
                <c:pt idx="149">
                  <c:v>2049</c:v>
                </c:pt>
                <c:pt idx="150">
                  <c:v>2050</c:v>
                </c:pt>
                <c:pt idx="151">
                  <c:v>2051</c:v>
                </c:pt>
                <c:pt idx="152">
                  <c:v>2052</c:v>
                </c:pt>
                <c:pt idx="153">
                  <c:v>2053</c:v>
                </c:pt>
                <c:pt idx="154">
                  <c:v>2054</c:v>
                </c:pt>
                <c:pt idx="155">
                  <c:v>2055</c:v>
                </c:pt>
                <c:pt idx="156">
                  <c:v>2056</c:v>
                </c:pt>
                <c:pt idx="157">
                  <c:v>2057</c:v>
                </c:pt>
                <c:pt idx="158">
                  <c:v>2058</c:v>
                </c:pt>
                <c:pt idx="159">
                  <c:v>2059</c:v>
                </c:pt>
                <c:pt idx="160">
                  <c:v>2060</c:v>
                </c:pt>
                <c:pt idx="161">
                  <c:v>2061</c:v>
                </c:pt>
                <c:pt idx="162">
                  <c:v>2062</c:v>
                </c:pt>
                <c:pt idx="163">
                  <c:v>2063</c:v>
                </c:pt>
                <c:pt idx="164">
                  <c:v>2064</c:v>
                </c:pt>
                <c:pt idx="165">
                  <c:v>2065</c:v>
                </c:pt>
                <c:pt idx="166">
                  <c:v>2066</c:v>
                </c:pt>
                <c:pt idx="167">
                  <c:v>2067</c:v>
                </c:pt>
                <c:pt idx="168">
                  <c:v>2068</c:v>
                </c:pt>
                <c:pt idx="169">
                  <c:v>2069</c:v>
                </c:pt>
                <c:pt idx="170">
                  <c:v>2070</c:v>
                </c:pt>
                <c:pt idx="171">
                  <c:v>2071</c:v>
                </c:pt>
                <c:pt idx="172">
                  <c:v>2072</c:v>
                </c:pt>
                <c:pt idx="173">
                  <c:v>2073</c:v>
                </c:pt>
                <c:pt idx="174">
                  <c:v>2074</c:v>
                </c:pt>
                <c:pt idx="175">
                  <c:v>2075</c:v>
                </c:pt>
                <c:pt idx="176">
                  <c:v>2076</c:v>
                </c:pt>
                <c:pt idx="177">
                  <c:v>2077</c:v>
                </c:pt>
                <c:pt idx="178">
                  <c:v>2078</c:v>
                </c:pt>
                <c:pt idx="179">
                  <c:v>2079</c:v>
                </c:pt>
                <c:pt idx="180">
                  <c:v>2080</c:v>
                </c:pt>
                <c:pt idx="181">
                  <c:v>2081</c:v>
                </c:pt>
                <c:pt idx="182">
                  <c:v>2082</c:v>
                </c:pt>
                <c:pt idx="183">
                  <c:v>2083</c:v>
                </c:pt>
                <c:pt idx="184">
                  <c:v>2084</c:v>
                </c:pt>
                <c:pt idx="185">
                  <c:v>2085</c:v>
                </c:pt>
              </c:numCache>
            </c:numRef>
          </c:xVal>
          <c:yVal>
            <c:numRef>
              <c:f>'Pennsylvania anthracite'!$H$109:$H$294</c:f>
              <c:numCache>
                <c:formatCode>0.0</c:formatCode>
                <c:ptCount val="186"/>
                <c:pt idx="0">
                  <c:v>3.253260275396515</c:v>
                </c:pt>
                <c:pt idx="1">
                  <c:v>3.240096839744115</c:v>
                </c:pt>
                <c:pt idx="2">
                  <c:v>3.1226233836933202</c:v>
                </c:pt>
                <c:pt idx="3">
                  <c:v>3.1152676335770106</c:v>
                </c:pt>
                <c:pt idx="4">
                  <c:v>3.161829000621537</c:v>
                </c:pt>
                <c:pt idx="5">
                  <c:v>3.2534648746750356</c:v>
                </c:pt>
                <c:pt idx="6">
                  <c:v>3.3397494662006921</c:v>
                </c:pt>
                <c:pt idx="7">
                  <c:v>3.4701740492099078</c:v>
                </c:pt>
                <c:pt idx="8">
                  <c:v>3.6123567917960044</c:v>
                </c:pt>
                <c:pt idx="9">
                  <c:v>3.7467399027276804</c:v>
                </c:pt>
                <c:pt idx="10">
                  <c:v>3.8802706266298626</c:v>
                </c:pt>
                <c:pt idx="11">
                  <c:v>4.0250317072605766</c:v>
                </c:pt>
                <c:pt idx="12">
                  <c:v>4.1524209149079985</c:v>
                </c:pt>
                <c:pt idx="13">
                  <c:v>4.2823720215583556</c:v>
                </c:pt>
                <c:pt idx="14">
                  <c:v>4.4064930608959676</c:v>
                </c:pt>
                <c:pt idx="15">
                  <c:v>4.5171225156575154</c:v>
                </c:pt>
                <c:pt idx="16">
                  <c:v>4.6112917624710557</c:v>
                </c:pt>
                <c:pt idx="17">
                  <c:v>4.7168525389732521</c:v>
                </c:pt>
                <c:pt idx="18">
                  <c:v>4.8249051510607952</c:v>
                </c:pt>
                <c:pt idx="19">
                  <c:v>4.9103262003454136</c:v>
                </c:pt>
                <c:pt idx="20">
                  <c:v>4.9810144869418238</c:v>
                </c:pt>
                <c:pt idx="21">
                  <c:v>5.041546068857591</c:v>
                </c:pt>
                <c:pt idx="22">
                  <c:v>5.0422227316752597</c:v>
                </c:pt>
                <c:pt idx="23">
                  <c:v>5.0551897791039746</c:v>
                </c:pt>
                <c:pt idx="24">
                  <c:v>5.0708952721857212</c:v>
                </c:pt>
                <c:pt idx="25">
                  <c:v>5.0595884994696867</c:v>
                </c:pt>
                <c:pt idx="26">
                  <c:v>5.0551801237709917</c:v>
                </c:pt>
                <c:pt idx="27">
                  <c:v>5.0529323435509923</c:v>
                </c:pt>
                <c:pt idx="28">
                  <c:v>5.0492860249971656</c:v>
                </c:pt>
                <c:pt idx="29">
                  <c:v>5.0448796074242122</c:v>
                </c:pt>
                <c:pt idx="30">
                  <c:v>5.0378597717802975</c:v>
                </c:pt>
                <c:pt idx="31">
                  <c:v>5.0232722751726184</c:v>
                </c:pt>
                <c:pt idx="32">
                  <c:v>4.9985781426174913</c:v>
                </c:pt>
                <c:pt idx="33">
                  <c:v>4.968558482005724</c:v>
                </c:pt>
                <c:pt idx="34">
                  <c:v>4.9408507180259953</c:v>
                </c:pt>
                <c:pt idx="35">
                  <c:v>4.9138915104177814</c:v>
                </c:pt>
                <c:pt idx="36">
                  <c:v>4.890380698630004</c:v>
                </c:pt>
                <c:pt idx="37">
                  <c:v>4.8696506557932837</c:v>
                </c:pt>
                <c:pt idx="38">
                  <c:v>4.8496666121481988</c:v>
                </c:pt>
                <c:pt idx="39">
                  <c:v>4.8340772979519651</c:v>
                </c:pt>
                <c:pt idx="40">
                  <c:v>4.8231383496964533</c:v>
                </c:pt>
                <c:pt idx="41">
                  <c:v>4.8192891567518661</c:v>
                </c:pt>
                <c:pt idx="42">
                  <c:v>4.8240627297028649</c:v>
                </c:pt>
                <c:pt idx="43">
                  <c:v>4.8366846692089629</c:v>
                </c:pt>
                <c:pt idx="44">
                  <c:v>4.8577342057493214</c:v>
                </c:pt>
                <c:pt idx="45">
                  <c:v>4.8809088591901997</c:v>
                </c:pt>
                <c:pt idx="46">
                  <c:v>4.9091913423149709</c:v>
                </c:pt>
                <c:pt idx="47">
                  <c:v>4.9398437835755233</c:v>
                </c:pt>
                <c:pt idx="48">
                  <c:v>4.9725991903487676</c:v>
                </c:pt>
                <c:pt idx="49">
                  <c:v>4.9997646846535453</c:v>
                </c:pt>
                <c:pt idx="50">
                  <c:v>5.0243076602916528</c:v>
                </c:pt>
                <c:pt idx="51">
                  <c:v>5.0467918884902137</c:v>
                </c:pt>
                <c:pt idx="52">
                  <c:v>5.0672970091691623</c:v>
                </c:pt>
                <c:pt idx="53">
                  <c:v>5.0827792525273594</c:v>
                </c:pt>
                <c:pt idx="54">
                  <c:v>5.0944226379937563</c:v>
                </c:pt>
                <c:pt idx="55">
                  <c:v>5.1026572124700866</c:v>
                </c:pt>
                <c:pt idx="56">
                  <c:v>5.1096364823278027</c:v>
                </c:pt>
                <c:pt idx="57">
                  <c:v>5.1148612660586803</c:v>
                </c:pt>
                <c:pt idx="58">
                  <c:v>5.1178237144861338</c:v>
                </c:pt>
                <c:pt idx="59">
                  <c:v>5.1192361212608706</c:v>
                </c:pt>
                <c:pt idx="60">
                  <c:v>5.1192555515741738</c:v>
                </c:pt>
                <c:pt idx="61">
                  <c:v>5.1181218029461659</c:v>
                </c:pt>
                <c:pt idx="62">
                  <c:v>5.1162115636530761</c:v>
                </c:pt>
                <c:pt idx="63">
                  <c:v>5.1142612953567124</c:v>
                </c:pt>
                <c:pt idx="64">
                  <c:v>5.112277858639767</c:v>
                </c:pt>
                <c:pt idx="65">
                  <c:v>5.1099689148366387</c:v>
                </c:pt>
                <c:pt idx="66">
                  <c:v>5.1071855868802603</c:v>
                </c:pt>
                <c:pt idx="67">
                  <c:v>5.1040743247562501</c:v>
                </c:pt>
                <c:pt idx="68">
                  <c:v>5.1007209127295612</c:v>
                </c:pt>
                <c:pt idx="69">
                  <c:v>5.0971485082514532</c:v>
                </c:pt>
                <c:pt idx="70">
                  <c:v>5.0934170086172808</c:v>
                </c:pt>
                <c:pt idx="71">
                  <c:v>5.0895206515140297</c:v>
                </c:pt>
                <c:pt idx="72">
                  <c:v>5.0853421964770762</c:v>
                </c:pt>
                <c:pt idx="73">
                  <c:v>5.0810134032337118</c:v>
                </c:pt>
                <c:pt idx="74">
                  <c:v>5.0766428847033946</c:v>
                </c:pt>
                <c:pt idx="75">
                  <c:v>5.0722824663438741</c:v>
                </c:pt>
                <c:pt idx="76">
                  <c:v>5.0680353066036119</c:v>
                </c:pt>
                <c:pt idx="77">
                  <c:v>5.0639266435622066</c:v>
                </c:pt>
                <c:pt idx="78">
                  <c:v>5.0599069551267108</c:v>
                </c:pt>
                <c:pt idx="79">
                  <c:v>5.0560161386057629</c:v>
                </c:pt>
                <c:pt idx="80">
                  <c:v>5.0524873170974161</c:v>
                </c:pt>
                <c:pt idx="81">
                  <c:v>5.0492695699625063</c:v>
                </c:pt>
                <c:pt idx="82">
                  <c:v>5.0462742272662737</c:v>
                </c:pt>
                <c:pt idx="83">
                  <c:v>5.0434630456881768</c:v>
                </c:pt>
                <c:pt idx="84">
                  <c:v>5.0408832553084197</c:v>
                </c:pt>
                <c:pt idx="85">
                  <c:v>5.0386518161577545</c:v>
                </c:pt>
                <c:pt idx="86">
                  <c:v>5.0367232438307132</c:v>
                </c:pt>
                <c:pt idx="87">
                  <c:v>5.0349908737313287</c:v>
                </c:pt>
                <c:pt idx="88">
                  <c:v>5.0334750413285452</c:v>
                </c:pt>
                <c:pt idx="89">
                  <c:v>5.0321562237103894</c:v>
                </c:pt>
                <c:pt idx="90">
                  <c:v>5.031079548042154</c:v>
                </c:pt>
                <c:pt idx="91">
                  <c:v>5.0302448760585259</c:v>
                </c:pt>
                <c:pt idx="92">
                  <c:v>5.0296692329076844</c:v>
                </c:pt>
                <c:pt idx="93">
                  <c:v>5.0295473328866453</c:v>
                </c:pt>
                <c:pt idx="94">
                  <c:v>5.0299664171125462</c:v>
                </c:pt>
                <c:pt idx="95">
                  <c:v>5.0309298192577083</c:v>
                </c:pt>
                <c:pt idx="96">
                  <c:v>5.0324129336383621</c:v>
                </c:pt>
                <c:pt idx="97">
                  <c:v>5.0343228467160053</c:v>
                </c:pt>
                <c:pt idx="98">
                  <c:v>5.0368176200884953</c:v>
                </c:pt>
                <c:pt idx="99">
                  <c:v>5.0395651473136898</c:v>
                </c:pt>
                <c:pt idx="100">
                  <c:v>5.0424392505038353</c:v>
                </c:pt>
                <c:pt idx="101">
                  <c:v>5.0443791445541537</c:v>
                </c:pt>
                <c:pt idx="102">
                  <c:v>5.0456733328643661</c:v>
                </c:pt>
                <c:pt idx="103">
                  <c:v>5.0465770625848672</c:v>
                </c:pt>
                <c:pt idx="104">
                  <c:v>5.0473340956778694</c:v>
                </c:pt>
                <c:pt idx="105">
                  <c:v>5.0479975407482778</c:v>
                </c:pt>
                <c:pt idx="106">
                  <c:v>5.0485665988779855</c:v>
                </c:pt>
                <c:pt idx="107">
                  <c:v>5.049084937680556</c:v>
                </c:pt>
                <c:pt idx="108">
                  <c:v>5.0496082928243817</c:v>
                </c:pt>
                <c:pt idx="109">
                  <c:v>5.0501587499966902</c:v>
                </c:pt>
              </c:numCache>
            </c:numRef>
          </c:yVal>
          <c:smooth val="1"/>
          <c:extLst>
            <c:ext xmlns:c16="http://schemas.microsoft.com/office/drawing/2014/chart" uri="{C3380CC4-5D6E-409C-BE32-E72D297353CC}">
              <c16:uniqueId val="{00000000-C1F4-6E47-B11E-C0B6D5CDAB90}"/>
            </c:ext>
          </c:extLst>
        </c:ser>
        <c:ser>
          <c:idx val="0"/>
          <c:order val="1"/>
          <c:tx>
            <c:strRef>
              <c:f>'Pennsylvania anthracite'!$O$7</c:f>
              <c:strCache>
                <c:ptCount val="1"/>
                <c:pt idx="0">
                  <c:v>Q reserves</c:v>
                </c:pt>
              </c:strCache>
            </c:strRef>
          </c:tx>
          <c:spPr>
            <a:ln>
              <a:noFill/>
            </a:ln>
          </c:spPr>
          <c:marker>
            <c:symbol val="circle"/>
            <c:size val="6"/>
            <c:spPr>
              <a:noFill/>
              <a:ln>
                <a:solidFill>
                  <a:srgbClr val="333399"/>
                </a:solidFill>
              </a:ln>
            </c:spPr>
          </c:marker>
          <c:xVal>
            <c:numRef>
              <c:f>'Pennsylvania anthracite'!$N$8:$N$92</c:f>
              <c:numCache>
                <c:formatCode>General</c:formatCode>
                <c:ptCount val="85"/>
                <c:pt idx="0">
                  <c:v>1892</c:v>
                </c:pt>
                <c:pt idx="1">
                  <c:v>1921</c:v>
                </c:pt>
                <c:pt idx="2" formatCode="0">
                  <c:v>1944</c:v>
                </c:pt>
                <c:pt idx="3">
                  <c:v>1964</c:v>
                </c:pt>
                <c:pt idx="4">
                  <c:v>1978</c:v>
                </c:pt>
                <c:pt idx="5">
                  <c:v>1991</c:v>
                </c:pt>
                <c:pt idx="6">
                  <c:v>2001</c:v>
                </c:pt>
                <c:pt idx="7" formatCode="0">
                  <c:v>2005</c:v>
                </c:pt>
                <c:pt idx="8">
                  <c:v>2008</c:v>
                </c:pt>
              </c:numCache>
            </c:numRef>
          </c:xVal>
          <c:yVal>
            <c:numRef>
              <c:f>'Pennsylvania anthracite'!$O$8:$O$92</c:f>
              <c:numCache>
                <c:formatCode>#,##0.0</c:formatCode>
                <c:ptCount val="85"/>
                <c:pt idx="0">
                  <c:v>7.9299308141907758</c:v>
                </c:pt>
                <c:pt idx="1">
                  <c:v>12.02411155247967</c:v>
                </c:pt>
                <c:pt idx="2">
                  <c:v>14.189600848456632</c:v>
                </c:pt>
                <c:pt idx="3">
                  <c:v>15.344410588511511</c:v>
                </c:pt>
                <c:pt idx="4">
                  <c:v>8.2005475721735959</c:v>
                </c:pt>
                <c:pt idx="5">
                  <c:v>5.6773623133740649</c:v>
                </c:pt>
                <c:pt idx="6">
                  <c:v>5.7137895319245127</c:v>
                </c:pt>
                <c:pt idx="7">
                  <c:v>5.718387807342733</c:v>
                </c:pt>
                <c:pt idx="8">
                  <c:v>5.7218414336722221</c:v>
                </c:pt>
              </c:numCache>
            </c:numRef>
          </c:yVal>
          <c:smooth val="1"/>
          <c:extLst>
            <c:ext xmlns:c16="http://schemas.microsoft.com/office/drawing/2014/chart" uri="{C3380CC4-5D6E-409C-BE32-E72D297353CC}">
              <c16:uniqueId val="{00000001-C1F4-6E47-B11E-C0B6D5CDAB90}"/>
            </c:ext>
          </c:extLst>
        </c:ser>
        <c:ser>
          <c:idx val="1"/>
          <c:order val="2"/>
          <c:tx>
            <c:v>Q Gt l early</c:v>
          </c:tx>
          <c:spPr>
            <a:ln w="15875">
              <a:solidFill>
                <a:srgbClr val="333399"/>
              </a:solidFill>
              <a:prstDash val="lgDash"/>
            </a:ln>
          </c:spPr>
          <c:marker>
            <c:symbol val="none"/>
          </c:marker>
          <c:xVal>
            <c:numRef>
              <c:f>'Pennsylvania anthracite'!$D$95:$D$108</c:f>
              <c:numCache>
                <c:formatCode>General</c:formatCode>
                <c:ptCount val="14"/>
                <c:pt idx="0">
                  <c:v>1886</c:v>
                </c:pt>
                <c:pt idx="1">
                  <c:v>1887</c:v>
                </c:pt>
                <c:pt idx="2">
                  <c:v>1888</c:v>
                </c:pt>
                <c:pt idx="3">
                  <c:v>1889</c:v>
                </c:pt>
                <c:pt idx="4">
                  <c:v>1890</c:v>
                </c:pt>
                <c:pt idx="5">
                  <c:v>1891</c:v>
                </c:pt>
                <c:pt idx="6">
                  <c:v>1892</c:v>
                </c:pt>
                <c:pt idx="7">
                  <c:v>1893</c:v>
                </c:pt>
                <c:pt idx="8">
                  <c:v>1894</c:v>
                </c:pt>
                <c:pt idx="9">
                  <c:v>1895</c:v>
                </c:pt>
                <c:pt idx="10">
                  <c:v>1896</c:v>
                </c:pt>
                <c:pt idx="11">
                  <c:v>1897</c:v>
                </c:pt>
                <c:pt idx="12">
                  <c:v>1898</c:v>
                </c:pt>
                <c:pt idx="13">
                  <c:v>1899</c:v>
                </c:pt>
              </c:numCache>
            </c:numRef>
          </c:xVal>
          <c:yVal>
            <c:numRef>
              <c:f>'Pennsylvania anthracite'!$H$95:$H$108</c:f>
              <c:numCache>
                <c:formatCode>0.0</c:formatCode>
                <c:ptCount val="14"/>
                <c:pt idx="0">
                  <c:v>19.374364264945321</c:v>
                </c:pt>
                <c:pt idx="1">
                  <c:v>9.3100329194128602</c:v>
                </c:pt>
                <c:pt idx="2">
                  <c:v>7.9158160394287398</c:v>
                </c:pt>
                <c:pt idx="3">
                  <c:v>6.5559354264110787</c:v>
                </c:pt>
                <c:pt idx="4">
                  <c:v>5.4751999835450826</c:v>
                </c:pt>
                <c:pt idx="5">
                  <c:v>4.9886199517888912</c:v>
                </c:pt>
                <c:pt idx="6">
                  <c:v>4.7197168369336797</c:v>
                </c:pt>
                <c:pt idx="7">
                  <c:v>4.5311600314603311</c:v>
                </c:pt>
                <c:pt idx="8">
                  <c:v>4.2420380807680464</c:v>
                </c:pt>
                <c:pt idx="9">
                  <c:v>4.0980578799743652</c:v>
                </c:pt>
                <c:pt idx="10">
                  <c:v>3.9050735290532752</c:v>
                </c:pt>
                <c:pt idx="11">
                  <c:v>3.6751671837107196</c:v>
                </c:pt>
                <c:pt idx="12">
                  <c:v>3.4650344755228573</c:v>
                </c:pt>
                <c:pt idx="13">
                  <c:v>3.3480061158607168</c:v>
                </c:pt>
              </c:numCache>
            </c:numRef>
          </c:yVal>
          <c:smooth val="1"/>
          <c:extLst>
            <c:ext xmlns:c16="http://schemas.microsoft.com/office/drawing/2014/chart" uri="{C3380CC4-5D6E-409C-BE32-E72D297353CC}">
              <c16:uniqueId val="{00000002-C1F4-6E47-B11E-C0B6D5CDAB90}"/>
            </c:ext>
          </c:extLst>
        </c:ser>
        <c:dLbls>
          <c:showLegendKey val="0"/>
          <c:showVal val="0"/>
          <c:showCatName val="0"/>
          <c:showSerName val="0"/>
          <c:showPercent val="0"/>
          <c:showBubbleSize val="0"/>
        </c:dLbls>
        <c:axId val="131100672"/>
        <c:axId val="131102208"/>
      </c:scatterChart>
      <c:valAx>
        <c:axId val="131100672"/>
        <c:scaling>
          <c:orientation val="minMax"/>
          <c:max val="2020"/>
          <c:min val="18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102208"/>
        <c:crosses val="autoZero"/>
        <c:crossBetween val="midCat"/>
        <c:majorUnit val="60"/>
        <c:minorUnit val="10"/>
      </c:valAx>
      <c:valAx>
        <c:axId val="131102208"/>
        <c:scaling>
          <c:orientation val="minMax"/>
          <c:max val="16"/>
          <c:min val="0"/>
        </c:scaling>
        <c:delete val="0"/>
        <c:axPos val="r"/>
        <c:title>
          <c:tx>
            <c:rich>
              <a:bodyPr rot="-5400000" vert="horz"/>
              <a:lstStyle/>
              <a:p>
                <a:pPr>
                  <a:defRPr sz="1200" b="0">
                    <a:solidFill>
                      <a:srgbClr val="333399"/>
                    </a:solidFill>
                  </a:defRPr>
                </a:pPr>
                <a:r>
                  <a:rPr lang="en-US" sz="1200" b="0">
                    <a:solidFill>
                      <a:srgbClr val="333399"/>
                    </a:solidFill>
                  </a:rPr>
                  <a:t>Long-term production , Gt</a:t>
                </a:r>
              </a:p>
            </c:rich>
          </c:tx>
          <c:layout>
            <c:manualLayout>
              <c:xMode val="edge"/>
              <c:yMode val="edge"/>
              <c:x val="0.96240681576144838"/>
              <c:y val="0.1498877223680373"/>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1100672"/>
        <c:crosses val="max"/>
        <c:crossBetween val="midCat"/>
        <c:majorUnit val="5"/>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5902375621583948"/>
          <c:h val="0.77264654418197765"/>
        </c:manualLayout>
      </c:layout>
      <c:scatterChart>
        <c:scatterStyle val="smoothMarker"/>
        <c:varyColors val="0"/>
        <c:ser>
          <c:idx val="0"/>
          <c:order val="0"/>
          <c:tx>
            <c:strRef>
              <c:f>'France and Belgium'!$E$7</c:f>
              <c:strCache>
                <c:ptCount val="1"/>
                <c:pt idx="0">
                  <c:v>p Mt</c:v>
                </c:pt>
              </c:strCache>
            </c:strRef>
          </c:tx>
          <c:spPr>
            <a:ln w="15875">
              <a:solidFill>
                <a:srgbClr val="008000"/>
              </a:solidFill>
            </a:ln>
          </c:spPr>
          <c:marker>
            <c:symbol val="none"/>
          </c:marker>
          <c:xVal>
            <c:numRef>
              <c:f>'France and Belgium'!$D$8:$D$344</c:f>
              <c:numCache>
                <c:formatCode>General</c:formatCode>
                <c:ptCount val="337"/>
                <c:pt idx="0">
                  <c:v>1814</c:v>
                </c:pt>
                <c:pt idx="1">
                  <c:v>1815</c:v>
                </c:pt>
                <c:pt idx="2">
                  <c:v>1816</c:v>
                </c:pt>
                <c:pt idx="3">
                  <c:v>1817</c:v>
                </c:pt>
                <c:pt idx="4">
                  <c:v>1818</c:v>
                </c:pt>
                <c:pt idx="5">
                  <c:v>1819</c:v>
                </c:pt>
                <c:pt idx="6">
                  <c:v>1820</c:v>
                </c:pt>
                <c:pt idx="7">
                  <c:v>1821</c:v>
                </c:pt>
                <c:pt idx="8">
                  <c:v>1822</c:v>
                </c:pt>
                <c:pt idx="9">
                  <c:v>1823</c:v>
                </c:pt>
                <c:pt idx="10">
                  <c:v>1824</c:v>
                </c:pt>
                <c:pt idx="11">
                  <c:v>1825</c:v>
                </c:pt>
                <c:pt idx="12">
                  <c:v>1826</c:v>
                </c:pt>
                <c:pt idx="13">
                  <c:v>1827</c:v>
                </c:pt>
                <c:pt idx="14">
                  <c:v>1828</c:v>
                </c:pt>
                <c:pt idx="15">
                  <c:v>1829</c:v>
                </c:pt>
                <c:pt idx="16">
                  <c:v>1830</c:v>
                </c:pt>
                <c:pt idx="17">
                  <c:v>1831</c:v>
                </c:pt>
                <c:pt idx="18">
                  <c:v>1832</c:v>
                </c:pt>
                <c:pt idx="19">
                  <c:v>1833</c:v>
                </c:pt>
                <c:pt idx="20">
                  <c:v>1834</c:v>
                </c:pt>
                <c:pt idx="21">
                  <c:v>1835</c:v>
                </c:pt>
                <c:pt idx="22">
                  <c:v>1836</c:v>
                </c:pt>
                <c:pt idx="23">
                  <c:v>1837</c:v>
                </c:pt>
                <c:pt idx="24">
                  <c:v>1838</c:v>
                </c:pt>
                <c:pt idx="25">
                  <c:v>1839</c:v>
                </c:pt>
                <c:pt idx="26">
                  <c:v>1840</c:v>
                </c:pt>
                <c:pt idx="27">
                  <c:v>1841</c:v>
                </c:pt>
                <c:pt idx="28">
                  <c:v>1842</c:v>
                </c:pt>
                <c:pt idx="29">
                  <c:v>1843</c:v>
                </c:pt>
                <c:pt idx="30">
                  <c:v>1844</c:v>
                </c:pt>
                <c:pt idx="31">
                  <c:v>1845</c:v>
                </c:pt>
                <c:pt idx="32">
                  <c:v>1846</c:v>
                </c:pt>
                <c:pt idx="33">
                  <c:v>1847</c:v>
                </c:pt>
                <c:pt idx="34">
                  <c:v>1848</c:v>
                </c:pt>
                <c:pt idx="35">
                  <c:v>1849</c:v>
                </c:pt>
                <c:pt idx="36">
                  <c:v>1850</c:v>
                </c:pt>
                <c:pt idx="37">
                  <c:v>1851</c:v>
                </c:pt>
                <c:pt idx="38">
                  <c:v>1852</c:v>
                </c:pt>
                <c:pt idx="39">
                  <c:v>1853</c:v>
                </c:pt>
                <c:pt idx="40">
                  <c:v>1854</c:v>
                </c:pt>
                <c:pt idx="41">
                  <c:v>1855</c:v>
                </c:pt>
                <c:pt idx="42">
                  <c:v>1856</c:v>
                </c:pt>
                <c:pt idx="43">
                  <c:v>1857</c:v>
                </c:pt>
                <c:pt idx="44">
                  <c:v>1858</c:v>
                </c:pt>
                <c:pt idx="45">
                  <c:v>1859</c:v>
                </c:pt>
                <c:pt idx="46">
                  <c:v>1860</c:v>
                </c:pt>
                <c:pt idx="47">
                  <c:v>1861</c:v>
                </c:pt>
                <c:pt idx="48">
                  <c:v>1862</c:v>
                </c:pt>
                <c:pt idx="49">
                  <c:v>1863</c:v>
                </c:pt>
                <c:pt idx="50">
                  <c:v>1864</c:v>
                </c:pt>
                <c:pt idx="51">
                  <c:v>1865</c:v>
                </c:pt>
                <c:pt idx="52">
                  <c:v>1866</c:v>
                </c:pt>
                <c:pt idx="53">
                  <c:v>1867</c:v>
                </c:pt>
                <c:pt idx="54">
                  <c:v>1868</c:v>
                </c:pt>
                <c:pt idx="55">
                  <c:v>1869</c:v>
                </c:pt>
                <c:pt idx="56">
                  <c:v>1870</c:v>
                </c:pt>
                <c:pt idx="57">
                  <c:v>1871</c:v>
                </c:pt>
                <c:pt idx="58">
                  <c:v>1872</c:v>
                </c:pt>
                <c:pt idx="59">
                  <c:v>1873</c:v>
                </c:pt>
                <c:pt idx="60">
                  <c:v>1874</c:v>
                </c:pt>
                <c:pt idx="61">
                  <c:v>1875</c:v>
                </c:pt>
                <c:pt idx="62">
                  <c:v>1876</c:v>
                </c:pt>
                <c:pt idx="63">
                  <c:v>1877</c:v>
                </c:pt>
                <c:pt idx="64">
                  <c:v>1878</c:v>
                </c:pt>
                <c:pt idx="65">
                  <c:v>1879</c:v>
                </c:pt>
                <c:pt idx="66">
                  <c:v>1880</c:v>
                </c:pt>
                <c:pt idx="67">
                  <c:v>1881</c:v>
                </c:pt>
                <c:pt idx="68">
                  <c:v>1882</c:v>
                </c:pt>
                <c:pt idx="69">
                  <c:v>1883</c:v>
                </c:pt>
                <c:pt idx="70">
                  <c:v>1884</c:v>
                </c:pt>
                <c:pt idx="71">
                  <c:v>1885</c:v>
                </c:pt>
                <c:pt idx="72">
                  <c:v>1886</c:v>
                </c:pt>
                <c:pt idx="73">
                  <c:v>1887</c:v>
                </c:pt>
                <c:pt idx="74">
                  <c:v>1888</c:v>
                </c:pt>
                <c:pt idx="75">
                  <c:v>1889</c:v>
                </c:pt>
                <c:pt idx="76">
                  <c:v>1890</c:v>
                </c:pt>
                <c:pt idx="77">
                  <c:v>1891</c:v>
                </c:pt>
                <c:pt idx="78">
                  <c:v>1892</c:v>
                </c:pt>
                <c:pt idx="79">
                  <c:v>1893</c:v>
                </c:pt>
                <c:pt idx="80">
                  <c:v>1894</c:v>
                </c:pt>
                <c:pt idx="81">
                  <c:v>1895</c:v>
                </c:pt>
                <c:pt idx="82">
                  <c:v>1896</c:v>
                </c:pt>
                <c:pt idx="83">
                  <c:v>1897</c:v>
                </c:pt>
                <c:pt idx="84">
                  <c:v>1898</c:v>
                </c:pt>
                <c:pt idx="85">
                  <c:v>1899</c:v>
                </c:pt>
                <c:pt idx="86">
                  <c:v>1900</c:v>
                </c:pt>
                <c:pt idx="87">
                  <c:v>1901</c:v>
                </c:pt>
                <c:pt idx="88">
                  <c:v>1902</c:v>
                </c:pt>
                <c:pt idx="89">
                  <c:v>1903</c:v>
                </c:pt>
                <c:pt idx="90">
                  <c:v>1904</c:v>
                </c:pt>
                <c:pt idx="91">
                  <c:v>1905</c:v>
                </c:pt>
                <c:pt idx="92">
                  <c:v>1906</c:v>
                </c:pt>
                <c:pt idx="93">
                  <c:v>1907</c:v>
                </c:pt>
                <c:pt idx="94">
                  <c:v>1908</c:v>
                </c:pt>
                <c:pt idx="95">
                  <c:v>1909</c:v>
                </c:pt>
                <c:pt idx="96">
                  <c:v>1910</c:v>
                </c:pt>
                <c:pt idx="97">
                  <c:v>1911</c:v>
                </c:pt>
                <c:pt idx="98">
                  <c:v>1912</c:v>
                </c:pt>
                <c:pt idx="99">
                  <c:v>1913</c:v>
                </c:pt>
                <c:pt idx="100">
                  <c:v>1914</c:v>
                </c:pt>
                <c:pt idx="101">
                  <c:v>1915</c:v>
                </c:pt>
                <c:pt idx="102">
                  <c:v>1916</c:v>
                </c:pt>
                <c:pt idx="103">
                  <c:v>1917</c:v>
                </c:pt>
                <c:pt idx="104">
                  <c:v>1918</c:v>
                </c:pt>
                <c:pt idx="105">
                  <c:v>1919</c:v>
                </c:pt>
                <c:pt idx="106">
                  <c:v>1920</c:v>
                </c:pt>
                <c:pt idx="107">
                  <c:v>1921</c:v>
                </c:pt>
                <c:pt idx="108">
                  <c:v>1922</c:v>
                </c:pt>
                <c:pt idx="109">
                  <c:v>1923</c:v>
                </c:pt>
                <c:pt idx="110">
                  <c:v>1924</c:v>
                </c:pt>
                <c:pt idx="111">
                  <c:v>1925</c:v>
                </c:pt>
                <c:pt idx="112">
                  <c:v>1926</c:v>
                </c:pt>
                <c:pt idx="113">
                  <c:v>1927</c:v>
                </c:pt>
                <c:pt idx="114">
                  <c:v>1928</c:v>
                </c:pt>
                <c:pt idx="115">
                  <c:v>1929</c:v>
                </c:pt>
                <c:pt idx="116">
                  <c:v>1930</c:v>
                </c:pt>
                <c:pt idx="117">
                  <c:v>1931</c:v>
                </c:pt>
                <c:pt idx="118">
                  <c:v>1932</c:v>
                </c:pt>
                <c:pt idx="119">
                  <c:v>1933</c:v>
                </c:pt>
                <c:pt idx="120">
                  <c:v>1934</c:v>
                </c:pt>
                <c:pt idx="121">
                  <c:v>1935</c:v>
                </c:pt>
                <c:pt idx="122">
                  <c:v>1936</c:v>
                </c:pt>
                <c:pt idx="123">
                  <c:v>1937</c:v>
                </c:pt>
                <c:pt idx="124">
                  <c:v>1938</c:v>
                </c:pt>
                <c:pt idx="125">
                  <c:v>1939</c:v>
                </c:pt>
                <c:pt idx="126">
                  <c:v>1940</c:v>
                </c:pt>
                <c:pt idx="127">
                  <c:v>1941</c:v>
                </c:pt>
                <c:pt idx="128">
                  <c:v>1942</c:v>
                </c:pt>
                <c:pt idx="129">
                  <c:v>1943</c:v>
                </c:pt>
                <c:pt idx="130">
                  <c:v>1944</c:v>
                </c:pt>
                <c:pt idx="131">
                  <c:v>1945</c:v>
                </c:pt>
                <c:pt idx="132">
                  <c:v>1946</c:v>
                </c:pt>
                <c:pt idx="133">
                  <c:v>1947</c:v>
                </c:pt>
                <c:pt idx="134">
                  <c:v>1948</c:v>
                </c:pt>
                <c:pt idx="135">
                  <c:v>1949</c:v>
                </c:pt>
                <c:pt idx="136">
                  <c:v>1950</c:v>
                </c:pt>
                <c:pt idx="137">
                  <c:v>1951</c:v>
                </c:pt>
                <c:pt idx="138">
                  <c:v>1952</c:v>
                </c:pt>
                <c:pt idx="139">
                  <c:v>1953</c:v>
                </c:pt>
                <c:pt idx="140">
                  <c:v>1954</c:v>
                </c:pt>
                <c:pt idx="141">
                  <c:v>1955</c:v>
                </c:pt>
                <c:pt idx="142">
                  <c:v>1956</c:v>
                </c:pt>
                <c:pt idx="143">
                  <c:v>1957</c:v>
                </c:pt>
                <c:pt idx="144">
                  <c:v>1958</c:v>
                </c:pt>
                <c:pt idx="145">
                  <c:v>1959</c:v>
                </c:pt>
                <c:pt idx="146">
                  <c:v>1960</c:v>
                </c:pt>
                <c:pt idx="147">
                  <c:v>1961</c:v>
                </c:pt>
                <c:pt idx="148">
                  <c:v>1962</c:v>
                </c:pt>
                <c:pt idx="149">
                  <c:v>1963</c:v>
                </c:pt>
                <c:pt idx="150">
                  <c:v>1964</c:v>
                </c:pt>
                <c:pt idx="151">
                  <c:v>1965</c:v>
                </c:pt>
                <c:pt idx="152">
                  <c:v>1966</c:v>
                </c:pt>
                <c:pt idx="153">
                  <c:v>1967</c:v>
                </c:pt>
                <c:pt idx="154">
                  <c:v>1968</c:v>
                </c:pt>
                <c:pt idx="155">
                  <c:v>1969</c:v>
                </c:pt>
                <c:pt idx="156">
                  <c:v>1970</c:v>
                </c:pt>
                <c:pt idx="157">
                  <c:v>1971</c:v>
                </c:pt>
                <c:pt idx="158">
                  <c:v>1972</c:v>
                </c:pt>
                <c:pt idx="159">
                  <c:v>1973</c:v>
                </c:pt>
                <c:pt idx="160">
                  <c:v>1974</c:v>
                </c:pt>
                <c:pt idx="161">
                  <c:v>1975</c:v>
                </c:pt>
                <c:pt idx="162">
                  <c:v>1976</c:v>
                </c:pt>
                <c:pt idx="163">
                  <c:v>1977</c:v>
                </c:pt>
                <c:pt idx="164">
                  <c:v>1978</c:v>
                </c:pt>
                <c:pt idx="165">
                  <c:v>1979</c:v>
                </c:pt>
                <c:pt idx="166">
                  <c:v>1980</c:v>
                </c:pt>
                <c:pt idx="167">
                  <c:v>1981</c:v>
                </c:pt>
                <c:pt idx="168">
                  <c:v>1982</c:v>
                </c:pt>
                <c:pt idx="169">
                  <c:v>1983</c:v>
                </c:pt>
                <c:pt idx="170">
                  <c:v>1984</c:v>
                </c:pt>
                <c:pt idx="171">
                  <c:v>1985</c:v>
                </c:pt>
                <c:pt idx="172">
                  <c:v>1986</c:v>
                </c:pt>
                <c:pt idx="173">
                  <c:v>1987</c:v>
                </c:pt>
                <c:pt idx="174">
                  <c:v>1988</c:v>
                </c:pt>
                <c:pt idx="175">
                  <c:v>1989</c:v>
                </c:pt>
                <c:pt idx="176">
                  <c:v>1990</c:v>
                </c:pt>
                <c:pt idx="177">
                  <c:v>1991</c:v>
                </c:pt>
                <c:pt idx="178">
                  <c:v>1992</c:v>
                </c:pt>
                <c:pt idx="179">
                  <c:v>1993</c:v>
                </c:pt>
                <c:pt idx="180">
                  <c:v>1994</c:v>
                </c:pt>
                <c:pt idx="181">
                  <c:v>1995</c:v>
                </c:pt>
                <c:pt idx="182">
                  <c:v>1996</c:v>
                </c:pt>
                <c:pt idx="183">
                  <c:v>1997</c:v>
                </c:pt>
                <c:pt idx="184">
                  <c:v>1998</c:v>
                </c:pt>
                <c:pt idx="185">
                  <c:v>1999</c:v>
                </c:pt>
                <c:pt idx="186">
                  <c:v>2000</c:v>
                </c:pt>
                <c:pt idx="187">
                  <c:v>2001</c:v>
                </c:pt>
                <c:pt idx="188">
                  <c:v>2002</c:v>
                </c:pt>
                <c:pt idx="189">
                  <c:v>2003</c:v>
                </c:pt>
                <c:pt idx="190">
                  <c:v>2004</c:v>
                </c:pt>
                <c:pt idx="191">
                  <c:v>2005</c:v>
                </c:pt>
                <c:pt idx="192">
                  <c:v>2006</c:v>
                </c:pt>
                <c:pt idx="193">
                  <c:v>2007</c:v>
                </c:pt>
                <c:pt idx="194">
                  <c:v>2008</c:v>
                </c:pt>
                <c:pt idx="195">
                  <c:v>2009</c:v>
                </c:pt>
                <c:pt idx="196">
                  <c:v>2010</c:v>
                </c:pt>
                <c:pt idx="197">
                  <c:v>2011</c:v>
                </c:pt>
                <c:pt idx="198">
                  <c:v>2012</c:v>
                </c:pt>
                <c:pt idx="199">
                  <c:v>2013</c:v>
                </c:pt>
                <c:pt idx="200">
                  <c:v>2014</c:v>
                </c:pt>
                <c:pt idx="201">
                  <c:v>2015</c:v>
                </c:pt>
                <c:pt idx="202">
                  <c:v>2016</c:v>
                </c:pt>
                <c:pt idx="203">
                  <c:v>2017</c:v>
                </c:pt>
                <c:pt idx="204">
                  <c:v>2018</c:v>
                </c:pt>
                <c:pt idx="205">
                  <c:v>2019</c:v>
                </c:pt>
                <c:pt idx="206">
                  <c:v>2020</c:v>
                </c:pt>
                <c:pt idx="207">
                  <c:v>2021</c:v>
                </c:pt>
                <c:pt idx="208">
                  <c:v>2022</c:v>
                </c:pt>
                <c:pt idx="209">
                  <c:v>2023</c:v>
                </c:pt>
                <c:pt idx="210">
                  <c:v>2024</c:v>
                </c:pt>
                <c:pt idx="211">
                  <c:v>2025</c:v>
                </c:pt>
                <c:pt idx="212">
                  <c:v>2026</c:v>
                </c:pt>
                <c:pt idx="213">
                  <c:v>2027</c:v>
                </c:pt>
                <c:pt idx="214">
                  <c:v>2028</c:v>
                </c:pt>
                <c:pt idx="215">
                  <c:v>2029</c:v>
                </c:pt>
                <c:pt idx="216">
                  <c:v>2030</c:v>
                </c:pt>
                <c:pt idx="217">
                  <c:v>2031</c:v>
                </c:pt>
                <c:pt idx="218">
                  <c:v>2032</c:v>
                </c:pt>
                <c:pt idx="219">
                  <c:v>2033</c:v>
                </c:pt>
                <c:pt idx="220">
                  <c:v>2034</c:v>
                </c:pt>
                <c:pt idx="221">
                  <c:v>2035</c:v>
                </c:pt>
                <c:pt idx="222">
                  <c:v>2036</c:v>
                </c:pt>
                <c:pt idx="223">
                  <c:v>2037</c:v>
                </c:pt>
                <c:pt idx="224">
                  <c:v>2038</c:v>
                </c:pt>
                <c:pt idx="225">
                  <c:v>2039</c:v>
                </c:pt>
                <c:pt idx="226">
                  <c:v>2040</c:v>
                </c:pt>
                <c:pt idx="227">
                  <c:v>2041</c:v>
                </c:pt>
                <c:pt idx="228">
                  <c:v>2042</c:v>
                </c:pt>
                <c:pt idx="229">
                  <c:v>2043</c:v>
                </c:pt>
                <c:pt idx="230">
                  <c:v>2044</c:v>
                </c:pt>
                <c:pt idx="231">
                  <c:v>2045</c:v>
                </c:pt>
                <c:pt idx="232">
                  <c:v>2046</c:v>
                </c:pt>
                <c:pt idx="233">
                  <c:v>2047</c:v>
                </c:pt>
                <c:pt idx="234">
                  <c:v>2048</c:v>
                </c:pt>
                <c:pt idx="235">
                  <c:v>2049</c:v>
                </c:pt>
                <c:pt idx="236">
                  <c:v>2050</c:v>
                </c:pt>
                <c:pt idx="237">
                  <c:v>2051</c:v>
                </c:pt>
                <c:pt idx="238">
                  <c:v>2052</c:v>
                </c:pt>
                <c:pt idx="239">
                  <c:v>2053</c:v>
                </c:pt>
                <c:pt idx="240">
                  <c:v>2054</c:v>
                </c:pt>
                <c:pt idx="241">
                  <c:v>2055</c:v>
                </c:pt>
                <c:pt idx="242">
                  <c:v>2056</c:v>
                </c:pt>
                <c:pt idx="243">
                  <c:v>2057</c:v>
                </c:pt>
                <c:pt idx="244">
                  <c:v>2058</c:v>
                </c:pt>
                <c:pt idx="245">
                  <c:v>2059</c:v>
                </c:pt>
                <c:pt idx="246">
                  <c:v>2060</c:v>
                </c:pt>
                <c:pt idx="247">
                  <c:v>2061</c:v>
                </c:pt>
                <c:pt idx="248">
                  <c:v>2062</c:v>
                </c:pt>
                <c:pt idx="249">
                  <c:v>2063</c:v>
                </c:pt>
                <c:pt idx="250">
                  <c:v>2064</c:v>
                </c:pt>
                <c:pt idx="251">
                  <c:v>2065</c:v>
                </c:pt>
                <c:pt idx="252">
                  <c:v>2066</c:v>
                </c:pt>
                <c:pt idx="253">
                  <c:v>2067</c:v>
                </c:pt>
                <c:pt idx="254">
                  <c:v>2068</c:v>
                </c:pt>
                <c:pt idx="255">
                  <c:v>2069</c:v>
                </c:pt>
                <c:pt idx="256">
                  <c:v>2070</c:v>
                </c:pt>
                <c:pt idx="257">
                  <c:v>2071</c:v>
                </c:pt>
                <c:pt idx="258">
                  <c:v>2072</c:v>
                </c:pt>
                <c:pt idx="259">
                  <c:v>2073</c:v>
                </c:pt>
                <c:pt idx="260">
                  <c:v>2074</c:v>
                </c:pt>
                <c:pt idx="261">
                  <c:v>2075</c:v>
                </c:pt>
                <c:pt idx="262">
                  <c:v>2076</c:v>
                </c:pt>
                <c:pt idx="263">
                  <c:v>2077</c:v>
                </c:pt>
                <c:pt idx="264">
                  <c:v>2078</c:v>
                </c:pt>
                <c:pt idx="265">
                  <c:v>2079</c:v>
                </c:pt>
                <c:pt idx="266">
                  <c:v>2080</c:v>
                </c:pt>
                <c:pt idx="267">
                  <c:v>2081</c:v>
                </c:pt>
                <c:pt idx="268">
                  <c:v>2082</c:v>
                </c:pt>
                <c:pt idx="269">
                  <c:v>2083</c:v>
                </c:pt>
                <c:pt idx="270">
                  <c:v>2084</c:v>
                </c:pt>
                <c:pt idx="271">
                  <c:v>2085</c:v>
                </c:pt>
                <c:pt idx="272">
                  <c:v>2086</c:v>
                </c:pt>
                <c:pt idx="273">
                  <c:v>2087</c:v>
                </c:pt>
                <c:pt idx="274">
                  <c:v>2088</c:v>
                </c:pt>
                <c:pt idx="275">
                  <c:v>2089</c:v>
                </c:pt>
                <c:pt idx="276">
                  <c:v>2090</c:v>
                </c:pt>
                <c:pt idx="277">
                  <c:v>2091</c:v>
                </c:pt>
                <c:pt idx="278">
                  <c:v>2092</c:v>
                </c:pt>
                <c:pt idx="279">
                  <c:v>2093</c:v>
                </c:pt>
                <c:pt idx="280">
                  <c:v>2094</c:v>
                </c:pt>
                <c:pt idx="281">
                  <c:v>2095</c:v>
                </c:pt>
                <c:pt idx="282">
                  <c:v>2096</c:v>
                </c:pt>
                <c:pt idx="283">
                  <c:v>2097</c:v>
                </c:pt>
                <c:pt idx="284">
                  <c:v>2098</c:v>
                </c:pt>
                <c:pt idx="285">
                  <c:v>2099</c:v>
                </c:pt>
                <c:pt idx="286">
                  <c:v>2100</c:v>
                </c:pt>
                <c:pt idx="287">
                  <c:v>2101</c:v>
                </c:pt>
                <c:pt idx="288">
                  <c:v>2102</c:v>
                </c:pt>
                <c:pt idx="289">
                  <c:v>2103</c:v>
                </c:pt>
                <c:pt idx="290">
                  <c:v>2104</c:v>
                </c:pt>
                <c:pt idx="291">
                  <c:v>2105</c:v>
                </c:pt>
                <c:pt idx="292">
                  <c:v>2106</c:v>
                </c:pt>
                <c:pt idx="293">
                  <c:v>2107</c:v>
                </c:pt>
                <c:pt idx="294">
                  <c:v>2108</c:v>
                </c:pt>
                <c:pt idx="295">
                  <c:v>2109</c:v>
                </c:pt>
                <c:pt idx="296">
                  <c:v>2110</c:v>
                </c:pt>
                <c:pt idx="297">
                  <c:v>2111</c:v>
                </c:pt>
                <c:pt idx="298">
                  <c:v>2112</c:v>
                </c:pt>
                <c:pt idx="299">
                  <c:v>2113</c:v>
                </c:pt>
                <c:pt idx="300">
                  <c:v>2114</c:v>
                </c:pt>
                <c:pt idx="301">
                  <c:v>2115</c:v>
                </c:pt>
                <c:pt idx="302">
                  <c:v>2116</c:v>
                </c:pt>
                <c:pt idx="303">
                  <c:v>2117</c:v>
                </c:pt>
                <c:pt idx="304">
                  <c:v>2118</c:v>
                </c:pt>
                <c:pt idx="305">
                  <c:v>2119</c:v>
                </c:pt>
                <c:pt idx="306">
                  <c:v>2120</c:v>
                </c:pt>
                <c:pt idx="307">
                  <c:v>2121</c:v>
                </c:pt>
                <c:pt idx="308">
                  <c:v>2122</c:v>
                </c:pt>
                <c:pt idx="309">
                  <c:v>2123</c:v>
                </c:pt>
                <c:pt idx="310">
                  <c:v>2124</c:v>
                </c:pt>
                <c:pt idx="311">
                  <c:v>2125</c:v>
                </c:pt>
                <c:pt idx="312">
                  <c:v>2126</c:v>
                </c:pt>
                <c:pt idx="313">
                  <c:v>2127</c:v>
                </c:pt>
                <c:pt idx="314">
                  <c:v>2128</c:v>
                </c:pt>
                <c:pt idx="315">
                  <c:v>2129</c:v>
                </c:pt>
                <c:pt idx="316">
                  <c:v>2130</c:v>
                </c:pt>
                <c:pt idx="317">
                  <c:v>2131</c:v>
                </c:pt>
                <c:pt idx="318">
                  <c:v>2132</c:v>
                </c:pt>
                <c:pt idx="319">
                  <c:v>2133</c:v>
                </c:pt>
                <c:pt idx="320">
                  <c:v>2134</c:v>
                </c:pt>
                <c:pt idx="321">
                  <c:v>2135</c:v>
                </c:pt>
                <c:pt idx="322">
                  <c:v>2136</c:v>
                </c:pt>
                <c:pt idx="323">
                  <c:v>2137</c:v>
                </c:pt>
                <c:pt idx="324">
                  <c:v>2138</c:v>
                </c:pt>
                <c:pt idx="325">
                  <c:v>2139</c:v>
                </c:pt>
                <c:pt idx="326">
                  <c:v>2140</c:v>
                </c:pt>
                <c:pt idx="327">
                  <c:v>2141</c:v>
                </c:pt>
                <c:pt idx="328">
                  <c:v>2142</c:v>
                </c:pt>
                <c:pt idx="329">
                  <c:v>2143</c:v>
                </c:pt>
                <c:pt idx="330">
                  <c:v>2144</c:v>
                </c:pt>
                <c:pt idx="331">
                  <c:v>2145</c:v>
                </c:pt>
                <c:pt idx="332">
                  <c:v>2146</c:v>
                </c:pt>
                <c:pt idx="333">
                  <c:v>2147</c:v>
                </c:pt>
                <c:pt idx="334">
                  <c:v>2148</c:v>
                </c:pt>
                <c:pt idx="335">
                  <c:v>2149</c:v>
                </c:pt>
                <c:pt idx="336">
                  <c:v>2150</c:v>
                </c:pt>
              </c:numCache>
            </c:numRef>
          </c:xVal>
          <c:yVal>
            <c:numRef>
              <c:f>'France and Belgium'!$E$8:$E$344</c:f>
              <c:numCache>
                <c:formatCode>0.0</c:formatCode>
                <c:ptCount val="337"/>
                <c:pt idx="1">
                  <c:v>0.9</c:v>
                </c:pt>
                <c:pt idx="2">
                  <c:v>0.94</c:v>
                </c:pt>
                <c:pt idx="3">
                  <c:v>0.98</c:v>
                </c:pt>
                <c:pt idx="4">
                  <c:v>1.02</c:v>
                </c:pt>
                <c:pt idx="5">
                  <c:v>1.06</c:v>
                </c:pt>
                <c:pt idx="6">
                  <c:v>1.1000000000000001</c:v>
                </c:pt>
                <c:pt idx="7">
                  <c:v>1.18</c:v>
                </c:pt>
                <c:pt idx="8">
                  <c:v>1.26</c:v>
                </c:pt>
                <c:pt idx="9">
                  <c:v>1.34</c:v>
                </c:pt>
                <c:pt idx="10">
                  <c:v>1.42</c:v>
                </c:pt>
                <c:pt idx="11">
                  <c:v>1.5</c:v>
                </c:pt>
                <c:pt idx="12">
                  <c:v>1.6</c:v>
                </c:pt>
                <c:pt idx="13">
                  <c:v>1.7</c:v>
                </c:pt>
                <c:pt idx="14">
                  <c:v>1.8</c:v>
                </c:pt>
                <c:pt idx="15">
                  <c:v>1.7</c:v>
                </c:pt>
                <c:pt idx="16">
                  <c:v>1.9</c:v>
                </c:pt>
                <c:pt idx="17">
                  <c:v>4.0999999999999996</c:v>
                </c:pt>
                <c:pt idx="18">
                  <c:v>4.3</c:v>
                </c:pt>
                <c:pt idx="19">
                  <c:v>4.5999999999999996</c:v>
                </c:pt>
                <c:pt idx="20">
                  <c:v>4.9000000000000004</c:v>
                </c:pt>
                <c:pt idx="21">
                  <c:v>5.0999999999999996</c:v>
                </c:pt>
                <c:pt idx="22">
                  <c:v>5.9</c:v>
                </c:pt>
                <c:pt idx="23">
                  <c:v>6.2</c:v>
                </c:pt>
                <c:pt idx="24">
                  <c:v>6.4</c:v>
                </c:pt>
                <c:pt idx="25">
                  <c:v>6.5</c:v>
                </c:pt>
                <c:pt idx="26">
                  <c:v>6.9</c:v>
                </c:pt>
                <c:pt idx="27">
                  <c:v>7.4</c:v>
                </c:pt>
                <c:pt idx="28">
                  <c:v>7.6999999999999993</c:v>
                </c:pt>
                <c:pt idx="29">
                  <c:v>7.7</c:v>
                </c:pt>
                <c:pt idx="30">
                  <c:v>8.1999999999999993</c:v>
                </c:pt>
                <c:pt idx="31">
                  <c:v>9.1000000000000014</c:v>
                </c:pt>
                <c:pt idx="32">
                  <c:v>9.5</c:v>
                </c:pt>
                <c:pt idx="33">
                  <c:v>10.9</c:v>
                </c:pt>
                <c:pt idx="34">
                  <c:v>8.9</c:v>
                </c:pt>
                <c:pt idx="35">
                  <c:v>9.3000000000000007</c:v>
                </c:pt>
                <c:pt idx="36">
                  <c:v>10.199999999999999</c:v>
                </c:pt>
                <c:pt idx="37">
                  <c:v>10.7</c:v>
                </c:pt>
                <c:pt idx="38">
                  <c:v>11.7</c:v>
                </c:pt>
                <c:pt idx="39">
                  <c:v>13.100000000000001</c:v>
                </c:pt>
                <c:pt idx="40">
                  <c:v>14.7</c:v>
                </c:pt>
                <c:pt idx="41">
                  <c:v>15.9</c:v>
                </c:pt>
                <c:pt idx="42">
                  <c:v>16.100000000000001</c:v>
                </c:pt>
                <c:pt idx="43">
                  <c:v>16.3</c:v>
                </c:pt>
                <c:pt idx="44">
                  <c:v>16.3</c:v>
                </c:pt>
                <c:pt idx="45">
                  <c:v>16.7</c:v>
                </c:pt>
                <c:pt idx="46">
                  <c:v>17.899999999999999</c:v>
                </c:pt>
                <c:pt idx="47">
                  <c:v>19.5</c:v>
                </c:pt>
                <c:pt idx="48">
                  <c:v>20.200000000000003</c:v>
                </c:pt>
                <c:pt idx="49">
                  <c:v>21</c:v>
                </c:pt>
                <c:pt idx="50">
                  <c:v>22.4</c:v>
                </c:pt>
                <c:pt idx="51">
                  <c:v>23.4</c:v>
                </c:pt>
                <c:pt idx="52">
                  <c:v>25.1</c:v>
                </c:pt>
                <c:pt idx="53">
                  <c:v>25.5</c:v>
                </c:pt>
                <c:pt idx="54">
                  <c:v>25.6</c:v>
                </c:pt>
                <c:pt idx="55">
                  <c:v>26.4</c:v>
                </c:pt>
                <c:pt idx="56">
                  <c:v>27</c:v>
                </c:pt>
                <c:pt idx="57">
                  <c:v>27.1</c:v>
                </c:pt>
                <c:pt idx="58">
                  <c:v>31.5</c:v>
                </c:pt>
                <c:pt idx="59">
                  <c:v>33.299999999999997</c:v>
                </c:pt>
                <c:pt idx="60">
                  <c:v>31.599999999999998</c:v>
                </c:pt>
                <c:pt idx="61">
                  <c:v>32</c:v>
                </c:pt>
                <c:pt idx="62">
                  <c:v>31.400000000000002</c:v>
                </c:pt>
                <c:pt idx="63">
                  <c:v>30.700000000000003</c:v>
                </c:pt>
                <c:pt idx="64">
                  <c:v>31.9</c:v>
                </c:pt>
                <c:pt idx="65">
                  <c:v>32.5</c:v>
                </c:pt>
                <c:pt idx="66">
                  <c:v>36.299999999999997</c:v>
                </c:pt>
                <c:pt idx="67">
                  <c:v>36.700000000000003</c:v>
                </c:pt>
                <c:pt idx="68">
                  <c:v>38.200000000000003</c:v>
                </c:pt>
                <c:pt idx="69">
                  <c:v>39.5</c:v>
                </c:pt>
                <c:pt idx="70">
                  <c:v>38.1</c:v>
                </c:pt>
                <c:pt idx="71">
                  <c:v>36.9</c:v>
                </c:pt>
                <c:pt idx="72">
                  <c:v>37.200000000000003</c:v>
                </c:pt>
                <c:pt idx="73">
                  <c:v>39.700000000000003</c:v>
                </c:pt>
                <c:pt idx="74">
                  <c:v>41.8</c:v>
                </c:pt>
                <c:pt idx="75">
                  <c:v>44.2</c:v>
                </c:pt>
                <c:pt idx="76">
                  <c:v>46.5</c:v>
                </c:pt>
                <c:pt idx="77">
                  <c:v>45.7</c:v>
                </c:pt>
                <c:pt idx="78">
                  <c:v>45.8</c:v>
                </c:pt>
                <c:pt idx="79">
                  <c:v>46.099999999999994</c:v>
                </c:pt>
                <c:pt idx="80">
                  <c:v>47.9</c:v>
                </c:pt>
                <c:pt idx="81">
                  <c:v>48.5</c:v>
                </c:pt>
                <c:pt idx="82">
                  <c:v>50.5</c:v>
                </c:pt>
                <c:pt idx="83">
                  <c:v>52.3</c:v>
                </c:pt>
                <c:pt idx="84">
                  <c:v>54.5</c:v>
                </c:pt>
                <c:pt idx="85">
                  <c:v>55</c:v>
                </c:pt>
                <c:pt idx="86">
                  <c:v>56.9</c:v>
                </c:pt>
                <c:pt idx="87">
                  <c:v>54.5</c:v>
                </c:pt>
                <c:pt idx="88">
                  <c:v>52.9</c:v>
                </c:pt>
                <c:pt idx="89">
                  <c:v>58.7</c:v>
                </c:pt>
                <c:pt idx="90">
                  <c:v>58.400000000000006</c:v>
                </c:pt>
                <c:pt idx="91">
                  <c:v>59.2</c:v>
                </c:pt>
                <c:pt idx="92">
                  <c:v>59.300000000000004</c:v>
                </c:pt>
                <c:pt idx="93">
                  <c:v>62.099999999999994</c:v>
                </c:pt>
                <c:pt idx="94">
                  <c:v>60.5</c:v>
                </c:pt>
                <c:pt idx="95">
                  <c:v>62.9</c:v>
                </c:pt>
                <c:pt idx="96">
                  <c:v>63.9</c:v>
                </c:pt>
                <c:pt idx="97">
                  <c:v>63.800000000000004</c:v>
                </c:pt>
                <c:pt idx="98">
                  <c:v>65.599999999999994</c:v>
                </c:pt>
                <c:pt idx="99">
                  <c:v>64.400000000000006</c:v>
                </c:pt>
                <c:pt idx="100">
                  <c:v>44.2</c:v>
                </c:pt>
                <c:pt idx="101">
                  <c:v>33.700000000000003</c:v>
                </c:pt>
                <c:pt idx="102">
                  <c:v>38.200000000000003</c:v>
                </c:pt>
                <c:pt idx="103">
                  <c:v>43.8</c:v>
                </c:pt>
                <c:pt idx="104">
                  <c:v>40.200000000000003</c:v>
                </c:pt>
                <c:pt idx="105">
                  <c:v>40.9</c:v>
                </c:pt>
                <c:pt idx="106">
                  <c:v>47.400000000000006</c:v>
                </c:pt>
                <c:pt idx="107">
                  <c:v>50.8</c:v>
                </c:pt>
                <c:pt idx="108">
                  <c:v>53.099999999999994</c:v>
                </c:pt>
                <c:pt idx="109">
                  <c:v>61.5</c:v>
                </c:pt>
                <c:pt idx="110">
                  <c:v>68.400000000000006</c:v>
                </c:pt>
                <c:pt idx="111">
                  <c:v>71.2</c:v>
                </c:pt>
                <c:pt idx="112">
                  <c:v>77.7</c:v>
                </c:pt>
                <c:pt idx="113">
                  <c:v>80.5</c:v>
                </c:pt>
                <c:pt idx="114">
                  <c:v>80</c:v>
                </c:pt>
                <c:pt idx="115">
                  <c:v>81.900000000000006</c:v>
                </c:pt>
                <c:pt idx="116">
                  <c:v>82.5</c:v>
                </c:pt>
                <c:pt idx="117">
                  <c:v>78</c:v>
                </c:pt>
                <c:pt idx="118">
                  <c:v>68.699999999999989</c:v>
                </c:pt>
                <c:pt idx="119">
                  <c:v>73.3</c:v>
                </c:pt>
                <c:pt idx="120">
                  <c:v>75.099999999999994</c:v>
                </c:pt>
                <c:pt idx="121">
                  <c:v>73.599999999999994</c:v>
                </c:pt>
                <c:pt idx="122">
                  <c:v>74.099999999999994</c:v>
                </c:pt>
                <c:pt idx="123">
                  <c:v>75.3</c:v>
                </c:pt>
                <c:pt idx="124">
                  <c:v>77.2</c:v>
                </c:pt>
                <c:pt idx="125">
                  <c:v>80</c:v>
                </c:pt>
                <c:pt idx="126">
                  <c:v>66.5</c:v>
                </c:pt>
                <c:pt idx="127">
                  <c:v>70.599999999999994</c:v>
                </c:pt>
                <c:pt idx="128">
                  <c:v>68.900000000000006</c:v>
                </c:pt>
                <c:pt idx="129">
                  <c:v>66.099999999999994</c:v>
                </c:pt>
                <c:pt idx="130">
                  <c:v>40.1</c:v>
                </c:pt>
                <c:pt idx="131">
                  <c:v>50.8</c:v>
                </c:pt>
                <c:pt idx="132">
                  <c:v>72.199999999999989</c:v>
                </c:pt>
                <c:pt idx="133">
                  <c:v>71.699999999999989</c:v>
                </c:pt>
                <c:pt idx="134">
                  <c:v>71.8</c:v>
                </c:pt>
                <c:pt idx="135">
                  <c:v>80.900000000000006</c:v>
                </c:pt>
                <c:pt idx="136">
                  <c:v>79.8</c:v>
                </c:pt>
                <c:pt idx="137">
                  <c:v>84.7</c:v>
                </c:pt>
                <c:pt idx="138">
                  <c:v>87.8</c:v>
                </c:pt>
                <c:pt idx="139">
                  <c:v>84.6</c:v>
                </c:pt>
                <c:pt idx="140">
                  <c:v>85.5</c:v>
                </c:pt>
                <c:pt idx="141">
                  <c:v>87.3</c:v>
                </c:pt>
                <c:pt idx="142">
                  <c:v>86.9</c:v>
                </c:pt>
                <c:pt idx="143">
                  <c:v>88.1</c:v>
                </c:pt>
                <c:pt idx="144">
                  <c:v>87.1</c:v>
                </c:pt>
                <c:pt idx="145">
                  <c:v>82.6</c:v>
                </c:pt>
                <c:pt idx="146">
                  <c:v>80.7</c:v>
                </c:pt>
                <c:pt idx="147">
                  <c:v>76.8</c:v>
                </c:pt>
                <c:pt idx="148">
                  <c:v>76.400000000000006</c:v>
                </c:pt>
                <c:pt idx="149">
                  <c:v>71.599999999999994</c:v>
                </c:pt>
                <c:pt idx="150">
                  <c:v>76.599999999999994</c:v>
                </c:pt>
                <c:pt idx="151">
                  <c:v>73.8</c:v>
                </c:pt>
                <c:pt idx="152">
                  <c:v>70.400000000000006</c:v>
                </c:pt>
                <c:pt idx="153">
                  <c:v>67</c:v>
                </c:pt>
                <c:pt idx="154">
                  <c:v>59.900000000000006</c:v>
                </c:pt>
                <c:pt idx="155">
                  <c:v>56.7</c:v>
                </c:pt>
                <c:pt idx="156">
                  <c:v>51.5</c:v>
                </c:pt>
                <c:pt idx="157">
                  <c:v>46.8</c:v>
                </c:pt>
                <c:pt idx="158">
                  <c:v>43.2</c:v>
                </c:pt>
                <c:pt idx="159">
                  <c:v>37.200000000000003</c:v>
                </c:pt>
                <c:pt idx="160">
                  <c:v>33.799999999999997</c:v>
                </c:pt>
                <c:pt idx="161">
                  <c:v>33.1</c:v>
                </c:pt>
                <c:pt idx="162">
                  <c:v>32.300000000000004</c:v>
                </c:pt>
                <c:pt idx="163">
                  <c:v>31.5</c:v>
                </c:pt>
                <c:pt idx="164">
                  <c:v>29</c:v>
                </c:pt>
                <c:pt idx="165">
                  <c:v>27.200000000000003</c:v>
                </c:pt>
                <c:pt idx="166">
                  <c:v>27</c:v>
                </c:pt>
                <c:pt idx="167">
                  <c:v>28.83</c:v>
                </c:pt>
                <c:pt idx="168">
                  <c:v>28.31</c:v>
                </c:pt>
                <c:pt idx="169">
                  <c:v>27.310000000000002</c:v>
                </c:pt>
                <c:pt idx="170">
                  <c:v>26.96</c:v>
                </c:pt>
                <c:pt idx="171">
                  <c:v>25.14</c:v>
                </c:pt>
                <c:pt idx="172">
                  <c:v>24.08</c:v>
                </c:pt>
                <c:pt idx="173">
                  <c:v>21.1</c:v>
                </c:pt>
                <c:pt idx="174">
                  <c:v>17.73</c:v>
                </c:pt>
                <c:pt idx="175">
                  <c:v>16.36</c:v>
                </c:pt>
                <c:pt idx="176">
                  <c:v>14.55</c:v>
                </c:pt>
                <c:pt idx="177">
                  <c:v>14.986524903749741</c:v>
                </c:pt>
                <c:pt idx="178">
                  <c:v>13.009340162988984</c:v>
                </c:pt>
                <c:pt idx="179">
                  <c:v>11.997903214836832</c:v>
                </c:pt>
                <c:pt idx="180">
                  <c:v>10.255747792608604</c:v>
                </c:pt>
                <c:pt idx="181">
                  <c:v>9.5450293185325297</c:v>
                </c:pt>
                <c:pt idx="182">
                  <c:v>9.0943108444564551</c:v>
                </c:pt>
                <c:pt idx="183">
                  <c:v>7.7735923703803786</c:v>
                </c:pt>
                <c:pt idx="184">
                  <c:v>6.3821554222282275</c:v>
                </c:pt>
                <c:pt idx="185">
                  <c:v>6.0528738963043027</c:v>
                </c:pt>
                <c:pt idx="186">
                  <c:v>4.462873896304302</c:v>
                </c:pt>
                <c:pt idx="187">
                  <c:v>2.941436948152151</c:v>
                </c:pt>
                <c:pt idx="188">
                  <c:v>2.2014369481521512</c:v>
                </c:pt>
                <c:pt idx="189">
                  <c:v>2.3307184740760758</c:v>
                </c:pt>
                <c:pt idx="190">
                  <c:v>1.0514369481521513</c:v>
                </c:pt>
                <c:pt idx="191">
                  <c:v>0.69071847407607567</c:v>
                </c:pt>
                <c:pt idx="192">
                  <c:v>0.5</c:v>
                </c:pt>
                <c:pt idx="193">
                  <c:v>0.4</c:v>
                </c:pt>
                <c:pt idx="194">
                  <c:v>0.3</c:v>
                </c:pt>
                <c:pt idx="195">
                  <c:v>0.2</c:v>
                </c:pt>
              </c:numCache>
            </c:numRef>
          </c:yVal>
          <c:smooth val="1"/>
          <c:extLst>
            <c:ext xmlns:c16="http://schemas.microsoft.com/office/drawing/2014/chart" uri="{C3380CC4-5D6E-409C-BE32-E72D297353CC}">
              <c16:uniqueId val="{00000000-1A3D-814E-AFB0-66BDA1178BD1}"/>
            </c:ext>
          </c:extLst>
        </c:ser>
        <c:dLbls>
          <c:showLegendKey val="0"/>
          <c:showVal val="0"/>
          <c:showCatName val="0"/>
          <c:showSerName val="0"/>
          <c:showPercent val="0"/>
          <c:showBubbleSize val="0"/>
        </c:dLbls>
        <c:axId val="131114880"/>
        <c:axId val="131116416"/>
      </c:scatterChart>
      <c:valAx>
        <c:axId val="131114880"/>
        <c:scaling>
          <c:orientation val="minMax"/>
          <c:max val="2020"/>
          <c:min val="18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116416"/>
        <c:crosses val="autoZero"/>
        <c:crossBetween val="midCat"/>
        <c:majorUnit val="60"/>
        <c:minorUnit val="10"/>
      </c:valAx>
      <c:valAx>
        <c:axId val="131116416"/>
        <c:scaling>
          <c:orientation val="minMax"/>
          <c:max val="10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240681576144838"/>
              <c:y val="0.17766550014581511"/>
            </c:manualLayout>
          </c:layout>
          <c:overlay val="0"/>
        </c:title>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114880"/>
        <c:crosses val="max"/>
        <c:crossBetween val="midCat"/>
        <c:majorUnit val="5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967338347887901"/>
          <c:h val="0.77264654418197765"/>
        </c:manualLayout>
      </c:layout>
      <c:scatterChart>
        <c:scatterStyle val="smoothMarker"/>
        <c:varyColors val="0"/>
        <c:ser>
          <c:idx val="0"/>
          <c:order val="0"/>
          <c:tx>
            <c:strRef>
              <c:f>'France and Belgium'!$G$7</c:f>
              <c:strCache>
                <c:ptCount val="1"/>
                <c:pt idx="0">
                  <c:v>logit</c:v>
                </c:pt>
              </c:strCache>
            </c:strRef>
          </c:tx>
          <c:spPr>
            <a:ln w="15875">
              <a:solidFill>
                <a:srgbClr val="008000"/>
              </a:solidFill>
            </a:ln>
          </c:spPr>
          <c:marker>
            <c:symbol val="none"/>
          </c:marker>
          <c:xVal>
            <c:numRef>
              <c:f>'France and Belgium'!$D$67:$D$278</c:f>
              <c:numCache>
                <c:formatCode>General</c:formatCode>
                <c:ptCount val="212"/>
                <c:pt idx="0">
                  <c:v>1873</c:v>
                </c:pt>
                <c:pt idx="1">
                  <c:v>1874</c:v>
                </c:pt>
                <c:pt idx="2">
                  <c:v>1875</c:v>
                </c:pt>
                <c:pt idx="3">
                  <c:v>1876</c:v>
                </c:pt>
                <c:pt idx="4">
                  <c:v>1877</c:v>
                </c:pt>
                <c:pt idx="5">
                  <c:v>1878</c:v>
                </c:pt>
                <c:pt idx="6">
                  <c:v>1879</c:v>
                </c:pt>
                <c:pt idx="7">
                  <c:v>1880</c:v>
                </c:pt>
                <c:pt idx="8">
                  <c:v>1881</c:v>
                </c:pt>
                <c:pt idx="9">
                  <c:v>1882</c:v>
                </c:pt>
                <c:pt idx="10">
                  <c:v>1883</c:v>
                </c:pt>
                <c:pt idx="11">
                  <c:v>1884</c:v>
                </c:pt>
                <c:pt idx="12">
                  <c:v>1885</c:v>
                </c:pt>
                <c:pt idx="13">
                  <c:v>1886</c:v>
                </c:pt>
                <c:pt idx="14">
                  <c:v>1887</c:v>
                </c:pt>
                <c:pt idx="15">
                  <c:v>1888</c:v>
                </c:pt>
                <c:pt idx="16">
                  <c:v>1889</c:v>
                </c:pt>
                <c:pt idx="17">
                  <c:v>1890</c:v>
                </c:pt>
                <c:pt idx="18">
                  <c:v>1891</c:v>
                </c:pt>
                <c:pt idx="19">
                  <c:v>1892</c:v>
                </c:pt>
                <c:pt idx="20">
                  <c:v>1893</c:v>
                </c:pt>
                <c:pt idx="21">
                  <c:v>1894</c:v>
                </c:pt>
                <c:pt idx="22">
                  <c:v>1895</c:v>
                </c:pt>
                <c:pt idx="23">
                  <c:v>1896</c:v>
                </c:pt>
                <c:pt idx="24">
                  <c:v>1897</c:v>
                </c:pt>
                <c:pt idx="25">
                  <c:v>1898</c:v>
                </c:pt>
                <c:pt idx="26">
                  <c:v>1899</c:v>
                </c:pt>
                <c:pt idx="27">
                  <c:v>1900</c:v>
                </c:pt>
                <c:pt idx="28">
                  <c:v>1901</c:v>
                </c:pt>
                <c:pt idx="29">
                  <c:v>1902</c:v>
                </c:pt>
                <c:pt idx="30">
                  <c:v>1903</c:v>
                </c:pt>
                <c:pt idx="31">
                  <c:v>1904</c:v>
                </c:pt>
                <c:pt idx="32">
                  <c:v>1905</c:v>
                </c:pt>
                <c:pt idx="33">
                  <c:v>1906</c:v>
                </c:pt>
                <c:pt idx="34">
                  <c:v>1907</c:v>
                </c:pt>
                <c:pt idx="35">
                  <c:v>1908</c:v>
                </c:pt>
                <c:pt idx="36">
                  <c:v>1909</c:v>
                </c:pt>
                <c:pt idx="37">
                  <c:v>1910</c:v>
                </c:pt>
                <c:pt idx="38">
                  <c:v>1911</c:v>
                </c:pt>
                <c:pt idx="39">
                  <c:v>1912</c:v>
                </c:pt>
                <c:pt idx="40">
                  <c:v>1913</c:v>
                </c:pt>
                <c:pt idx="41">
                  <c:v>1914</c:v>
                </c:pt>
                <c:pt idx="42">
                  <c:v>1915</c:v>
                </c:pt>
                <c:pt idx="43">
                  <c:v>1916</c:v>
                </c:pt>
                <c:pt idx="44">
                  <c:v>1917</c:v>
                </c:pt>
                <c:pt idx="45">
                  <c:v>1918</c:v>
                </c:pt>
                <c:pt idx="46">
                  <c:v>1919</c:v>
                </c:pt>
                <c:pt idx="47">
                  <c:v>1920</c:v>
                </c:pt>
                <c:pt idx="48">
                  <c:v>1921</c:v>
                </c:pt>
                <c:pt idx="49">
                  <c:v>1922</c:v>
                </c:pt>
                <c:pt idx="50">
                  <c:v>1923</c:v>
                </c:pt>
                <c:pt idx="51">
                  <c:v>1924</c:v>
                </c:pt>
                <c:pt idx="52">
                  <c:v>1925</c:v>
                </c:pt>
                <c:pt idx="53">
                  <c:v>1926</c:v>
                </c:pt>
                <c:pt idx="54">
                  <c:v>1927</c:v>
                </c:pt>
                <c:pt idx="55">
                  <c:v>1928</c:v>
                </c:pt>
                <c:pt idx="56">
                  <c:v>1929</c:v>
                </c:pt>
                <c:pt idx="57">
                  <c:v>1930</c:v>
                </c:pt>
                <c:pt idx="58">
                  <c:v>1931</c:v>
                </c:pt>
                <c:pt idx="59">
                  <c:v>1932</c:v>
                </c:pt>
                <c:pt idx="60">
                  <c:v>1933</c:v>
                </c:pt>
                <c:pt idx="61">
                  <c:v>1934</c:v>
                </c:pt>
                <c:pt idx="62">
                  <c:v>1935</c:v>
                </c:pt>
                <c:pt idx="63">
                  <c:v>1936</c:v>
                </c:pt>
                <c:pt idx="64">
                  <c:v>1937</c:v>
                </c:pt>
                <c:pt idx="65">
                  <c:v>1938</c:v>
                </c:pt>
                <c:pt idx="66">
                  <c:v>1939</c:v>
                </c:pt>
                <c:pt idx="67">
                  <c:v>1940</c:v>
                </c:pt>
                <c:pt idx="68">
                  <c:v>1941</c:v>
                </c:pt>
                <c:pt idx="69">
                  <c:v>1942</c:v>
                </c:pt>
                <c:pt idx="70">
                  <c:v>1943</c:v>
                </c:pt>
                <c:pt idx="71">
                  <c:v>1944</c:v>
                </c:pt>
                <c:pt idx="72">
                  <c:v>1945</c:v>
                </c:pt>
                <c:pt idx="73">
                  <c:v>1946</c:v>
                </c:pt>
                <c:pt idx="74">
                  <c:v>1947</c:v>
                </c:pt>
                <c:pt idx="75">
                  <c:v>1948</c:v>
                </c:pt>
                <c:pt idx="76">
                  <c:v>1949</c:v>
                </c:pt>
                <c:pt idx="77">
                  <c:v>1950</c:v>
                </c:pt>
                <c:pt idx="78">
                  <c:v>1951</c:v>
                </c:pt>
                <c:pt idx="79">
                  <c:v>1952</c:v>
                </c:pt>
                <c:pt idx="80">
                  <c:v>1953</c:v>
                </c:pt>
                <c:pt idx="81">
                  <c:v>1954</c:v>
                </c:pt>
                <c:pt idx="82">
                  <c:v>1955</c:v>
                </c:pt>
                <c:pt idx="83">
                  <c:v>1956</c:v>
                </c:pt>
                <c:pt idx="84">
                  <c:v>1957</c:v>
                </c:pt>
                <c:pt idx="85">
                  <c:v>1958</c:v>
                </c:pt>
                <c:pt idx="86">
                  <c:v>1959</c:v>
                </c:pt>
                <c:pt idx="87">
                  <c:v>1960</c:v>
                </c:pt>
                <c:pt idx="88">
                  <c:v>1961</c:v>
                </c:pt>
                <c:pt idx="89">
                  <c:v>1962</c:v>
                </c:pt>
                <c:pt idx="90">
                  <c:v>1963</c:v>
                </c:pt>
                <c:pt idx="91">
                  <c:v>1964</c:v>
                </c:pt>
                <c:pt idx="92">
                  <c:v>1965</c:v>
                </c:pt>
                <c:pt idx="93">
                  <c:v>1966</c:v>
                </c:pt>
                <c:pt idx="94">
                  <c:v>1967</c:v>
                </c:pt>
                <c:pt idx="95">
                  <c:v>1968</c:v>
                </c:pt>
                <c:pt idx="96">
                  <c:v>1969</c:v>
                </c:pt>
                <c:pt idx="97">
                  <c:v>1970</c:v>
                </c:pt>
                <c:pt idx="98">
                  <c:v>1971</c:v>
                </c:pt>
                <c:pt idx="99">
                  <c:v>1972</c:v>
                </c:pt>
                <c:pt idx="100">
                  <c:v>1973</c:v>
                </c:pt>
                <c:pt idx="101">
                  <c:v>1974</c:v>
                </c:pt>
                <c:pt idx="102">
                  <c:v>1975</c:v>
                </c:pt>
                <c:pt idx="103">
                  <c:v>1976</c:v>
                </c:pt>
                <c:pt idx="104">
                  <c:v>1977</c:v>
                </c:pt>
                <c:pt idx="105">
                  <c:v>1978</c:v>
                </c:pt>
                <c:pt idx="106">
                  <c:v>1979</c:v>
                </c:pt>
                <c:pt idx="107">
                  <c:v>1980</c:v>
                </c:pt>
                <c:pt idx="108">
                  <c:v>1981</c:v>
                </c:pt>
                <c:pt idx="109">
                  <c:v>1982</c:v>
                </c:pt>
                <c:pt idx="110">
                  <c:v>1983</c:v>
                </c:pt>
                <c:pt idx="111">
                  <c:v>1984</c:v>
                </c:pt>
                <c:pt idx="112">
                  <c:v>1985</c:v>
                </c:pt>
                <c:pt idx="113">
                  <c:v>1986</c:v>
                </c:pt>
                <c:pt idx="114">
                  <c:v>1987</c:v>
                </c:pt>
                <c:pt idx="115">
                  <c:v>1988</c:v>
                </c:pt>
                <c:pt idx="116">
                  <c:v>1989</c:v>
                </c:pt>
                <c:pt idx="117">
                  <c:v>1990</c:v>
                </c:pt>
                <c:pt idx="118">
                  <c:v>1991</c:v>
                </c:pt>
                <c:pt idx="119">
                  <c:v>1992</c:v>
                </c:pt>
                <c:pt idx="120">
                  <c:v>1993</c:v>
                </c:pt>
                <c:pt idx="121">
                  <c:v>1994</c:v>
                </c:pt>
                <c:pt idx="122">
                  <c:v>1995</c:v>
                </c:pt>
                <c:pt idx="123">
                  <c:v>1996</c:v>
                </c:pt>
                <c:pt idx="124">
                  <c:v>1997</c:v>
                </c:pt>
                <c:pt idx="125">
                  <c:v>1998</c:v>
                </c:pt>
                <c:pt idx="126">
                  <c:v>1999</c:v>
                </c:pt>
                <c:pt idx="127">
                  <c:v>2000</c:v>
                </c:pt>
                <c:pt idx="128">
                  <c:v>2001</c:v>
                </c:pt>
                <c:pt idx="129">
                  <c:v>2002</c:v>
                </c:pt>
                <c:pt idx="130">
                  <c:v>2003</c:v>
                </c:pt>
                <c:pt idx="131">
                  <c:v>2004</c:v>
                </c:pt>
                <c:pt idx="132">
                  <c:v>2005</c:v>
                </c:pt>
                <c:pt idx="133">
                  <c:v>2006</c:v>
                </c:pt>
                <c:pt idx="134">
                  <c:v>2007</c:v>
                </c:pt>
                <c:pt idx="135">
                  <c:v>2008</c:v>
                </c:pt>
                <c:pt idx="136">
                  <c:v>2009</c:v>
                </c:pt>
                <c:pt idx="137">
                  <c:v>2010</c:v>
                </c:pt>
                <c:pt idx="138">
                  <c:v>2011</c:v>
                </c:pt>
                <c:pt idx="139">
                  <c:v>2012</c:v>
                </c:pt>
                <c:pt idx="140">
                  <c:v>2013</c:v>
                </c:pt>
                <c:pt idx="141">
                  <c:v>2014</c:v>
                </c:pt>
                <c:pt idx="142">
                  <c:v>2015</c:v>
                </c:pt>
                <c:pt idx="143">
                  <c:v>2016</c:v>
                </c:pt>
                <c:pt idx="144">
                  <c:v>2017</c:v>
                </c:pt>
                <c:pt idx="145">
                  <c:v>2018</c:v>
                </c:pt>
                <c:pt idx="146">
                  <c:v>2019</c:v>
                </c:pt>
                <c:pt idx="147">
                  <c:v>2020</c:v>
                </c:pt>
                <c:pt idx="148">
                  <c:v>2021</c:v>
                </c:pt>
                <c:pt idx="149">
                  <c:v>2022</c:v>
                </c:pt>
                <c:pt idx="150">
                  <c:v>2023</c:v>
                </c:pt>
                <c:pt idx="151">
                  <c:v>2024</c:v>
                </c:pt>
                <c:pt idx="152">
                  <c:v>2025</c:v>
                </c:pt>
                <c:pt idx="153">
                  <c:v>2026</c:v>
                </c:pt>
                <c:pt idx="154">
                  <c:v>2027</c:v>
                </c:pt>
                <c:pt idx="155">
                  <c:v>2028</c:v>
                </c:pt>
                <c:pt idx="156">
                  <c:v>2029</c:v>
                </c:pt>
                <c:pt idx="157">
                  <c:v>2030</c:v>
                </c:pt>
                <c:pt idx="158">
                  <c:v>2031</c:v>
                </c:pt>
                <c:pt idx="159">
                  <c:v>2032</c:v>
                </c:pt>
                <c:pt idx="160">
                  <c:v>2033</c:v>
                </c:pt>
                <c:pt idx="161">
                  <c:v>2034</c:v>
                </c:pt>
                <c:pt idx="162">
                  <c:v>2035</c:v>
                </c:pt>
                <c:pt idx="163">
                  <c:v>2036</c:v>
                </c:pt>
                <c:pt idx="164">
                  <c:v>2037</c:v>
                </c:pt>
                <c:pt idx="165">
                  <c:v>2038</c:v>
                </c:pt>
                <c:pt idx="166">
                  <c:v>2039</c:v>
                </c:pt>
                <c:pt idx="167">
                  <c:v>2040</c:v>
                </c:pt>
                <c:pt idx="168">
                  <c:v>2041</c:v>
                </c:pt>
                <c:pt idx="169">
                  <c:v>2042</c:v>
                </c:pt>
                <c:pt idx="170">
                  <c:v>2043</c:v>
                </c:pt>
                <c:pt idx="171">
                  <c:v>2044</c:v>
                </c:pt>
                <c:pt idx="172">
                  <c:v>2045</c:v>
                </c:pt>
                <c:pt idx="173">
                  <c:v>2046</c:v>
                </c:pt>
                <c:pt idx="174">
                  <c:v>2047</c:v>
                </c:pt>
                <c:pt idx="175">
                  <c:v>2048</c:v>
                </c:pt>
                <c:pt idx="176">
                  <c:v>2049</c:v>
                </c:pt>
                <c:pt idx="177">
                  <c:v>2050</c:v>
                </c:pt>
                <c:pt idx="178">
                  <c:v>2051</c:v>
                </c:pt>
                <c:pt idx="179">
                  <c:v>2052</c:v>
                </c:pt>
                <c:pt idx="180">
                  <c:v>2053</c:v>
                </c:pt>
                <c:pt idx="181">
                  <c:v>2054</c:v>
                </c:pt>
                <c:pt idx="182">
                  <c:v>2055</c:v>
                </c:pt>
                <c:pt idx="183">
                  <c:v>2056</c:v>
                </c:pt>
                <c:pt idx="184">
                  <c:v>2057</c:v>
                </c:pt>
                <c:pt idx="185">
                  <c:v>2058</c:v>
                </c:pt>
                <c:pt idx="186">
                  <c:v>2059</c:v>
                </c:pt>
                <c:pt idx="187">
                  <c:v>2060</c:v>
                </c:pt>
                <c:pt idx="188">
                  <c:v>2061</c:v>
                </c:pt>
                <c:pt idx="189">
                  <c:v>2062</c:v>
                </c:pt>
                <c:pt idx="190">
                  <c:v>2063</c:v>
                </c:pt>
                <c:pt idx="191">
                  <c:v>2064</c:v>
                </c:pt>
                <c:pt idx="192">
                  <c:v>2065</c:v>
                </c:pt>
                <c:pt idx="193">
                  <c:v>2066</c:v>
                </c:pt>
                <c:pt idx="194">
                  <c:v>2067</c:v>
                </c:pt>
                <c:pt idx="195">
                  <c:v>2068</c:v>
                </c:pt>
                <c:pt idx="196">
                  <c:v>2069</c:v>
                </c:pt>
                <c:pt idx="197">
                  <c:v>2070</c:v>
                </c:pt>
                <c:pt idx="198">
                  <c:v>2071</c:v>
                </c:pt>
                <c:pt idx="199">
                  <c:v>2072</c:v>
                </c:pt>
                <c:pt idx="200">
                  <c:v>2073</c:v>
                </c:pt>
                <c:pt idx="201">
                  <c:v>2074</c:v>
                </c:pt>
                <c:pt idx="202">
                  <c:v>2075</c:v>
                </c:pt>
                <c:pt idx="203">
                  <c:v>2076</c:v>
                </c:pt>
                <c:pt idx="204">
                  <c:v>2077</c:v>
                </c:pt>
                <c:pt idx="205">
                  <c:v>2078</c:v>
                </c:pt>
                <c:pt idx="206">
                  <c:v>2079</c:v>
                </c:pt>
                <c:pt idx="207">
                  <c:v>2080</c:v>
                </c:pt>
                <c:pt idx="208">
                  <c:v>2081</c:v>
                </c:pt>
                <c:pt idx="209">
                  <c:v>2082</c:v>
                </c:pt>
                <c:pt idx="210">
                  <c:v>2083</c:v>
                </c:pt>
                <c:pt idx="211">
                  <c:v>2084</c:v>
                </c:pt>
              </c:numCache>
            </c:numRef>
          </c:xVal>
          <c:yVal>
            <c:numRef>
              <c:f>'France and Belgium'!$G$67:$G$278</c:f>
              <c:numCache>
                <c:formatCode>0.00</c:formatCode>
                <c:ptCount val="212"/>
                <c:pt idx="0">
                  <c:v>-2.3854142118125523</c:v>
                </c:pt>
                <c:pt idx="1">
                  <c:v>-2.3328729585409285</c:v>
                </c:pt>
                <c:pt idx="2">
                  <c:v>-2.2818858792586036</c:v>
                </c:pt>
                <c:pt idx="3">
                  <c:v>-2.2338330292712167</c:v>
                </c:pt>
                <c:pt idx="4">
                  <c:v>-2.1885860814530966</c:v>
                </c:pt>
                <c:pt idx="5">
                  <c:v>-2.1432404211377878</c:v>
                </c:pt>
                <c:pt idx="6">
                  <c:v>-2.0986542307685263</c:v>
                </c:pt>
                <c:pt idx="7">
                  <c:v>-2.0506247527268542</c:v>
                </c:pt>
                <c:pt idx="8">
                  <c:v>-2.003811543103569</c:v>
                </c:pt>
                <c:pt idx="9">
                  <c:v>-1.9567968466734809</c:v>
                </c:pt>
                <c:pt idx="10">
                  <c:v>-1.9098700600799958</c:v>
                </c:pt>
                <c:pt idx="11">
                  <c:v>-1.866104232039743</c:v>
                </c:pt>
                <c:pt idx="12">
                  <c:v>-1.8250131609836255</c:v>
                </c:pt>
                <c:pt idx="13">
                  <c:v>-1.7847869167787931</c:v>
                </c:pt>
                <c:pt idx="14">
                  <c:v>-1.7430920086649571</c:v>
                </c:pt>
                <c:pt idx="15">
                  <c:v>-1.7004718730294002</c:v>
                </c:pt>
                <c:pt idx="16">
                  <c:v>-1.6567296665134259</c:v>
                </c:pt>
                <c:pt idx="17">
                  <c:v>-1.6120728117778542</c:v>
                </c:pt>
                <c:pt idx="18">
                  <c:v>-1.5694442530819139</c:v>
                </c:pt>
                <c:pt idx="19">
                  <c:v>-1.52788496053533</c:v>
                </c:pt>
                <c:pt idx="20">
                  <c:v>-1.4871463984834119</c:v>
                </c:pt>
                <c:pt idx="21">
                  <c:v>-1.4458984148394878</c:v>
                </c:pt>
                <c:pt idx="22">
                  <c:v>-1.4051794738842796</c:v>
                </c:pt>
                <c:pt idx="23">
                  <c:v>-1.3638226373913416</c:v>
                </c:pt>
                <c:pt idx="24">
                  <c:v>-1.3220341096501151</c:v>
                </c:pt>
                <c:pt idx="25">
                  <c:v>-1.2795373101066596</c:v>
                </c:pt>
                <c:pt idx="26">
                  <c:v>-1.2376603133968822</c:v>
                </c:pt>
                <c:pt idx="27">
                  <c:v>-1.1953287736451339</c:v>
                </c:pt>
                <c:pt idx="28">
                  <c:v>-1.155663360041246</c:v>
                </c:pt>
                <c:pt idx="29">
                  <c:v>-1.1179312577418146</c:v>
                </c:pt>
                <c:pt idx="30">
                  <c:v>-1.0768896847569829</c:v>
                </c:pt>
                <c:pt idx="31">
                  <c:v>-1.0368638738265252</c:v>
                </c:pt>
                <c:pt idx="32">
                  <c:v>-0.99705416562655547</c:v>
                </c:pt>
                <c:pt idx="33">
                  <c:v>-0.95789646178658594</c:v>
                </c:pt>
                <c:pt idx="34">
                  <c:v>-0.91760867209893937</c:v>
                </c:pt>
                <c:pt idx="35">
                  <c:v>-0.87901780082509118</c:v>
                </c:pt>
                <c:pt idx="36">
                  <c:v>-0.83953782271777666</c:v>
                </c:pt>
                <c:pt idx="37">
                  <c:v>-0.8000534641833198</c:v>
                </c:pt>
                <c:pt idx="38">
                  <c:v>-0.76121324822012693</c:v>
                </c:pt>
                <c:pt idx="39">
                  <c:v>-0.7218403300466022</c:v>
                </c:pt>
                <c:pt idx="40">
                  <c:v>-0.68370272393276121</c:v>
                </c:pt>
                <c:pt idx="41">
                  <c:v>-0.65780331979738571</c:v>
                </c:pt>
                <c:pt idx="42">
                  <c:v>-0.63819902680963203</c:v>
                </c:pt>
                <c:pt idx="43">
                  <c:v>-0.61611929531684295</c:v>
                </c:pt>
                <c:pt idx="44">
                  <c:v>-0.59098036453475733</c:v>
                </c:pt>
                <c:pt idx="45">
                  <c:v>-0.56806647076514027</c:v>
                </c:pt>
                <c:pt idx="46">
                  <c:v>-0.54490166442279719</c:v>
                </c:pt>
                <c:pt idx="47">
                  <c:v>-0.51823233717112338</c:v>
                </c:pt>
                <c:pt idx="48">
                  <c:v>-0.48984853496474517</c:v>
                </c:pt>
                <c:pt idx="49">
                  <c:v>-0.46038484574318711</c:v>
                </c:pt>
                <c:pt idx="50">
                  <c:v>-0.42650310427554133</c:v>
                </c:pt>
                <c:pt idx="51">
                  <c:v>-0.38910034026017737</c:v>
                </c:pt>
                <c:pt idx="52">
                  <c:v>-0.35044956815865502</c:v>
                </c:pt>
                <c:pt idx="53">
                  <c:v>-0.3085629621034558</c:v>
                </c:pt>
                <c:pt idx="54">
                  <c:v>-0.26544792459118771</c:v>
                </c:pt>
                <c:pt idx="55">
                  <c:v>-0.22284243212733645</c:v>
                </c:pt>
                <c:pt idx="56">
                  <c:v>-0.17943243882357049</c:v>
                </c:pt>
                <c:pt idx="57">
                  <c:v>-0.13587415722722035</c:v>
                </c:pt>
                <c:pt idx="58">
                  <c:v>-9.4810508420752559E-2</c:v>
                </c:pt>
                <c:pt idx="59">
                  <c:v>-5.8710090219148907E-2</c:v>
                </c:pt>
                <c:pt idx="60">
                  <c:v>-2.0234021925018636E-2</c:v>
                </c:pt>
                <c:pt idx="61">
                  <c:v>1.9171601173752155E-2</c:v>
                </c:pt>
                <c:pt idx="62">
                  <c:v>5.7804412072148058E-2</c:v>
                </c:pt>
                <c:pt idx="63">
                  <c:v>9.674335940257936E-2</c:v>
                </c:pt>
                <c:pt idx="64">
                  <c:v>0.13638828926100971</c:v>
                </c:pt>
                <c:pt idx="65">
                  <c:v>0.17714525027448078</c:v>
                </c:pt>
                <c:pt idx="66">
                  <c:v>0.21953629823962822</c:v>
                </c:pt>
                <c:pt idx="67">
                  <c:v>0.25492239732118777</c:v>
                </c:pt>
                <c:pt idx="68">
                  <c:v>0.29266525431017865</c:v>
                </c:pt>
                <c:pt idx="69">
                  <c:v>0.32969975177986827</c:v>
                </c:pt>
                <c:pt idx="70">
                  <c:v>0.36544077028494221</c:v>
                </c:pt>
                <c:pt idx="71">
                  <c:v>0.38723491394952897</c:v>
                </c:pt>
                <c:pt idx="72">
                  <c:v>0.4149761699978336</c:v>
                </c:pt>
                <c:pt idx="73">
                  <c:v>0.45467909740452372</c:v>
                </c:pt>
                <c:pt idx="74">
                  <c:v>0.49445881851206819</c:v>
                </c:pt>
                <c:pt idx="75">
                  <c:v>0.53468207433649884</c:v>
                </c:pt>
                <c:pt idx="76">
                  <c:v>0.58051699060090245</c:v>
                </c:pt>
                <c:pt idx="77">
                  <c:v>0.62631731507983868</c:v>
                </c:pt>
                <c:pt idx="78">
                  <c:v>0.67563734164264944</c:v>
                </c:pt>
                <c:pt idx="79">
                  <c:v>0.72761319035240934</c:v>
                </c:pt>
                <c:pt idx="80">
                  <c:v>0.77860097820760377</c:v>
                </c:pt>
                <c:pt idx="81">
                  <c:v>0.8311299519345271</c:v>
                </c:pt>
                <c:pt idx="82">
                  <c:v>0.88590891464568156</c:v>
                </c:pt>
                <c:pt idx="83">
                  <c:v>0.94170594789167361</c:v>
                </c:pt>
                <c:pt idx="84">
                  <c:v>0.99970440157569851</c:v>
                </c:pt>
                <c:pt idx="85">
                  <c:v>1.0586141470326356</c:v>
                </c:pt>
                <c:pt idx="86">
                  <c:v>1.1160780000051689</c:v>
                </c:pt>
                <c:pt idx="87">
                  <c:v>1.1738829284329904</c:v>
                </c:pt>
                <c:pt idx="88">
                  <c:v>1.2305809410800552</c:v>
                </c:pt>
                <c:pt idx="89">
                  <c:v>1.2887872479047833</c:v>
                </c:pt>
                <c:pt idx="90">
                  <c:v>1.3451393102277664</c:v>
                </c:pt>
                <c:pt idx="91">
                  <c:v>1.4075654963960782</c:v>
                </c:pt>
                <c:pt idx="92">
                  <c:v>1.4700319098443346</c:v>
                </c:pt>
                <c:pt idx="93">
                  <c:v>1.5319867245696248</c:v>
                </c:pt>
                <c:pt idx="94">
                  <c:v>1.5933392636924355</c:v>
                </c:pt>
                <c:pt idx="95">
                  <c:v>1.6503818622503876</c:v>
                </c:pt>
                <c:pt idx="96">
                  <c:v>1.7064876272082585</c:v>
                </c:pt>
                <c:pt idx="97">
                  <c:v>1.7594085007378808</c:v>
                </c:pt>
                <c:pt idx="98">
                  <c:v>1.8092768831168338</c:v>
                </c:pt>
                <c:pt idx="99">
                  <c:v>1.8569506597661665</c:v>
                </c:pt>
                <c:pt idx="100">
                  <c:v>1.8993748904941214</c:v>
                </c:pt>
                <c:pt idx="101">
                  <c:v>1.9391106265709457</c:v>
                </c:pt>
                <c:pt idx="102">
                  <c:v>1.9792034862009393</c:v>
                </c:pt>
                <c:pt idx="103">
                  <c:v>2.0195368798929816</c:v>
                </c:pt>
                <c:pt idx="104">
                  <c:v>2.0601086163675824</c:v>
                </c:pt>
                <c:pt idx="105">
                  <c:v>2.0986209972538883</c:v>
                </c:pt>
                <c:pt idx="106">
                  <c:v>2.1358276470108661</c:v>
                </c:pt>
                <c:pt idx="107">
                  <c:v>2.1738730820171974</c:v>
                </c:pt>
                <c:pt idx="108">
                  <c:v>2.2158107344042577</c:v>
                </c:pt>
                <c:pt idx="109">
                  <c:v>2.2584142956610336</c:v>
                </c:pt>
                <c:pt idx="110">
                  <c:v>2.3009562027344423</c:v>
                </c:pt>
                <c:pt idx="111">
                  <c:v>2.3444568937340367</c:v>
                </c:pt>
                <c:pt idx="112">
                  <c:v>2.3864774154208406</c:v>
                </c:pt>
                <c:pt idx="113">
                  <c:v>2.4281514149555767</c:v>
                </c:pt>
                <c:pt idx="114">
                  <c:v>2.4659036409301063</c:v>
                </c:pt>
                <c:pt idx="115">
                  <c:v>2.4985826399317244</c:v>
                </c:pt>
                <c:pt idx="116">
                  <c:v>2.5295615788741683</c:v>
                </c:pt>
                <c:pt idx="117">
                  <c:v>2.5578175607017464</c:v>
                </c:pt>
                <c:pt idx="118">
                  <c:v>2.5876540955768474</c:v>
                </c:pt>
                <c:pt idx="119">
                  <c:v>2.6141898933824477</c:v>
                </c:pt>
                <c:pt idx="120">
                  <c:v>2.6392135401714967</c:v>
                </c:pt>
                <c:pt idx="121">
                  <c:v>2.6610423839181525</c:v>
                </c:pt>
                <c:pt idx="122">
                  <c:v>2.6817375360111773</c:v>
                </c:pt>
                <c:pt idx="123">
                  <c:v>2.7018090170283013</c:v>
                </c:pt>
                <c:pt idx="124">
                  <c:v>2.7192492894596798</c:v>
                </c:pt>
                <c:pt idx="125">
                  <c:v>2.7337697733572135</c:v>
                </c:pt>
                <c:pt idx="126">
                  <c:v>2.7477142521058662</c:v>
                </c:pt>
                <c:pt idx="127">
                  <c:v>2.7581063672529411</c:v>
                </c:pt>
                <c:pt idx="128">
                  <c:v>2.7650080767485563</c:v>
                </c:pt>
                <c:pt idx="129">
                  <c:v>2.7702010806219191</c:v>
                </c:pt>
                <c:pt idx="130">
                  <c:v>2.7757250970554881</c:v>
                </c:pt>
                <c:pt idx="131">
                  <c:v>2.7782259416036936</c:v>
                </c:pt>
                <c:pt idx="132">
                  <c:v>2.7798718271538294</c:v>
                </c:pt>
                <c:pt idx="133">
                  <c:v>2.7810647517297218</c:v>
                </c:pt>
                <c:pt idx="134">
                  <c:v>2.7820199972341793</c:v>
                </c:pt>
                <c:pt idx="135">
                  <c:v>2.7827369607265822</c:v>
                </c:pt>
                <c:pt idx="136">
                  <c:v>2.7832151888082617</c:v>
                </c:pt>
              </c:numCache>
            </c:numRef>
          </c:yVal>
          <c:smooth val="1"/>
          <c:extLst>
            <c:ext xmlns:c16="http://schemas.microsoft.com/office/drawing/2014/chart" uri="{C3380CC4-5D6E-409C-BE32-E72D297353CC}">
              <c16:uniqueId val="{00000000-463D-484C-9EBE-913973677011}"/>
            </c:ext>
          </c:extLst>
        </c:ser>
        <c:ser>
          <c:idx val="1"/>
          <c:order val="1"/>
          <c:tx>
            <c:strRef>
              <c:f>'France and Belgium'!$G$3</c:f>
              <c:strCache>
                <c:ptCount val="1"/>
                <c:pt idx="0">
                  <c:v>trend</c:v>
                </c:pt>
              </c:strCache>
            </c:strRef>
          </c:tx>
          <c:spPr>
            <a:ln w="15875">
              <a:solidFill>
                <a:srgbClr val="808080"/>
              </a:solidFill>
              <a:prstDash val="dash"/>
            </a:ln>
          </c:spPr>
          <c:marker>
            <c:symbol val="none"/>
          </c:marker>
          <c:xVal>
            <c:numRef>
              <c:f>'France and Belgium'!$E$3:$E$4</c:f>
              <c:numCache>
                <c:formatCode>General</c:formatCode>
                <c:ptCount val="2"/>
                <c:pt idx="0">
                  <c:v>1873</c:v>
                </c:pt>
                <c:pt idx="1">
                  <c:v>2009</c:v>
                </c:pt>
              </c:numCache>
            </c:numRef>
          </c:xVal>
          <c:yVal>
            <c:numRef>
              <c:f>'France and Belgium'!$F$3:$F$4</c:f>
              <c:numCache>
                <c:formatCode>0.00</c:formatCode>
                <c:ptCount val="2"/>
                <c:pt idx="0">
                  <c:v>-2.3528113692018837</c:v>
                </c:pt>
                <c:pt idx="1">
                  <c:v>3.1750882314285818</c:v>
                </c:pt>
              </c:numCache>
            </c:numRef>
          </c:yVal>
          <c:smooth val="1"/>
          <c:extLst>
            <c:ext xmlns:c16="http://schemas.microsoft.com/office/drawing/2014/chart" uri="{C3380CC4-5D6E-409C-BE32-E72D297353CC}">
              <c16:uniqueId val="{00000001-463D-484C-9EBE-913973677011}"/>
            </c:ext>
          </c:extLst>
        </c:ser>
        <c:ser>
          <c:idx val="2"/>
          <c:order val="2"/>
          <c:tx>
            <c:v>logit early</c:v>
          </c:tx>
          <c:spPr>
            <a:ln w="15875">
              <a:solidFill>
                <a:srgbClr val="008000"/>
              </a:solidFill>
              <a:prstDash val="lgDash"/>
            </a:ln>
          </c:spPr>
          <c:marker>
            <c:symbol val="none"/>
          </c:marker>
          <c:xVal>
            <c:numRef>
              <c:f>'France and Belgium'!$D$9:$D$66</c:f>
              <c:numCache>
                <c:formatCode>General</c:formatCode>
                <c:ptCount val="58"/>
                <c:pt idx="0">
                  <c:v>1815</c:v>
                </c:pt>
                <c:pt idx="1">
                  <c:v>1816</c:v>
                </c:pt>
                <c:pt idx="2">
                  <c:v>1817</c:v>
                </c:pt>
                <c:pt idx="3">
                  <c:v>1818</c:v>
                </c:pt>
                <c:pt idx="4">
                  <c:v>1819</c:v>
                </c:pt>
                <c:pt idx="5">
                  <c:v>1820</c:v>
                </c:pt>
                <c:pt idx="6">
                  <c:v>1821</c:v>
                </c:pt>
                <c:pt idx="7">
                  <c:v>1822</c:v>
                </c:pt>
                <c:pt idx="8">
                  <c:v>1823</c:v>
                </c:pt>
                <c:pt idx="9">
                  <c:v>1824</c:v>
                </c:pt>
                <c:pt idx="10">
                  <c:v>1825</c:v>
                </c:pt>
                <c:pt idx="11">
                  <c:v>1826</c:v>
                </c:pt>
                <c:pt idx="12">
                  <c:v>1827</c:v>
                </c:pt>
                <c:pt idx="13">
                  <c:v>1828</c:v>
                </c:pt>
                <c:pt idx="14">
                  <c:v>1829</c:v>
                </c:pt>
                <c:pt idx="15">
                  <c:v>1830</c:v>
                </c:pt>
                <c:pt idx="16">
                  <c:v>1831</c:v>
                </c:pt>
                <c:pt idx="17">
                  <c:v>1832</c:v>
                </c:pt>
                <c:pt idx="18">
                  <c:v>1833</c:v>
                </c:pt>
                <c:pt idx="19">
                  <c:v>1834</c:v>
                </c:pt>
                <c:pt idx="20">
                  <c:v>1835</c:v>
                </c:pt>
                <c:pt idx="21">
                  <c:v>1836</c:v>
                </c:pt>
                <c:pt idx="22">
                  <c:v>1837</c:v>
                </c:pt>
                <c:pt idx="23">
                  <c:v>1838</c:v>
                </c:pt>
                <c:pt idx="24">
                  <c:v>1839</c:v>
                </c:pt>
                <c:pt idx="25">
                  <c:v>1840</c:v>
                </c:pt>
                <c:pt idx="26">
                  <c:v>1841</c:v>
                </c:pt>
                <c:pt idx="27">
                  <c:v>1842</c:v>
                </c:pt>
                <c:pt idx="28">
                  <c:v>1843</c:v>
                </c:pt>
                <c:pt idx="29">
                  <c:v>1844</c:v>
                </c:pt>
                <c:pt idx="30">
                  <c:v>1845</c:v>
                </c:pt>
                <c:pt idx="31">
                  <c:v>1846</c:v>
                </c:pt>
                <c:pt idx="32">
                  <c:v>1847</c:v>
                </c:pt>
                <c:pt idx="33">
                  <c:v>1848</c:v>
                </c:pt>
                <c:pt idx="34">
                  <c:v>1849</c:v>
                </c:pt>
                <c:pt idx="35">
                  <c:v>1850</c:v>
                </c:pt>
                <c:pt idx="36">
                  <c:v>1851</c:v>
                </c:pt>
                <c:pt idx="37">
                  <c:v>1852</c:v>
                </c:pt>
                <c:pt idx="38">
                  <c:v>1853</c:v>
                </c:pt>
                <c:pt idx="39">
                  <c:v>1854</c:v>
                </c:pt>
                <c:pt idx="40">
                  <c:v>1855</c:v>
                </c:pt>
                <c:pt idx="41">
                  <c:v>1856</c:v>
                </c:pt>
                <c:pt idx="42">
                  <c:v>1857</c:v>
                </c:pt>
                <c:pt idx="43">
                  <c:v>1858</c:v>
                </c:pt>
                <c:pt idx="44">
                  <c:v>1859</c:v>
                </c:pt>
                <c:pt idx="45">
                  <c:v>1860</c:v>
                </c:pt>
                <c:pt idx="46">
                  <c:v>1861</c:v>
                </c:pt>
                <c:pt idx="47">
                  <c:v>1862</c:v>
                </c:pt>
                <c:pt idx="48">
                  <c:v>1863</c:v>
                </c:pt>
                <c:pt idx="49">
                  <c:v>1864</c:v>
                </c:pt>
                <c:pt idx="50">
                  <c:v>1865</c:v>
                </c:pt>
                <c:pt idx="51">
                  <c:v>1866</c:v>
                </c:pt>
                <c:pt idx="52">
                  <c:v>1867</c:v>
                </c:pt>
                <c:pt idx="53">
                  <c:v>1868</c:v>
                </c:pt>
                <c:pt idx="54">
                  <c:v>1869</c:v>
                </c:pt>
                <c:pt idx="55">
                  <c:v>1870</c:v>
                </c:pt>
                <c:pt idx="56">
                  <c:v>1871</c:v>
                </c:pt>
                <c:pt idx="57">
                  <c:v>1872</c:v>
                </c:pt>
              </c:numCache>
            </c:numRef>
          </c:xVal>
          <c:yVal>
            <c:numRef>
              <c:f>'France and Belgium'!$G$9:$G$66</c:f>
              <c:numCache>
                <c:formatCode>0.00</c:formatCode>
                <c:ptCount val="58"/>
                <c:pt idx="0">
                  <c:v>-9.0442365474399935</c:v>
                </c:pt>
                <c:pt idx="1">
                  <c:v>-8.3289871354526799</c:v>
                </c:pt>
                <c:pt idx="2">
                  <c:v>-7.9018872333594272</c:v>
                </c:pt>
                <c:pt idx="3">
                  <c:v>-7.5930178968611894</c:v>
                </c:pt>
                <c:pt idx="4">
                  <c:v>-7.349115935298415</c:v>
                </c:pt>
                <c:pt idx="5">
                  <c:v>-7.1464472777473533</c:v>
                </c:pt>
                <c:pt idx="6">
                  <c:v>-6.966752445952026</c:v>
                </c:pt>
                <c:pt idx="7">
                  <c:v>-6.8049040730286245</c:v>
                </c:pt>
                <c:pt idx="8">
                  <c:v>-6.6573709155786904</c:v>
                </c:pt>
                <c:pt idx="9">
                  <c:v>-6.5216100991201245</c:v>
                </c:pt>
                <c:pt idx="10">
                  <c:v>-6.3957248156660826</c:v>
                </c:pt>
                <c:pt idx="11">
                  <c:v>-6.2768570228735694</c:v>
                </c:pt>
                <c:pt idx="12">
                  <c:v>-6.1643043999007316</c:v>
                </c:pt>
                <c:pt idx="13">
                  <c:v>-6.057458029003195</c:v>
                </c:pt>
                <c:pt idx="14">
                  <c:v>-5.9660184798994935</c:v>
                </c:pt>
                <c:pt idx="15">
                  <c:v>-5.8727921245390275</c:v>
                </c:pt>
                <c:pt idx="16">
                  <c:v>-5.6969651260040983</c:v>
                </c:pt>
                <c:pt idx="17">
                  <c:v>-5.5405690878858698</c:v>
                </c:pt>
                <c:pt idx="18">
                  <c:v>-5.3964149701301531</c:v>
                </c:pt>
                <c:pt idx="19">
                  <c:v>-5.2626011463442985</c:v>
                </c:pt>
                <c:pt idx="20">
                  <c:v>-5.1399135211511284</c:v>
                </c:pt>
                <c:pt idx="21">
                  <c:v>-5.0143691563179145</c:v>
                </c:pt>
                <c:pt idx="22">
                  <c:v>-4.8973145862545477</c:v>
                </c:pt>
                <c:pt idx="23">
                  <c:v>-4.7891629278673573</c:v>
                </c:pt>
                <c:pt idx="24">
                  <c:v>-4.6899621369671625</c:v>
                </c:pt>
                <c:pt idx="25">
                  <c:v>-4.5942622404985674</c:v>
                </c:pt>
                <c:pt idx="26">
                  <c:v>-4.5007152274205078</c:v>
                </c:pt>
                <c:pt idx="27">
                  <c:v>-4.4116869607219567</c:v>
                </c:pt>
                <c:pt idx="28">
                  <c:v>-4.329780187039117</c:v>
                </c:pt>
                <c:pt idx="29">
                  <c:v>-4.2491906001719473</c:v>
                </c:pt>
                <c:pt idx="30">
                  <c:v>-4.1665752667934699</c:v>
                </c:pt>
                <c:pt idx="31">
                  <c:v>-4.0868535951298952</c:v>
                </c:pt>
                <c:pt idx="32">
                  <c:v>-4.0023666794392803</c:v>
                </c:pt>
                <c:pt idx="33">
                  <c:v>-3.93814749343167</c:v>
                </c:pt>
                <c:pt idx="34">
                  <c:v>-3.8750276385085276</c:v>
                </c:pt>
                <c:pt idx="35">
                  <c:v>-3.8099292292957774</c:v>
                </c:pt>
                <c:pt idx="36">
                  <c:v>-3.7457347700183989</c:v>
                </c:pt>
                <c:pt idx="37">
                  <c:v>-3.6797661792364362</c:v>
                </c:pt>
                <c:pt idx="38">
                  <c:v>-3.6105036886665864</c:v>
                </c:pt>
                <c:pt idx="39">
                  <c:v>-3.537835838021294</c:v>
                </c:pt>
                <c:pt idx="40">
                  <c:v>-3.4644684347411094</c:v>
                </c:pt>
                <c:pt idx="41">
                  <c:v>-3.3949972046946346</c:v>
                </c:pt>
                <c:pt idx="42">
                  <c:v>-3.3289792935078668</c:v>
                </c:pt>
                <c:pt idx="43">
                  <c:v>-3.2667846008856567</c:v>
                </c:pt>
                <c:pt idx="44">
                  <c:v>-3.2065759747015665</c:v>
                </c:pt>
                <c:pt idx="45">
                  <c:v>-3.1455494447525965</c:v>
                </c:pt>
                <c:pt idx="46">
                  <c:v>-3.0827395495007224</c:v>
                </c:pt>
                <c:pt idx="47">
                  <c:v>-3.021260902507783</c:v>
                </c:pt>
                <c:pt idx="48">
                  <c:v>-2.9607861360173531</c:v>
                </c:pt>
                <c:pt idx="49">
                  <c:v>-2.8997186928211582</c:v>
                </c:pt>
                <c:pt idx="50">
                  <c:v>-2.8393026702504911</c:v>
                </c:pt>
                <c:pt idx="51">
                  <c:v>-2.777914699346574</c:v>
                </c:pt>
                <c:pt idx="52">
                  <c:v>-2.7187796088059275</c:v>
                </c:pt>
                <c:pt idx="53">
                  <c:v>-2.6623434055094997</c:v>
                </c:pt>
                <c:pt idx="54">
                  <c:v>-2.6069063644178683</c:v>
                </c:pt>
                <c:pt idx="55">
                  <c:v>-2.5528250091623579</c:v>
                </c:pt>
                <c:pt idx="56">
                  <c:v>-2.5009484913586539</c:v>
                </c:pt>
                <c:pt idx="57">
                  <c:v>-2.4433847018962669</c:v>
                </c:pt>
              </c:numCache>
            </c:numRef>
          </c:yVal>
          <c:smooth val="1"/>
          <c:extLst>
            <c:ext xmlns:c16="http://schemas.microsoft.com/office/drawing/2014/chart" uri="{C3380CC4-5D6E-409C-BE32-E72D297353CC}">
              <c16:uniqueId val="{00000002-463D-484C-9EBE-913973677011}"/>
            </c:ext>
          </c:extLst>
        </c:ser>
        <c:dLbls>
          <c:showLegendKey val="0"/>
          <c:showVal val="0"/>
          <c:showCatName val="0"/>
          <c:showSerName val="0"/>
          <c:showPercent val="0"/>
          <c:showBubbleSize val="0"/>
        </c:dLbls>
        <c:axId val="130711936"/>
        <c:axId val="130713472"/>
      </c:scatterChart>
      <c:valAx>
        <c:axId val="130711936"/>
        <c:scaling>
          <c:orientation val="minMax"/>
          <c:max val="2020"/>
          <c:min val="18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0713472"/>
        <c:crossesAt val="-100"/>
        <c:crossBetween val="midCat"/>
        <c:majorUnit val="60"/>
        <c:minorUnit val="10"/>
      </c:valAx>
      <c:valAx>
        <c:axId val="130713472"/>
        <c:scaling>
          <c:orientation val="minMax"/>
          <c:max val="6"/>
          <c:min val="-6"/>
        </c:scaling>
        <c:delete val="0"/>
        <c:axPos val="r"/>
        <c:title>
          <c:tx>
            <c:rich>
              <a:bodyPr rot="-5400000" vert="horz"/>
              <a:lstStyle/>
              <a:p>
                <a:pPr>
                  <a:defRPr sz="1200" b="0">
                    <a:solidFill>
                      <a:srgbClr val="333399"/>
                    </a:solidFill>
                  </a:defRPr>
                </a:pPr>
                <a:r>
                  <a:rPr lang="en-US" sz="1200" b="0">
                    <a:solidFill>
                      <a:srgbClr val="333399"/>
                    </a:solidFill>
                  </a:rPr>
                  <a:t>logit (q/Q)</a:t>
                </a:r>
              </a:p>
            </c:rich>
          </c:tx>
          <c:layout>
            <c:manualLayout>
              <c:xMode val="edge"/>
              <c:yMode val="edge"/>
              <c:x val="0.96240681576144838"/>
              <c:y val="0.3026655001458238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0711936"/>
        <c:crosses val="max"/>
        <c:crossBetween val="midCat"/>
        <c:majorUnit val="6"/>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328360712099483"/>
          <c:h val="0.77264654418197765"/>
        </c:manualLayout>
      </c:layout>
      <c:scatterChart>
        <c:scatterStyle val="smoothMarker"/>
        <c:varyColors val="0"/>
        <c:ser>
          <c:idx val="0"/>
          <c:order val="0"/>
          <c:tx>
            <c:strRef>
              <c:f>'France and Belgium'!$I$7</c:f>
              <c:strCache>
                <c:ptCount val="1"/>
                <c:pt idx="0">
                  <c:v>r y</c:v>
                </c:pt>
              </c:strCache>
            </c:strRef>
          </c:tx>
          <c:spPr>
            <a:ln w="15875">
              <a:solidFill>
                <a:srgbClr val="008000"/>
              </a:solidFill>
            </a:ln>
          </c:spPr>
          <c:marker>
            <c:symbol val="none"/>
          </c:marker>
          <c:xVal>
            <c:numRef>
              <c:f>'France and Belgium'!$D$67:$D$278</c:f>
              <c:numCache>
                <c:formatCode>General</c:formatCode>
                <c:ptCount val="212"/>
                <c:pt idx="0">
                  <c:v>1873</c:v>
                </c:pt>
                <c:pt idx="1">
                  <c:v>1874</c:v>
                </c:pt>
                <c:pt idx="2">
                  <c:v>1875</c:v>
                </c:pt>
                <c:pt idx="3">
                  <c:v>1876</c:v>
                </c:pt>
                <c:pt idx="4">
                  <c:v>1877</c:v>
                </c:pt>
                <c:pt idx="5">
                  <c:v>1878</c:v>
                </c:pt>
                <c:pt idx="6">
                  <c:v>1879</c:v>
                </c:pt>
                <c:pt idx="7">
                  <c:v>1880</c:v>
                </c:pt>
                <c:pt idx="8">
                  <c:v>1881</c:v>
                </c:pt>
                <c:pt idx="9">
                  <c:v>1882</c:v>
                </c:pt>
                <c:pt idx="10">
                  <c:v>1883</c:v>
                </c:pt>
                <c:pt idx="11">
                  <c:v>1884</c:v>
                </c:pt>
                <c:pt idx="12">
                  <c:v>1885</c:v>
                </c:pt>
                <c:pt idx="13">
                  <c:v>1886</c:v>
                </c:pt>
                <c:pt idx="14">
                  <c:v>1887</c:v>
                </c:pt>
                <c:pt idx="15">
                  <c:v>1888</c:v>
                </c:pt>
                <c:pt idx="16">
                  <c:v>1889</c:v>
                </c:pt>
                <c:pt idx="17">
                  <c:v>1890</c:v>
                </c:pt>
                <c:pt idx="18">
                  <c:v>1891</c:v>
                </c:pt>
                <c:pt idx="19">
                  <c:v>1892</c:v>
                </c:pt>
                <c:pt idx="20">
                  <c:v>1893</c:v>
                </c:pt>
                <c:pt idx="21">
                  <c:v>1894</c:v>
                </c:pt>
                <c:pt idx="22">
                  <c:v>1895</c:v>
                </c:pt>
                <c:pt idx="23">
                  <c:v>1896</c:v>
                </c:pt>
                <c:pt idx="24">
                  <c:v>1897</c:v>
                </c:pt>
                <c:pt idx="25">
                  <c:v>1898</c:v>
                </c:pt>
                <c:pt idx="26">
                  <c:v>1899</c:v>
                </c:pt>
                <c:pt idx="27">
                  <c:v>1900</c:v>
                </c:pt>
                <c:pt idx="28">
                  <c:v>1901</c:v>
                </c:pt>
                <c:pt idx="29">
                  <c:v>1902</c:v>
                </c:pt>
                <c:pt idx="30">
                  <c:v>1903</c:v>
                </c:pt>
                <c:pt idx="31">
                  <c:v>1904</c:v>
                </c:pt>
                <c:pt idx="32">
                  <c:v>1905</c:v>
                </c:pt>
                <c:pt idx="33">
                  <c:v>1906</c:v>
                </c:pt>
                <c:pt idx="34">
                  <c:v>1907</c:v>
                </c:pt>
                <c:pt idx="35">
                  <c:v>1908</c:v>
                </c:pt>
                <c:pt idx="36">
                  <c:v>1909</c:v>
                </c:pt>
                <c:pt idx="37">
                  <c:v>1910</c:v>
                </c:pt>
                <c:pt idx="38">
                  <c:v>1911</c:v>
                </c:pt>
                <c:pt idx="39">
                  <c:v>1912</c:v>
                </c:pt>
                <c:pt idx="40">
                  <c:v>1913</c:v>
                </c:pt>
                <c:pt idx="41">
                  <c:v>1914</c:v>
                </c:pt>
                <c:pt idx="42">
                  <c:v>1915</c:v>
                </c:pt>
                <c:pt idx="43">
                  <c:v>1916</c:v>
                </c:pt>
                <c:pt idx="44">
                  <c:v>1917</c:v>
                </c:pt>
                <c:pt idx="45">
                  <c:v>1918</c:v>
                </c:pt>
                <c:pt idx="46">
                  <c:v>1919</c:v>
                </c:pt>
                <c:pt idx="47">
                  <c:v>1920</c:v>
                </c:pt>
                <c:pt idx="48">
                  <c:v>1921</c:v>
                </c:pt>
                <c:pt idx="49">
                  <c:v>1922</c:v>
                </c:pt>
                <c:pt idx="50">
                  <c:v>1923</c:v>
                </c:pt>
                <c:pt idx="51">
                  <c:v>1924</c:v>
                </c:pt>
                <c:pt idx="52">
                  <c:v>1925</c:v>
                </c:pt>
                <c:pt idx="53">
                  <c:v>1926</c:v>
                </c:pt>
                <c:pt idx="54">
                  <c:v>1927</c:v>
                </c:pt>
                <c:pt idx="55">
                  <c:v>1928</c:v>
                </c:pt>
                <c:pt idx="56">
                  <c:v>1929</c:v>
                </c:pt>
                <c:pt idx="57">
                  <c:v>1930</c:v>
                </c:pt>
                <c:pt idx="58">
                  <c:v>1931</c:v>
                </c:pt>
                <c:pt idx="59">
                  <c:v>1932</c:v>
                </c:pt>
                <c:pt idx="60">
                  <c:v>1933</c:v>
                </c:pt>
                <c:pt idx="61">
                  <c:v>1934</c:v>
                </c:pt>
                <c:pt idx="62">
                  <c:v>1935</c:v>
                </c:pt>
                <c:pt idx="63">
                  <c:v>1936</c:v>
                </c:pt>
                <c:pt idx="64">
                  <c:v>1937</c:v>
                </c:pt>
                <c:pt idx="65">
                  <c:v>1938</c:v>
                </c:pt>
                <c:pt idx="66">
                  <c:v>1939</c:v>
                </c:pt>
                <c:pt idx="67">
                  <c:v>1940</c:v>
                </c:pt>
                <c:pt idx="68">
                  <c:v>1941</c:v>
                </c:pt>
                <c:pt idx="69">
                  <c:v>1942</c:v>
                </c:pt>
                <c:pt idx="70">
                  <c:v>1943</c:v>
                </c:pt>
                <c:pt idx="71">
                  <c:v>1944</c:v>
                </c:pt>
                <c:pt idx="72">
                  <c:v>1945</c:v>
                </c:pt>
                <c:pt idx="73">
                  <c:v>1946</c:v>
                </c:pt>
                <c:pt idx="74">
                  <c:v>1947</c:v>
                </c:pt>
                <c:pt idx="75">
                  <c:v>1948</c:v>
                </c:pt>
                <c:pt idx="76">
                  <c:v>1949</c:v>
                </c:pt>
                <c:pt idx="77">
                  <c:v>1950</c:v>
                </c:pt>
                <c:pt idx="78">
                  <c:v>1951</c:v>
                </c:pt>
                <c:pt idx="79">
                  <c:v>1952</c:v>
                </c:pt>
                <c:pt idx="80">
                  <c:v>1953</c:v>
                </c:pt>
                <c:pt idx="81">
                  <c:v>1954</c:v>
                </c:pt>
                <c:pt idx="82">
                  <c:v>1955</c:v>
                </c:pt>
                <c:pt idx="83">
                  <c:v>1956</c:v>
                </c:pt>
                <c:pt idx="84">
                  <c:v>1957</c:v>
                </c:pt>
                <c:pt idx="85">
                  <c:v>1958</c:v>
                </c:pt>
                <c:pt idx="86">
                  <c:v>1959</c:v>
                </c:pt>
                <c:pt idx="87">
                  <c:v>1960</c:v>
                </c:pt>
                <c:pt idx="88">
                  <c:v>1961</c:v>
                </c:pt>
                <c:pt idx="89">
                  <c:v>1962</c:v>
                </c:pt>
                <c:pt idx="90">
                  <c:v>1963</c:v>
                </c:pt>
                <c:pt idx="91">
                  <c:v>1964</c:v>
                </c:pt>
                <c:pt idx="92">
                  <c:v>1965</c:v>
                </c:pt>
                <c:pt idx="93">
                  <c:v>1966</c:v>
                </c:pt>
                <c:pt idx="94">
                  <c:v>1967</c:v>
                </c:pt>
                <c:pt idx="95">
                  <c:v>1968</c:v>
                </c:pt>
                <c:pt idx="96">
                  <c:v>1969</c:v>
                </c:pt>
                <c:pt idx="97">
                  <c:v>1970</c:v>
                </c:pt>
                <c:pt idx="98">
                  <c:v>1971</c:v>
                </c:pt>
                <c:pt idx="99">
                  <c:v>1972</c:v>
                </c:pt>
                <c:pt idx="100">
                  <c:v>1973</c:v>
                </c:pt>
                <c:pt idx="101">
                  <c:v>1974</c:v>
                </c:pt>
                <c:pt idx="102">
                  <c:v>1975</c:v>
                </c:pt>
                <c:pt idx="103">
                  <c:v>1976</c:v>
                </c:pt>
                <c:pt idx="104">
                  <c:v>1977</c:v>
                </c:pt>
                <c:pt idx="105">
                  <c:v>1978</c:v>
                </c:pt>
                <c:pt idx="106">
                  <c:v>1979</c:v>
                </c:pt>
                <c:pt idx="107">
                  <c:v>1980</c:v>
                </c:pt>
                <c:pt idx="108">
                  <c:v>1981</c:v>
                </c:pt>
                <c:pt idx="109">
                  <c:v>1982</c:v>
                </c:pt>
                <c:pt idx="110">
                  <c:v>1983</c:v>
                </c:pt>
                <c:pt idx="111">
                  <c:v>1984</c:v>
                </c:pt>
                <c:pt idx="112">
                  <c:v>1985</c:v>
                </c:pt>
                <c:pt idx="113">
                  <c:v>1986</c:v>
                </c:pt>
                <c:pt idx="114">
                  <c:v>1987</c:v>
                </c:pt>
                <c:pt idx="115">
                  <c:v>1988</c:v>
                </c:pt>
                <c:pt idx="116">
                  <c:v>1989</c:v>
                </c:pt>
                <c:pt idx="117">
                  <c:v>1990</c:v>
                </c:pt>
                <c:pt idx="118">
                  <c:v>1991</c:v>
                </c:pt>
                <c:pt idx="119">
                  <c:v>1992</c:v>
                </c:pt>
                <c:pt idx="120">
                  <c:v>1993</c:v>
                </c:pt>
                <c:pt idx="121">
                  <c:v>1994</c:v>
                </c:pt>
                <c:pt idx="122">
                  <c:v>1995</c:v>
                </c:pt>
                <c:pt idx="123">
                  <c:v>1996</c:v>
                </c:pt>
                <c:pt idx="124">
                  <c:v>1997</c:v>
                </c:pt>
                <c:pt idx="125">
                  <c:v>1998</c:v>
                </c:pt>
                <c:pt idx="126">
                  <c:v>1999</c:v>
                </c:pt>
                <c:pt idx="127">
                  <c:v>2000</c:v>
                </c:pt>
                <c:pt idx="128">
                  <c:v>2001</c:v>
                </c:pt>
                <c:pt idx="129">
                  <c:v>2002</c:v>
                </c:pt>
                <c:pt idx="130">
                  <c:v>2003</c:v>
                </c:pt>
                <c:pt idx="131">
                  <c:v>2004</c:v>
                </c:pt>
                <c:pt idx="132">
                  <c:v>2005</c:v>
                </c:pt>
                <c:pt idx="133">
                  <c:v>2006</c:v>
                </c:pt>
                <c:pt idx="134">
                  <c:v>2007</c:v>
                </c:pt>
                <c:pt idx="135">
                  <c:v>2008</c:v>
                </c:pt>
                <c:pt idx="136">
                  <c:v>2009</c:v>
                </c:pt>
                <c:pt idx="137">
                  <c:v>2010</c:v>
                </c:pt>
                <c:pt idx="138">
                  <c:v>2011</c:v>
                </c:pt>
                <c:pt idx="139">
                  <c:v>2012</c:v>
                </c:pt>
                <c:pt idx="140">
                  <c:v>2013</c:v>
                </c:pt>
                <c:pt idx="141">
                  <c:v>2014</c:v>
                </c:pt>
                <c:pt idx="142">
                  <c:v>2015</c:v>
                </c:pt>
                <c:pt idx="143">
                  <c:v>2016</c:v>
                </c:pt>
                <c:pt idx="144">
                  <c:v>2017</c:v>
                </c:pt>
                <c:pt idx="145">
                  <c:v>2018</c:v>
                </c:pt>
                <c:pt idx="146">
                  <c:v>2019</c:v>
                </c:pt>
                <c:pt idx="147">
                  <c:v>2020</c:v>
                </c:pt>
                <c:pt idx="148">
                  <c:v>2021</c:v>
                </c:pt>
                <c:pt idx="149">
                  <c:v>2022</c:v>
                </c:pt>
                <c:pt idx="150">
                  <c:v>2023</c:v>
                </c:pt>
                <c:pt idx="151">
                  <c:v>2024</c:v>
                </c:pt>
                <c:pt idx="152">
                  <c:v>2025</c:v>
                </c:pt>
                <c:pt idx="153">
                  <c:v>2026</c:v>
                </c:pt>
                <c:pt idx="154">
                  <c:v>2027</c:v>
                </c:pt>
                <c:pt idx="155">
                  <c:v>2028</c:v>
                </c:pt>
                <c:pt idx="156">
                  <c:v>2029</c:v>
                </c:pt>
                <c:pt idx="157">
                  <c:v>2030</c:v>
                </c:pt>
                <c:pt idx="158">
                  <c:v>2031</c:v>
                </c:pt>
                <c:pt idx="159">
                  <c:v>2032</c:v>
                </c:pt>
                <c:pt idx="160">
                  <c:v>2033</c:v>
                </c:pt>
                <c:pt idx="161">
                  <c:v>2034</c:v>
                </c:pt>
                <c:pt idx="162">
                  <c:v>2035</c:v>
                </c:pt>
                <c:pt idx="163">
                  <c:v>2036</c:v>
                </c:pt>
                <c:pt idx="164">
                  <c:v>2037</c:v>
                </c:pt>
                <c:pt idx="165">
                  <c:v>2038</c:v>
                </c:pt>
                <c:pt idx="166">
                  <c:v>2039</c:v>
                </c:pt>
                <c:pt idx="167">
                  <c:v>2040</c:v>
                </c:pt>
                <c:pt idx="168">
                  <c:v>2041</c:v>
                </c:pt>
                <c:pt idx="169">
                  <c:v>2042</c:v>
                </c:pt>
                <c:pt idx="170">
                  <c:v>2043</c:v>
                </c:pt>
                <c:pt idx="171">
                  <c:v>2044</c:v>
                </c:pt>
                <c:pt idx="172">
                  <c:v>2045</c:v>
                </c:pt>
                <c:pt idx="173">
                  <c:v>2046</c:v>
                </c:pt>
                <c:pt idx="174">
                  <c:v>2047</c:v>
                </c:pt>
                <c:pt idx="175">
                  <c:v>2048</c:v>
                </c:pt>
                <c:pt idx="176">
                  <c:v>2049</c:v>
                </c:pt>
                <c:pt idx="177">
                  <c:v>2050</c:v>
                </c:pt>
                <c:pt idx="178">
                  <c:v>2051</c:v>
                </c:pt>
                <c:pt idx="179">
                  <c:v>2052</c:v>
                </c:pt>
                <c:pt idx="180">
                  <c:v>2053</c:v>
                </c:pt>
                <c:pt idx="181">
                  <c:v>2054</c:v>
                </c:pt>
                <c:pt idx="182">
                  <c:v>2055</c:v>
                </c:pt>
                <c:pt idx="183">
                  <c:v>2056</c:v>
                </c:pt>
                <c:pt idx="184">
                  <c:v>2057</c:v>
                </c:pt>
                <c:pt idx="185">
                  <c:v>2058</c:v>
                </c:pt>
                <c:pt idx="186">
                  <c:v>2059</c:v>
                </c:pt>
                <c:pt idx="187">
                  <c:v>2060</c:v>
                </c:pt>
                <c:pt idx="188">
                  <c:v>2061</c:v>
                </c:pt>
                <c:pt idx="189">
                  <c:v>2062</c:v>
                </c:pt>
                <c:pt idx="190">
                  <c:v>2063</c:v>
                </c:pt>
                <c:pt idx="191">
                  <c:v>2064</c:v>
                </c:pt>
                <c:pt idx="192">
                  <c:v>2065</c:v>
                </c:pt>
                <c:pt idx="193">
                  <c:v>2066</c:v>
                </c:pt>
                <c:pt idx="194">
                  <c:v>2067</c:v>
                </c:pt>
                <c:pt idx="195">
                  <c:v>2068</c:v>
                </c:pt>
                <c:pt idx="196">
                  <c:v>2069</c:v>
                </c:pt>
                <c:pt idx="197">
                  <c:v>2070</c:v>
                </c:pt>
                <c:pt idx="198">
                  <c:v>2071</c:v>
                </c:pt>
                <c:pt idx="199">
                  <c:v>2072</c:v>
                </c:pt>
                <c:pt idx="200">
                  <c:v>2073</c:v>
                </c:pt>
                <c:pt idx="201">
                  <c:v>2074</c:v>
                </c:pt>
                <c:pt idx="202">
                  <c:v>2075</c:v>
                </c:pt>
                <c:pt idx="203">
                  <c:v>2076</c:v>
                </c:pt>
                <c:pt idx="204">
                  <c:v>2077</c:v>
                </c:pt>
                <c:pt idx="205">
                  <c:v>2078</c:v>
                </c:pt>
                <c:pt idx="206">
                  <c:v>2079</c:v>
                </c:pt>
                <c:pt idx="207">
                  <c:v>2080</c:v>
                </c:pt>
                <c:pt idx="208">
                  <c:v>2081</c:v>
                </c:pt>
                <c:pt idx="209">
                  <c:v>2082</c:v>
                </c:pt>
                <c:pt idx="210">
                  <c:v>2083</c:v>
                </c:pt>
                <c:pt idx="211">
                  <c:v>2084</c:v>
                </c:pt>
              </c:numCache>
            </c:numRef>
          </c:xVal>
          <c:yVal>
            <c:numRef>
              <c:f>'France and Belgium'!$I$67:$I$278</c:f>
              <c:numCache>
                <c:formatCode>0.0</c:formatCode>
                <c:ptCount val="212"/>
                <c:pt idx="0">
                  <c:v>-0.80211055109339213</c:v>
                </c:pt>
                <c:pt idx="1">
                  <c:v>-0.50946579247192858</c:v>
                </c:pt>
                <c:pt idx="2">
                  <c:v>-0.25505755727067481</c:v>
                </c:pt>
                <c:pt idx="3">
                  <c:v>-7.2838618717923964E-2</c:v>
                </c:pt>
                <c:pt idx="4">
                  <c:v>4.034818781588001E-2</c:v>
                </c:pt>
                <c:pt idx="5">
                  <c:v>0.15596356588434901</c:v>
                </c:pt>
                <c:pt idx="6">
                  <c:v>0.25289410520304045</c:v>
                </c:pt>
                <c:pt idx="7">
                  <c:v>0.43453803609554598</c:v>
                </c:pt>
                <c:pt idx="8">
                  <c:v>0.58625875621146406</c:v>
                </c:pt>
                <c:pt idx="9">
                  <c:v>0.74293655002702508</c:v>
                </c:pt>
                <c:pt idx="10">
                  <c:v>0.89745154447200548</c:v>
                </c:pt>
                <c:pt idx="11">
                  <c:v>0.97419914184069967</c:v>
                </c:pt>
                <c:pt idx="12">
                  <c:v>0.98514110305040958</c:v>
                </c:pt>
                <c:pt idx="13">
                  <c:v>0.97480618510689965</c:v>
                </c:pt>
                <c:pt idx="14">
                  <c:v>1.0006040311523066</c:v>
                </c:pt>
                <c:pt idx="15">
                  <c:v>1.0491647622072833</c:v>
                </c:pt>
                <c:pt idx="16">
                  <c:v>1.1253312116655252</c:v>
                </c:pt>
                <c:pt idx="17">
                  <c:v>1.2240002691398786</c:v>
                </c:pt>
                <c:pt idx="18">
                  <c:v>1.2727682283095874</c:v>
                </c:pt>
                <c:pt idx="19">
                  <c:v>1.2952295960396896</c:v>
                </c:pt>
                <c:pt idx="20">
                  <c:v>1.2974989640340482</c:v>
                </c:pt>
                <c:pt idx="21">
                  <c:v>1.312301362929702</c:v>
                </c:pt>
                <c:pt idx="22">
                  <c:v>1.3140880034245583</c:v>
                </c:pt>
                <c:pt idx="23">
                  <c:v>1.3315684515857811</c:v>
                </c:pt>
                <c:pt idx="24">
                  <c:v>1.3596695719747913</c:v>
                </c:pt>
                <c:pt idx="25">
                  <c:v>1.4051959301689294</c:v>
                </c:pt>
                <c:pt idx="26">
                  <c:v>1.4354736059574407</c:v>
                </c:pt>
                <c:pt idx="27">
                  <c:v>1.4769341646083376</c:v>
                </c:pt>
                <c:pt idx="28">
                  <c:v>1.4528014270154017</c:v>
                </c:pt>
                <c:pt idx="29">
                  <c:v>1.3811044504886922</c:v>
                </c:pt>
                <c:pt idx="30">
                  <c:v>1.3908286367422988</c:v>
                </c:pt>
                <c:pt idx="31">
                  <c:v>1.3755625646017506</c:v>
                </c:pt>
                <c:pt idx="32">
                  <c:v>1.354979830895445</c:v>
                </c:pt>
                <c:pt idx="33">
                  <c:v>1.3183561776056649</c:v>
                </c:pt>
                <c:pt idx="34">
                  <c:v>1.3095354307338312</c:v>
                </c:pt>
                <c:pt idx="35">
                  <c:v>1.2589662946093085</c:v>
                </c:pt>
                <c:pt idx="36">
                  <c:v>1.2302713852411671</c:v>
                </c:pt>
                <c:pt idx="37">
                  <c:v>1.2016842452130732</c:v>
                </c:pt>
                <c:pt idx="38">
                  <c:v>1.1572496050455356</c:v>
                </c:pt>
                <c:pt idx="39">
                  <c:v>1.1259207565601628</c:v>
                </c:pt>
                <c:pt idx="40">
                  <c:v>1.0642001766295834</c:v>
                </c:pt>
                <c:pt idx="41">
                  <c:v>0.70138956444156975</c:v>
                </c:pt>
                <c:pt idx="42">
                  <c:v>0.18370365097644026</c:v>
                </c:pt>
                <c:pt idx="43">
                  <c:v>-0.27308035380610818</c:v>
                </c:pt>
                <c:pt idx="44">
                  <c:v>-0.65460049104331119</c:v>
                </c:pt>
                <c:pt idx="45">
                  <c:v>-1.0908620410339154</c:v>
                </c:pt>
                <c:pt idx="46">
                  <c:v>-1.5209505212587828</c:v>
                </c:pt>
                <c:pt idx="47">
                  <c:v>-1.8648191208596927</c:v>
                </c:pt>
                <c:pt idx="48">
                  <c:v>-2.1665073968863453</c:v>
                </c:pt>
                <c:pt idx="49">
                  <c:v>-2.4416277819102561</c:v>
                </c:pt>
                <c:pt idx="50">
                  <c:v>-2.6080531563736713</c:v>
                </c:pt>
                <c:pt idx="51">
                  <c:v>-2.6878526691018578</c:v>
                </c:pt>
                <c:pt idx="52">
                  <c:v>-2.7369480967381605</c:v>
                </c:pt>
                <c:pt idx="53">
                  <c:v>-2.7064340072895448</c:v>
                </c:pt>
                <c:pt idx="54">
                  <c:v>-2.6456974662351058</c:v>
                </c:pt>
                <c:pt idx="55">
                  <c:v>-2.5974969934150067</c:v>
                </c:pt>
                <c:pt idx="56">
                  <c:v>-2.5295038104998184</c:v>
                </c:pt>
                <c:pt idx="57">
                  <c:v>-2.4578623688882999</c:v>
                </c:pt>
                <c:pt idx="58">
                  <c:v>-2.4475950628318515</c:v>
                </c:pt>
                <c:pt idx="59">
                  <c:v>-2.5594355031216764</c:v>
                </c:pt>
                <c:pt idx="60">
                  <c:v>-2.6128290764411304</c:v>
                </c:pt>
                <c:pt idx="61">
                  <c:v>-2.6433533028900911</c:v>
                </c:pt>
                <c:pt idx="62">
                  <c:v>-2.6928906205391741</c:v>
                </c:pt>
                <c:pt idx="63">
                  <c:v>-2.7348962249220676</c:v>
                </c:pt>
                <c:pt idx="64">
                  <c:v>-2.7595329133068844</c:v>
                </c:pt>
                <c:pt idx="65">
                  <c:v>-2.7568108853599824</c:v>
                </c:pt>
                <c:pt idx="66">
                  <c:v>-2.7138862775029793</c:v>
                </c:pt>
                <c:pt idx="67">
                  <c:v>-2.8433007345702208</c:v>
                </c:pt>
                <c:pt idx="68">
                  <c:v>-2.9147331191386456</c:v>
                </c:pt>
                <c:pt idx="69">
                  <c:v>-3.0035928995689574</c:v>
                </c:pt>
                <c:pt idx="70">
                  <c:v>-3.1242754611453165</c:v>
                </c:pt>
                <c:pt idx="71">
                  <c:v>-3.5880856327255515</c:v>
                </c:pt>
                <c:pt idx="72">
                  <c:v>-3.9055821331794505</c:v>
                </c:pt>
                <c:pt idx="73">
                  <c:v>-3.9287919384562429</c:v>
                </c:pt>
                <c:pt idx="74">
                  <c:v>-3.9501124287905895</c:v>
                </c:pt>
                <c:pt idx="75">
                  <c:v>-3.9605208682819466</c:v>
                </c:pt>
                <c:pt idx="76">
                  <c:v>-3.8328685839951504</c:v>
                </c:pt>
                <c:pt idx="77">
                  <c:v>-3.706067343172208</c:v>
                </c:pt>
                <c:pt idx="78">
                  <c:v>-3.492672727290028</c:v>
                </c:pt>
                <c:pt idx="79">
                  <c:v>-3.2139383190672106</c:v>
                </c:pt>
                <c:pt idx="80">
                  <c:v>-2.9595126512213028</c:v>
                </c:pt>
                <c:pt idx="81">
                  <c:v>-2.6671699997652922</c:v>
                </c:pt>
                <c:pt idx="82">
                  <c:v>-2.31947205534766</c:v>
                </c:pt>
                <c:pt idx="83">
                  <c:v>-1.9467270582081255</c:v>
                </c:pt>
                <c:pt idx="84">
                  <c:v>-1.5198216744474848</c:v>
                </c:pt>
                <c:pt idx="85">
                  <c:v>-1.070496259559377</c:v>
                </c:pt>
                <c:pt idx="86">
                  <c:v>-0.6567433753041314</c:v>
                </c:pt>
                <c:pt idx="87">
                  <c:v>-0.23459919141077989</c:v>
                </c:pt>
                <c:pt idx="88">
                  <c:v>0.16031212700772812</c:v>
                </c:pt>
                <c:pt idx="89">
                  <c:v>0.59233121202532857</c:v>
                </c:pt>
                <c:pt idx="90">
                  <c:v>0.97873129697813965</c:v>
                </c:pt>
                <c:pt idx="91">
                  <c:v>1.5145698490971427</c:v>
                </c:pt>
                <c:pt idx="92">
                  <c:v>2.0513980917796744</c:v>
                </c:pt>
                <c:pt idx="93">
                  <c:v>2.5756397407558325</c:v>
                </c:pt>
                <c:pt idx="94">
                  <c:v>3.0850639205564221</c:v>
                </c:pt>
                <c:pt idx="95">
                  <c:v>3.4884529045020827</c:v>
                </c:pt>
                <c:pt idx="96">
                  <c:v>3.8687934652098193</c:v>
                </c:pt>
                <c:pt idx="97">
                  <c:v>4.1707778209326989</c:v>
                </c:pt>
                <c:pt idx="98">
                  <c:v>4.3976633459094501</c:v>
                </c:pt>
                <c:pt idx="99">
                  <c:v>4.5705561429438148</c:v>
                </c:pt>
                <c:pt idx="100">
                  <c:v>4.6142971288229546</c:v>
                </c:pt>
                <c:pt idx="101">
                  <c:v>4.591894497963267</c:v>
                </c:pt>
                <c:pt idx="102">
                  <c:v>4.578277989634671</c:v>
                </c:pt>
                <c:pt idx="103">
                  <c:v>4.5705792140440735</c:v>
                </c:pt>
                <c:pt idx="104">
                  <c:v>4.5687442602970805</c:v>
                </c:pt>
                <c:pt idx="105">
                  <c:v>4.5162440665417307</c:v>
                </c:pt>
                <c:pt idx="106">
                  <c:v>4.4316196580905398</c:v>
                </c:pt>
                <c:pt idx="107">
                  <c:v>4.3676314409874522</c:v>
                </c:pt>
                <c:pt idx="108">
                  <c:v>4.3994013964311307</c:v>
                </c:pt>
                <c:pt idx="109">
                  <c:v>4.4475543567816658</c:v>
                </c:pt>
                <c:pt idx="110">
                  <c:v>4.494190471758202</c:v>
                </c:pt>
                <c:pt idx="111">
                  <c:v>4.564415042274959</c:v>
                </c:pt>
                <c:pt idx="112">
                  <c:v>4.5982237874181919</c:v>
                </c:pt>
                <c:pt idx="113">
                  <c:v>4.6235072307133578</c:v>
                </c:pt>
                <c:pt idx="114">
                  <c:v>4.5523053463575707</c:v>
                </c:pt>
                <c:pt idx="115">
                  <c:v>4.3562895329937419</c:v>
                </c:pt>
                <c:pt idx="116">
                  <c:v>4.1184480381323283</c:v>
                </c:pt>
                <c:pt idx="117">
                  <c:v>3.8136150647028444</c:v>
                </c:pt>
                <c:pt idx="118">
                  <c:v>3.5476676047580895</c:v>
                </c:pt>
                <c:pt idx="119">
                  <c:v>3.2005138505819559</c:v>
                </c:pt>
                <c:pt idx="120">
                  <c:v>2.8161574420323632</c:v>
                </c:pt>
                <c:pt idx="121">
                  <c:v>2.3532009782802561</c:v>
                </c:pt>
                <c:pt idx="122">
                  <c:v>1.8623528963669287</c:v>
                </c:pt>
                <c:pt idx="123">
                  <c:v>1.3561609637235961</c:v>
                </c:pt>
                <c:pt idx="124">
                  <c:v>0.78523479321142986</c:v>
                </c:pt>
                <c:pt idx="125">
                  <c:v>0.14247460448427773</c:v>
                </c:pt>
                <c:pt idx="126">
                  <c:v>-0.51445673529610758</c:v>
                </c:pt>
                <c:pt idx="127">
                  <c:v>-1.2587850042391437</c:v>
                </c:pt>
                <c:pt idx="128">
                  <c:v>-2.0889858835573705</c:v>
                </c:pt>
                <c:pt idx="129">
                  <c:v>-2.9612251466046473</c:v>
                </c:pt>
                <c:pt idx="130">
                  <c:v>-3.8253206821170807</c:v>
                </c:pt>
                <c:pt idx="131">
                  <c:v>-4.7637937219462856</c:v>
                </c:pt>
                <c:pt idx="132">
                  <c:v>-5.7233008673376844</c:v>
                </c:pt>
                <c:pt idx="133">
                  <c:v>-6.6939519728132382</c:v>
                </c:pt>
                <c:pt idx="134">
                  <c:v>-7.670450571197307</c:v>
                </c:pt>
                <c:pt idx="135">
                  <c:v>-8.6528114963207372</c:v>
                </c:pt>
                <c:pt idx="136">
                  <c:v>-9.6410459029114008</c:v>
                </c:pt>
              </c:numCache>
            </c:numRef>
          </c:yVal>
          <c:smooth val="1"/>
          <c:extLst>
            <c:ext xmlns:c16="http://schemas.microsoft.com/office/drawing/2014/chart" uri="{C3380CC4-5D6E-409C-BE32-E72D297353CC}">
              <c16:uniqueId val="{00000000-D35D-0A4F-91EC-0A2AA70CD2FD}"/>
            </c:ext>
          </c:extLst>
        </c:ser>
        <c:ser>
          <c:idx val="1"/>
          <c:order val="1"/>
          <c:tx>
            <c:v>zero</c:v>
          </c:tx>
          <c:spPr>
            <a:ln w="15875">
              <a:solidFill>
                <a:srgbClr val="808080"/>
              </a:solidFill>
            </a:ln>
          </c:spPr>
          <c:marker>
            <c:symbol val="none"/>
          </c:marker>
          <c:xVal>
            <c:numLit>
              <c:formatCode>General</c:formatCode>
              <c:ptCount val="2"/>
              <c:pt idx="0">
                <c:v>1873</c:v>
              </c:pt>
              <c:pt idx="1">
                <c:v>2008</c:v>
              </c:pt>
            </c:numLit>
          </c:xVal>
          <c:yVal>
            <c:numLit>
              <c:formatCode>General</c:formatCode>
              <c:ptCount val="2"/>
              <c:pt idx="0">
                <c:v>0</c:v>
              </c:pt>
              <c:pt idx="1">
                <c:v>0</c:v>
              </c:pt>
            </c:numLit>
          </c:yVal>
          <c:smooth val="1"/>
          <c:extLst>
            <c:ext xmlns:c16="http://schemas.microsoft.com/office/drawing/2014/chart" uri="{C3380CC4-5D6E-409C-BE32-E72D297353CC}">
              <c16:uniqueId val="{00000001-D35D-0A4F-91EC-0A2AA70CD2FD}"/>
            </c:ext>
          </c:extLst>
        </c:ser>
        <c:ser>
          <c:idx val="2"/>
          <c:order val="2"/>
          <c:tx>
            <c:v>r l y early</c:v>
          </c:tx>
          <c:spPr>
            <a:ln w="15875">
              <a:solidFill>
                <a:srgbClr val="008000"/>
              </a:solidFill>
              <a:prstDash val="lgDash"/>
            </a:ln>
          </c:spPr>
          <c:marker>
            <c:symbol val="none"/>
          </c:marker>
          <c:xVal>
            <c:numRef>
              <c:f>'France and Belgium'!$D$9:$D$66</c:f>
              <c:numCache>
                <c:formatCode>General</c:formatCode>
                <c:ptCount val="58"/>
                <c:pt idx="0">
                  <c:v>1815</c:v>
                </c:pt>
                <c:pt idx="1">
                  <c:v>1816</c:v>
                </c:pt>
                <c:pt idx="2">
                  <c:v>1817</c:v>
                </c:pt>
                <c:pt idx="3">
                  <c:v>1818</c:v>
                </c:pt>
                <c:pt idx="4">
                  <c:v>1819</c:v>
                </c:pt>
                <c:pt idx="5">
                  <c:v>1820</c:v>
                </c:pt>
                <c:pt idx="6">
                  <c:v>1821</c:v>
                </c:pt>
                <c:pt idx="7">
                  <c:v>1822</c:v>
                </c:pt>
                <c:pt idx="8">
                  <c:v>1823</c:v>
                </c:pt>
                <c:pt idx="9">
                  <c:v>1824</c:v>
                </c:pt>
                <c:pt idx="10">
                  <c:v>1825</c:v>
                </c:pt>
                <c:pt idx="11">
                  <c:v>1826</c:v>
                </c:pt>
                <c:pt idx="12">
                  <c:v>1827</c:v>
                </c:pt>
                <c:pt idx="13">
                  <c:v>1828</c:v>
                </c:pt>
                <c:pt idx="14">
                  <c:v>1829</c:v>
                </c:pt>
                <c:pt idx="15">
                  <c:v>1830</c:v>
                </c:pt>
                <c:pt idx="16">
                  <c:v>1831</c:v>
                </c:pt>
                <c:pt idx="17">
                  <c:v>1832</c:v>
                </c:pt>
                <c:pt idx="18">
                  <c:v>1833</c:v>
                </c:pt>
                <c:pt idx="19">
                  <c:v>1834</c:v>
                </c:pt>
                <c:pt idx="20">
                  <c:v>1835</c:v>
                </c:pt>
                <c:pt idx="21">
                  <c:v>1836</c:v>
                </c:pt>
                <c:pt idx="22">
                  <c:v>1837</c:v>
                </c:pt>
                <c:pt idx="23">
                  <c:v>1838</c:v>
                </c:pt>
                <c:pt idx="24">
                  <c:v>1839</c:v>
                </c:pt>
                <c:pt idx="25">
                  <c:v>1840</c:v>
                </c:pt>
                <c:pt idx="26">
                  <c:v>1841</c:v>
                </c:pt>
                <c:pt idx="27">
                  <c:v>1842</c:v>
                </c:pt>
                <c:pt idx="28">
                  <c:v>1843</c:v>
                </c:pt>
                <c:pt idx="29">
                  <c:v>1844</c:v>
                </c:pt>
                <c:pt idx="30">
                  <c:v>1845</c:v>
                </c:pt>
                <c:pt idx="31">
                  <c:v>1846</c:v>
                </c:pt>
                <c:pt idx="32">
                  <c:v>1847</c:v>
                </c:pt>
                <c:pt idx="33">
                  <c:v>1848</c:v>
                </c:pt>
                <c:pt idx="34">
                  <c:v>1849</c:v>
                </c:pt>
                <c:pt idx="35">
                  <c:v>1850</c:v>
                </c:pt>
                <c:pt idx="36">
                  <c:v>1851</c:v>
                </c:pt>
                <c:pt idx="37">
                  <c:v>1852</c:v>
                </c:pt>
                <c:pt idx="38">
                  <c:v>1853</c:v>
                </c:pt>
                <c:pt idx="39">
                  <c:v>1854</c:v>
                </c:pt>
                <c:pt idx="40">
                  <c:v>1855</c:v>
                </c:pt>
                <c:pt idx="41">
                  <c:v>1856</c:v>
                </c:pt>
                <c:pt idx="42">
                  <c:v>1857</c:v>
                </c:pt>
                <c:pt idx="43">
                  <c:v>1858</c:v>
                </c:pt>
                <c:pt idx="44">
                  <c:v>1859</c:v>
                </c:pt>
                <c:pt idx="45">
                  <c:v>1860</c:v>
                </c:pt>
                <c:pt idx="46">
                  <c:v>1861</c:v>
                </c:pt>
                <c:pt idx="47">
                  <c:v>1862</c:v>
                </c:pt>
                <c:pt idx="48">
                  <c:v>1863</c:v>
                </c:pt>
                <c:pt idx="49">
                  <c:v>1864</c:v>
                </c:pt>
                <c:pt idx="50">
                  <c:v>1865</c:v>
                </c:pt>
                <c:pt idx="51">
                  <c:v>1866</c:v>
                </c:pt>
                <c:pt idx="52">
                  <c:v>1867</c:v>
                </c:pt>
                <c:pt idx="53">
                  <c:v>1868</c:v>
                </c:pt>
                <c:pt idx="54">
                  <c:v>1869</c:v>
                </c:pt>
                <c:pt idx="55">
                  <c:v>1870</c:v>
                </c:pt>
                <c:pt idx="56">
                  <c:v>1871</c:v>
                </c:pt>
                <c:pt idx="57">
                  <c:v>1872</c:v>
                </c:pt>
              </c:numCache>
            </c:numRef>
          </c:xVal>
          <c:yVal>
            <c:numRef>
              <c:f>'France and Belgium'!$I$9:$I$66</c:f>
              <c:numCache>
                <c:formatCode>0.0</c:formatCode>
                <c:ptCount val="58"/>
                <c:pt idx="0">
                  <c:v>-106.62560646662109</c:v>
                </c:pt>
                <c:pt idx="1">
                  <c:v>-90.028702206785965</c:v>
                </c:pt>
                <c:pt idx="2">
                  <c:v>-80.520988449094602</c:v>
                </c:pt>
                <c:pt idx="3">
                  <c:v>-73.922038974872976</c:v>
                </c:pt>
                <c:pt idx="4">
                  <c:v>-68.92144758049335</c:v>
                </c:pt>
                <c:pt idx="5">
                  <c:v>-64.935297429756019</c:v>
                </c:pt>
                <c:pt idx="6">
                  <c:v>-61.514360204091417</c:v>
                </c:pt>
                <c:pt idx="7">
                  <c:v>-58.532489998801793</c:v>
                </c:pt>
                <c:pt idx="8">
                  <c:v>-55.902809493949235</c:v>
                </c:pt>
                <c:pt idx="9">
                  <c:v>-53.562757689054024</c:v>
                </c:pt>
                <c:pt idx="10">
                  <c:v>-51.46566841706408</c:v>
                </c:pt>
                <c:pt idx="11">
                  <c:v>-49.541226768750221</c:v>
                </c:pt>
                <c:pt idx="12">
                  <c:v>-47.77215391464847</c:v>
                </c:pt>
                <c:pt idx="13">
                  <c:v>-46.143468972467417</c:v>
                </c:pt>
                <c:pt idx="14">
                  <c:v>-44.89382994561447</c:v>
                </c:pt>
                <c:pt idx="15">
                  <c:v>-43.600231066290235</c:v>
                </c:pt>
                <c:pt idx="16">
                  <c:v>-40.27445210351334</c:v>
                </c:pt>
                <c:pt idx="17">
                  <c:v>-37.426722817392829</c:v>
                </c:pt>
                <c:pt idx="18">
                  <c:v>-34.88017504497293</c:v>
                </c:pt>
                <c:pt idx="19">
                  <c:v>-32.588024074502755</c:v>
                </c:pt>
                <c:pt idx="20">
                  <c:v>-30.569605103150934</c:v>
                </c:pt>
                <c:pt idx="21">
                  <c:v>-28.480903272283967</c:v>
                </c:pt>
                <c:pt idx="22">
                  <c:v>-26.601071386986632</c:v>
                </c:pt>
                <c:pt idx="23">
                  <c:v>-24.940273144742832</c:v>
                </c:pt>
                <c:pt idx="24">
                  <c:v>-23.499688377087523</c:v>
                </c:pt>
                <c:pt idx="25">
                  <c:v>-22.14523426973642</c:v>
                </c:pt>
                <c:pt idx="26">
                  <c:v>-20.843746417611555</c:v>
                </c:pt>
                <c:pt idx="27">
                  <c:v>-19.653430900733838</c:v>
                </c:pt>
                <c:pt idx="28">
                  <c:v>-18.63832172263028</c:v>
                </c:pt>
                <c:pt idx="29">
                  <c:v>-17.655618597435023</c:v>
                </c:pt>
                <c:pt idx="30">
                  <c:v>-16.623077098636713</c:v>
                </c:pt>
                <c:pt idx="31">
                  <c:v>-15.661726833698822</c:v>
                </c:pt>
                <c:pt idx="32">
                  <c:v>-14.583139781826048</c:v>
                </c:pt>
                <c:pt idx="33">
                  <c:v>-14.003188999789472</c:v>
                </c:pt>
                <c:pt idx="34">
                  <c:v>-13.45028448094331</c:v>
                </c:pt>
                <c:pt idx="35">
                  <c:v>-12.848702633848234</c:v>
                </c:pt>
                <c:pt idx="36">
                  <c:v>-12.269360190521638</c:v>
                </c:pt>
                <c:pt idx="37">
                  <c:v>-11.646369724970555</c:v>
                </c:pt>
                <c:pt idx="38">
                  <c:v>-10.942341179223149</c:v>
                </c:pt>
                <c:pt idx="39">
                  <c:v>-10.154532354577896</c:v>
                </c:pt>
                <c:pt idx="40">
                  <c:v>-9.3495128052056771</c:v>
                </c:pt>
                <c:pt idx="41">
                  <c:v>-8.6403487521461102</c:v>
                </c:pt>
                <c:pt idx="42">
                  <c:v>-8.0161448826734159</c:v>
                </c:pt>
                <c:pt idx="43">
                  <c:v>-7.4860016442441975</c:v>
                </c:pt>
                <c:pt idx="44">
                  <c:v>-7.0047205514938469</c:v>
                </c:pt>
                <c:pt idx="45">
                  <c:v>-6.5033170035505918</c:v>
                </c:pt>
                <c:pt idx="46">
                  <c:v>-5.9580382591102534</c:v>
                </c:pt>
                <c:pt idx="47">
                  <c:v>-5.4455115138548535</c:v>
                </c:pt>
                <c:pt idx="48">
                  <c:v>-4.9576827114358366</c:v>
                </c:pt>
                <c:pt idx="49">
                  <c:v>-4.4552725964376805</c:v>
                </c:pt>
                <c:pt idx="50">
                  <c:v>-3.9688890397112573</c:v>
                </c:pt>
                <c:pt idx="51">
                  <c:v>-3.4585931504768723</c:v>
                </c:pt>
                <c:pt idx="52">
                  <c:v>-3.0037236892785586</c:v>
                </c:pt>
                <c:pt idx="53">
                  <c:v>-2.615253528308358</c:v>
                </c:pt>
                <c:pt idx="54">
                  <c:v>-2.2513652283830652</c:v>
                </c:pt>
                <c:pt idx="55">
                  <c:v>-1.9208301524727176</c:v>
                </c:pt>
                <c:pt idx="56">
                  <c:v>-1.6445395301720964</c:v>
                </c:pt>
                <c:pt idx="57">
                  <c:v>-1.2283279611358466</c:v>
                </c:pt>
              </c:numCache>
            </c:numRef>
          </c:yVal>
          <c:smooth val="1"/>
          <c:extLst>
            <c:ext xmlns:c16="http://schemas.microsoft.com/office/drawing/2014/chart" uri="{C3380CC4-5D6E-409C-BE32-E72D297353CC}">
              <c16:uniqueId val="{00000002-D35D-0A4F-91EC-0A2AA70CD2FD}"/>
            </c:ext>
          </c:extLst>
        </c:ser>
        <c:ser>
          <c:idx val="3"/>
          <c:order val="3"/>
          <c:tx>
            <c:v>Beginning of World War I</c:v>
          </c:tx>
          <c:spPr>
            <a:ln w="15875">
              <a:solidFill>
                <a:srgbClr val="808080"/>
              </a:solidFill>
            </a:ln>
          </c:spPr>
          <c:marker>
            <c:symbol val="none"/>
          </c:marker>
          <c:xVal>
            <c:numLit>
              <c:formatCode>General</c:formatCode>
              <c:ptCount val="2"/>
              <c:pt idx="0">
                <c:v>1914</c:v>
              </c:pt>
              <c:pt idx="1">
                <c:v>1914</c:v>
              </c:pt>
            </c:numLit>
          </c:xVal>
          <c:yVal>
            <c:numLit>
              <c:formatCode>General</c:formatCode>
              <c:ptCount val="2"/>
              <c:pt idx="0">
                <c:v>-0.5</c:v>
              </c:pt>
              <c:pt idx="1">
                <c:v>0.5</c:v>
              </c:pt>
            </c:numLit>
          </c:yVal>
          <c:smooth val="1"/>
          <c:extLst>
            <c:ext xmlns:c16="http://schemas.microsoft.com/office/drawing/2014/chart" uri="{C3380CC4-5D6E-409C-BE32-E72D297353CC}">
              <c16:uniqueId val="{00000003-D35D-0A4F-91EC-0A2AA70CD2FD}"/>
            </c:ext>
          </c:extLst>
        </c:ser>
        <c:ser>
          <c:idx val="4"/>
          <c:order val="4"/>
          <c:tx>
            <c:v>1873 depression</c:v>
          </c:tx>
          <c:spPr>
            <a:ln w="15875">
              <a:solidFill>
                <a:srgbClr val="808080"/>
              </a:solidFill>
            </a:ln>
          </c:spPr>
          <c:marker>
            <c:symbol val="none"/>
          </c:marker>
          <c:xVal>
            <c:numLit>
              <c:formatCode>General</c:formatCode>
              <c:ptCount val="2"/>
              <c:pt idx="0">
                <c:v>1873</c:v>
              </c:pt>
              <c:pt idx="1">
                <c:v>1873</c:v>
              </c:pt>
            </c:numLit>
          </c:xVal>
          <c:yVal>
            <c:numLit>
              <c:formatCode>General</c:formatCode>
              <c:ptCount val="2"/>
              <c:pt idx="0">
                <c:v>-0.5</c:v>
              </c:pt>
              <c:pt idx="1">
                <c:v>0.5</c:v>
              </c:pt>
            </c:numLit>
          </c:yVal>
          <c:smooth val="1"/>
          <c:extLst>
            <c:ext xmlns:c16="http://schemas.microsoft.com/office/drawing/2014/chart" uri="{C3380CC4-5D6E-409C-BE32-E72D297353CC}">
              <c16:uniqueId val="{00000004-D35D-0A4F-91EC-0A2AA70CD2FD}"/>
            </c:ext>
          </c:extLst>
        </c:ser>
        <c:ser>
          <c:idx val="5"/>
          <c:order val="5"/>
          <c:tx>
            <c:v>End of World War II</c:v>
          </c:tx>
          <c:spPr>
            <a:ln w="15875">
              <a:solidFill>
                <a:srgbClr val="808080"/>
              </a:solidFill>
            </a:ln>
          </c:spPr>
          <c:marker>
            <c:symbol val="none"/>
          </c:marker>
          <c:xVal>
            <c:numLit>
              <c:formatCode>General</c:formatCode>
              <c:ptCount val="2"/>
              <c:pt idx="0">
                <c:v>1945</c:v>
              </c:pt>
              <c:pt idx="1">
                <c:v>1945</c:v>
              </c:pt>
            </c:numLit>
          </c:xVal>
          <c:yVal>
            <c:numLit>
              <c:formatCode>General</c:formatCode>
              <c:ptCount val="2"/>
              <c:pt idx="0">
                <c:v>-0.5</c:v>
              </c:pt>
              <c:pt idx="1">
                <c:v>0.5</c:v>
              </c:pt>
            </c:numLit>
          </c:yVal>
          <c:smooth val="1"/>
          <c:extLst>
            <c:ext xmlns:c16="http://schemas.microsoft.com/office/drawing/2014/chart" uri="{C3380CC4-5D6E-409C-BE32-E72D297353CC}">
              <c16:uniqueId val="{00000005-D35D-0A4F-91EC-0A2AA70CD2FD}"/>
            </c:ext>
          </c:extLst>
        </c:ser>
        <c:ser>
          <c:idx val="6"/>
          <c:order val="6"/>
          <c:tx>
            <c:v>Peak additions to nuclear generation</c:v>
          </c:tx>
          <c:spPr>
            <a:ln w="15875">
              <a:solidFill>
                <a:srgbClr val="808080"/>
              </a:solidFill>
            </a:ln>
          </c:spPr>
          <c:marker>
            <c:symbol val="none"/>
          </c:marker>
          <c:xVal>
            <c:numLit>
              <c:formatCode>General</c:formatCode>
              <c:ptCount val="2"/>
              <c:pt idx="0">
                <c:v>1984</c:v>
              </c:pt>
              <c:pt idx="1">
                <c:v>1984</c:v>
              </c:pt>
            </c:numLit>
          </c:xVal>
          <c:yVal>
            <c:numLit>
              <c:formatCode>General</c:formatCode>
              <c:ptCount val="2"/>
              <c:pt idx="0">
                <c:v>-0.5</c:v>
              </c:pt>
              <c:pt idx="1">
                <c:v>0.5</c:v>
              </c:pt>
            </c:numLit>
          </c:yVal>
          <c:smooth val="1"/>
          <c:extLst>
            <c:ext xmlns:c16="http://schemas.microsoft.com/office/drawing/2014/chart" uri="{C3380CC4-5D6E-409C-BE32-E72D297353CC}">
              <c16:uniqueId val="{00000006-D35D-0A4F-91EC-0A2AA70CD2FD}"/>
            </c:ext>
          </c:extLst>
        </c:ser>
        <c:dLbls>
          <c:showLegendKey val="0"/>
          <c:showVal val="0"/>
          <c:showCatName val="0"/>
          <c:showSerName val="0"/>
          <c:showPercent val="0"/>
          <c:showBubbleSize val="0"/>
        </c:dLbls>
        <c:axId val="131340928"/>
        <c:axId val="131302528"/>
      </c:scatterChart>
      <c:valAx>
        <c:axId val="131340928"/>
        <c:scaling>
          <c:orientation val="minMax"/>
          <c:max val="2020"/>
          <c:min val="18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302528"/>
        <c:crossesAt val="-100"/>
        <c:crossBetween val="midCat"/>
        <c:majorUnit val="60"/>
        <c:minorUnit val="10"/>
      </c:valAx>
      <c:valAx>
        <c:axId val="131302528"/>
        <c:scaling>
          <c:orientation val="minMax"/>
          <c:max val="10"/>
          <c:min val="-10"/>
        </c:scaling>
        <c:delete val="0"/>
        <c:axPos val="r"/>
        <c:title>
          <c:tx>
            <c:rich>
              <a:bodyPr rot="-5400000" vert="horz"/>
              <a:lstStyle/>
              <a:p>
                <a:pPr>
                  <a:defRPr sz="1200" b="0">
                    <a:solidFill>
                      <a:srgbClr val="333399"/>
                    </a:solidFill>
                  </a:defRPr>
                </a:pPr>
                <a:r>
                  <a:rPr lang="en-US" sz="1200" b="0">
                    <a:solidFill>
                      <a:srgbClr val="333399"/>
                    </a:solidFill>
                  </a:rPr>
                  <a:t>Residual, years</a:t>
                </a:r>
              </a:p>
            </c:rich>
          </c:tx>
          <c:layout>
            <c:manualLayout>
              <c:xMode val="edge"/>
              <c:yMode val="edge"/>
              <c:x val="0.96240681576144838"/>
              <c:y val="0.27488772236803732"/>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1340928"/>
        <c:crosses val="max"/>
        <c:crossBetween val="midCat"/>
        <c:majorUnit val="10"/>
        <c:minorUnit val="2"/>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7180330893143154"/>
          <c:h val="0.77264654418197765"/>
        </c:manualLayout>
      </c:layout>
      <c:scatterChart>
        <c:scatterStyle val="smoothMarker"/>
        <c:varyColors val="0"/>
        <c:ser>
          <c:idx val="3"/>
          <c:order val="0"/>
          <c:tx>
            <c:v>Current long-term fit</c:v>
          </c:tx>
          <c:spPr>
            <a:ln w="15875">
              <a:solidFill>
                <a:srgbClr val="808080"/>
              </a:solidFill>
              <a:prstDash val="solid"/>
            </a:ln>
          </c:spPr>
          <c:marker>
            <c:symbol val="none"/>
          </c:marker>
          <c:xVal>
            <c:numLit>
              <c:formatCode>General</c:formatCode>
              <c:ptCount val="2"/>
              <c:pt idx="0">
                <c:v>1900</c:v>
              </c:pt>
              <c:pt idx="1">
                <c:v>2009</c:v>
              </c:pt>
            </c:numLit>
          </c:xVal>
          <c:yVal>
            <c:numRef>
              <c:f>('France and Belgium'!$F$1,'France and Belgium'!$F$1)</c:f>
              <c:numCache>
                <c:formatCode>0.0</c:formatCode>
                <c:ptCount val="2"/>
                <c:pt idx="0">
                  <c:v>7.6235246511500465</c:v>
                </c:pt>
                <c:pt idx="1">
                  <c:v>7.6235246511500465</c:v>
                </c:pt>
              </c:numCache>
            </c:numRef>
          </c:yVal>
          <c:smooth val="1"/>
          <c:extLst>
            <c:ext xmlns:c16="http://schemas.microsoft.com/office/drawing/2014/chart" uri="{C3380CC4-5D6E-409C-BE32-E72D297353CC}">
              <c16:uniqueId val="{00000000-A991-9940-9BFC-4AF86D2FF22E}"/>
            </c:ext>
          </c:extLst>
        </c:ser>
        <c:ser>
          <c:idx val="0"/>
          <c:order val="1"/>
          <c:tx>
            <c:strRef>
              <c:f>'France and Belgium'!$F$7</c:f>
              <c:strCache>
                <c:ptCount val="1"/>
                <c:pt idx="0">
                  <c:v>q Gt</c:v>
                </c:pt>
              </c:strCache>
            </c:strRef>
          </c:tx>
          <c:spPr>
            <a:ln w="15875">
              <a:solidFill>
                <a:srgbClr val="008000"/>
              </a:solidFill>
            </a:ln>
          </c:spPr>
          <c:marker>
            <c:symbol val="none"/>
          </c:marker>
          <c:xVal>
            <c:numRef>
              <c:f>'France and Belgium'!$D$8:$D$344</c:f>
              <c:numCache>
                <c:formatCode>General</c:formatCode>
                <c:ptCount val="337"/>
                <c:pt idx="0">
                  <c:v>1814</c:v>
                </c:pt>
                <c:pt idx="1">
                  <c:v>1815</c:v>
                </c:pt>
                <c:pt idx="2">
                  <c:v>1816</c:v>
                </c:pt>
                <c:pt idx="3">
                  <c:v>1817</c:v>
                </c:pt>
                <c:pt idx="4">
                  <c:v>1818</c:v>
                </c:pt>
                <c:pt idx="5">
                  <c:v>1819</c:v>
                </c:pt>
                <c:pt idx="6">
                  <c:v>1820</c:v>
                </c:pt>
                <c:pt idx="7">
                  <c:v>1821</c:v>
                </c:pt>
                <c:pt idx="8">
                  <c:v>1822</c:v>
                </c:pt>
                <c:pt idx="9">
                  <c:v>1823</c:v>
                </c:pt>
                <c:pt idx="10">
                  <c:v>1824</c:v>
                </c:pt>
                <c:pt idx="11">
                  <c:v>1825</c:v>
                </c:pt>
                <c:pt idx="12">
                  <c:v>1826</c:v>
                </c:pt>
                <c:pt idx="13">
                  <c:v>1827</c:v>
                </c:pt>
                <c:pt idx="14">
                  <c:v>1828</c:v>
                </c:pt>
                <c:pt idx="15">
                  <c:v>1829</c:v>
                </c:pt>
                <c:pt idx="16">
                  <c:v>1830</c:v>
                </c:pt>
                <c:pt idx="17">
                  <c:v>1831</c:v>
                </c:pt>
                <c:pt idx="18">
                  <c:v>1832</c:v>
                </c:pt>
                <c:pt idx="19">
                  <c:v>1833</c:v>
                </c:pt>
                <c:pt idx="20">
                  <c:v>1834</c:v>
                </c:pt>
                <c:pt idx="21">
                  <c:v>1835</c:v>
                </c:pt>
                <c:pt idx="22">
                  <c:v>1836</c:v>
                </c:pt>
                <c:pt idx="23">
                  <c:v>1837</c:v>
                </c:pt>
                <c:pt idx="24">
                  <c:v>1838</c:v>
                </c:pt>
                <c:pt idx="25">
                  <c:v>1839</c:v>
                </c:pt>
                <c:pt idx="26">
                  <c:v>1840</c:v>
                </c:pt>
                <c:pt idx="27">
                  <c:v>1841</c:v>
                </c:pt>
                <c:pt idx="28">
                  <c:v>1842</c:v>
                </c:pt>
                <c:pt idx="29">
                  <c:v>1843</c:v>
                </c:pt>
                <c:pt idx="30">
                  <c:v>1844</c:v>
                </c:pt>
                <c:pt idx="31">
                  <c:v>1845</c:v>
                </c:pt>
                <c:pt idx="32">
                  <c:v>1846</c:v>
                </c:pt>
                <c:pt idx="33">
                  <c:v>1847</c:v>
                </c:pt>
                <c:pt idx="34">
                  <c:v>1848</c:v>
                </c:pt>
                <c:pt idx="35">
                  <c:v>1849</c:v>
                </c:pt>
                <c:pt idx="36">
                  <c:v>1850</c:v>
                </c:pt>
                <c:pt idx="37">
                  <c:v>1851</c:v>
                </c:pt>
                <c:pt idx="38">
                  <c:v>1852</c:v>
                </c:pt>
                <c:pt idx="39">
                  <c:v>1853</c:v>
                </c:pt>
                <c:pt idx="40">
                  <c:v>1854</c:v>
                </c:pt>
                <c:pt idx="41">
                  <c:v>1855</c:v>
                </c:pt>
                <c:pt idx="42">
                  <c:v>1856</c:v>
                </c:pt>
                <c:pt idx="43">
                  <c:v>1857</c:v>
                </c:pt>
                <c:pt idx="44">
                  <c:v>1858</c:v>
                </c:pt>
                <c:pt idx="45">
                  <c:v>1859</c:v>
                </c:pt>
                <c:pt idx="46">
                  <c:v>1860</c:v>
                </c:pt>
                <c:pt idx="47">
                  <c:v>1861</c:v>
                </c:pt>
                <c:pt idx="48">
                  <c:v>1862</c:v>
                </c:pt>
                <c:pt idx="49">
                  <c:v>1863</c:v>
                </c:pt>
                <c:pt idx="50">
                  <c:v>1864</c:v>
                </c:pt>
                <c:pt idx="51">
                  <c:v>1865</c:v>
                </c:pt>
                <c:pt idx="52">
                  <c:v>1866</c:v>
                </c:pt>
                <c:pt idx="53">
                  <c:v>1867</c:v>
                </c:pt>
                <c:pt idx="54">
                  <c:v>1868</c:v>
                </c:pt>
                <c:pt idx="55">
                  <c:v>1869</c:v>
                </c:pt>
                <c:pt idx="56">
                  <c:v>1870</c:v>
                </c:pt>
                <c:pt idx="57">
                  <c:v>1871</c:v>
                </c:pt>
                <c:pt idx="58">
                  <c:v>1872</c:v>
                </c:pt>
                <c:pt idx="59">
                  <c:v>1873</c:v>
                </c:pt>
                <c:pt idx="60">
                  <c:v>1874</c:v>
                </c:pt>
                <c:pt idx="61">
                  <c:v>1875</c:v>
                </c:pt>
                <c:pt idx="62">
                  <c:v>1876</c:v>
                </c:pt>
                <c:pt idx="63">
                  <c:v>1877</c:v>
                </c:pt>
                <c:pt idx="64">
                  <c:v>1878</c:v>
                </c:pt>
                <c:pt idx="65">
                  <c:v>1879</c:v>
                </c:pt>
                <c:pt idx="66">
                  <c:v>1880</c:v>
                </c:pt>
                <c:pt idx="67">
                  <c:v>1881</c:v>
                </c:pt>
                <c:pt idx="68">
                  <c:v>1882</c:v>
                </c:pt>
                <c:pt idx="69">
                  <c:v>1883</c:v>
                </c:pt>
                <c:pt idx="70">
                  <c:v>1884</c:v>
                </c:pt>
                <c:pt idx="71">
                  <c:v>1885</c:v>
                </c:pt>
                <c:pt idx="72">
                  <c:v>1886</c:v>
                </c:pt>
                <c:pt idx="73">
                  <c:v>1887</c:v>
                </c:pt>
                <c:pt idx="74">
                  <c:v>1888</c:v>
                </c:pt>
                <c:pt idx="75">
                  <c:v>1889</c:v>
                </c:pt>
                <c:pt idx="76">
                  <c:v>1890</c:v>
                </c:pt>
                <c:pt idx="77">
                  <c:v>1891</c:v>
                </c:pt>
                <c:pt idx="78">
                  <c:v>1892</c:v>
                </c:pt>
                <c:pt idx="79">
                  <c:v>1893</c:v>
                </c:pt>
                <c:pt idx="80">
                  <c:v>1894</c:v>
                </c:pt>
                <c:pt idx="81">
                  <c:v>1895</c:v>
                </c:pt>
                <c:pt idx="82">
                  <c:v>1896</c:v>
                </c:pt>
                <c:pt idx="83">
                  <c:v>1897</c:v>
                </c:pt>
                <c:pt idx="84">
                  <c:v>1898</c:v>
                </c:pt>
                <c:pt idx="85">
                  <c:v>1899</c:v>
                </c:pt>
                <c:pt idx="86">
                  <c:v>1900</c:v>
                </c:pt>
                <c:pt idx="87">
                  <c:v>1901</c:v>
                </c:pt>
                <c:pt idx="88">
                  <c:v>1902</c:v>
                </c:pt>
                <c:pt idx="89">
                  <c:v>1903</c:v>
                </c:pt>
                <c:pt idx="90">
                  <c:v>1904</c:v>
                </c:pt>
                <c:pt idx="91">
                  <c:v>1905</c:v>
                </c:pt>
                <c:pt idx="92">
                  <c:v>1906</c:v>
                </c:pt>
                <c:pt idx="93">
                  <c:v>1907</c:v>
                </c:pt>
                <c:pt idx="94">
                  <c:v>1908</c:v>
                </c:pt>
                <c:pt idx="95">
                  <c:v>1909</c:v>
                </c:pt>
                <c:pt idx="96">
                  <c:v>1910</c:v>
                </c:pt>
                <c:pt idx="97">
                  <c:v>1911</c:v>
                </c:pt>
                <c:pt idx="98">
                  <c:v>1912</c:v>
                </c:pt>
                <c:pt idx="99">
                  <c:v>1913</c:v>
                </c:pt>
                <c:pt idx="100">
                  <c:v>1914</c:v>
                </c:pt>
                <c:pt idx="101">
                  <c:v>1915</c:v>
                </c:pt>
                <c:pt idx="102">
                  <c:v>1916</c:v>
                </c:pt>
                <c:pt idx="103">
                  <c:v>1917</c:v>
                </c:pt>
                <c:pt idx="104">
                  <c:v>1918</c:v>
                </c:pt>
                <c:pt idx="105">
                  <c:v>1919</c:v>
                </c:pt>
                <c:pt idx="106">
                  <c:v>1920</c:v>
                </c:pt>
                <c:pt idx="107">
                  <c:v>1921</c:v>
                </c:pt>
                <c:pt idx="108">
                  <c:v>1922</c:v>
                </c:pt>
                <c:pt idx="109">
                  <c:v>1923</c:v>
                </c:pt>
                <c:pt idx="110">
                  <c:v>1924</c:v>
                </c:pt>
                <c:pt idx="111">
                  <c:v>1925</c:v>
                </c:pt>
                <c:pt idx="112">
                  <c:v>1926</c:v>
                </c:pt>
                <c:pt idx="113">
                  <c:v>1927</c:v>
                </c:pt>
                <c:pt idx="114">
                  <c:v>1928</c:v>
                </c:pt>
                <c:pt idx="115">
                  <c:v>1929</c:v>
                </c:pt>
                <c:pt idx="116">
                  <c:v>1930</c:v>
                </c:pt>
                <c:pt idx="117">
                  <c:v>1931</c:v>
                </c:pt>
                <c:pt idx="118">
                  <c:v>1932</c:v>
                </c:pt>
                <c:pt idx="119">
                  <c:v>1933</c:v>
                </c:pt>
                <c:pt idx="120">
                  <c:v>1934</c:v>
                </c:pt>
                <c:pt idx="121">
                  <c:v>1935</c:v>
                </c:pt>
                <c:pt idx="122">
                  <c:v>1936</c:v>
                </c:pt>
                <c:pt idx="123">
                  <c:v>1937</c:v>
                </c:pt>
                <c:pt idx="124">
                  <c:v>1938</c:v>
                </c:pt>
                <c:pt idx="125">
                  <c:v>1939</c:v>
                </c:pt>
                <c:pt idx="126">
                  <c:v>1940</c:v>
                </c:pt>
                <c:pt idx="127">
                  <c:v>1941</c:v>
                </c:pt>
                <c:pt idx="128">
                  <c:v>1942</c:v>
                </c:pt>
                <c:pt idx="129">
                  <c:v>1943</c:v>
                </c:pt>
                <c:pt idx="130">
                  <c:v>1944</c:v>
                </c:pt>
                <c:pt idx="131">
                  <c:v>1945</c:v>
                </c:pt>
                <c:pt idx="132">
                  <c:v>1946</c:v>
                </c:pt>
                <c:pt idx="133">
                  <c:v>1947</c:v>
                </c:pt>
                <c:pt idx="134">
                  <c:v>1948</c:v>
                </c:pt>
                <c:pt idx="135">
                  <c:v>1949</c:v>
                </c:pt>
                <c:pt idx="136">
                  <c:v>1950</c:v>
                </c:pt>
                <c:pt idx="137">
                  <c:v>1951</c:v>
                </c:pt>
                <c:pt idx="138">
                  <c:v>1952</c:v>
                </c:pt>
                <c:pt idx="139">
                  <c:v>1953</c:v>
                </c:pt>
                <c:pt idx="140">
                  <c:v>1954</c:v>
                </c:pt>
                <c:pt idx="141">
                  <c:v>1955</c:v>
                </c:pt>
                <c:pt idx="142">
                  <c:v>1956</c:v>
                </c:pt>
                <c:pt idx="143">
                  <c:v>1957</c:v>
                </c:pt>
                <c:pt idx="144">
                  <c:v>1958</c:v>
                </c:pt>
                <c:pt idx="145">
                  <c:v>1959</c:v>
                </c:pt>
                <c:pt idx="146">
                  <c:v>1960</c:v>
                </c:pt>
                <c:pt idx="147">
                  <c:v>1961</c:v>
                </c:pt>
                <c:pt idx="148">
                  <c:v>1962</c:v>
                </c:pt>
                <c:pt idx="149">
                  <c:v>1963</c:v>
                </c:pt>
                <c:pt idx="150">
                  <c:v>1964</c:v>
                </c:pt>
                <c:pt idx="151">
                  <c:v>1965</c:v>
                </c:pt>
                <c:pt idx="152">
                  <c:v>1966</c:v>
                </c:pt>
                <c:pt idx="153">
                  <c:v>1967</c:v>
                </c:pt>
                <c:pt idx="154">
                  <c:v>1968</c:v>
                </c:pt>
                <c:pt idx="155">
                  <c:v>1969</c:v>
                </c:pt>
                <c:pt idx="156">
                  <c:v>1970</c:v>
                </c:pt>
                <c:pt idx="157">
                  <c:v>1971</c:v>
                </c:pt>
                <c:pt idx="158">
                  <c:v>1972</c:v>
                </c:pt>
                <c:pt idx="159">
                  <c:v>1973</c:v>
                </c:pt>
                <c:pt idx="160">
                  <c:v>1974</c:v>
                </c:pt>
                <c:pt idx="161">
                  <c:v>1975</c:v>
                </c:pt>
                <c:pt idx="162">
                  <c:v>1976</c:v>
                </c:pt>
                <c:pt idx="163">
                  <c:v>1977</c:v>
                </c:pt>
                <c:pt idx="164">
                  <c:v>1978</c:v>
                </c:pt>
                <c:pt idx="165">
                  <c:v>1979</c:v>
                </c:pt>
                <c:pt idx="166">
                  <c:v>1980</c:v>
                </c:pt>
                <c:pt idx="167">
                  <c:v>1981</c:v>
                </c:pt>
                <c:pt idx="168">
                  <c:v>1982</c:v>
                </c:pt>
                <c:pt idx="169">
                  <c:v>1983</c:v>
                </c:pt>
                <c:pt idx="170">
                  <c:v>1984</c:v>
                </c:pt>
                <c:pt idx="171">
                  <c:v>1985</c:v>
                </c:pt>
                <c:pt idx="172">
                  <c:v>1986</c:v>
                </c:pt>
                <c:pt idx="173">
                  <c:v>1987</c:v>
                </c:pt>
                <c:pt idx="174">
                  <c:v>1988</c:v>
                </c:pt>
                <c:pt idx="175">
                  <c:v>1989</c:v>
                </c:pt>
                <c:pt idx="176">
                  <c:v>1990</c:v>
                </c:pt>
                <c:pt idx="177">
                  <c:v>1991</c:v>
                </c:pt>
                <c:pt idx="178">
                  <c:v>1992</c:v>
                </c:pt>
                <c:pt idx="179">
                  <c:v>1993</c:v>
                </c:pt>
                <c:pt idx="180">
                  <c:v>1994</c:v>
                </c:pt>
                <c:pt idx="181">
                  <c:v>1995</c:v>
                </c:pt>
                <c:pt idx="182">
                  <c:v>1996</c:v>
                </c:pt>
                <c:pt idx="183">
                  <c:v>1997</c:v>
                </c:pt>
                <c:pt idx="184">
                  <c:v>1998</c:v>
                </c:pt>
                <c:pt idx="185">
                  <c:v>1999</c:v>
                </c:pt>
                <c:pt idx="186">
                  <c:v>2000</c:v>
                </c:pt>
                <c:pt idx="187">
                  <c:v>2001</c:v>
                </c:pt>
                <c:pt idx="188">
                  <c:v>2002</c:v>
                </c:pt>
                <c:pt idx="189">
                  <c:v>2003</c:v>
                </c:pt>
                <c:pt idx="190">
                  <c:v>2004</c:v>
                </c:pt>
                <c:pt idx="191">
                  <c:v>2005</c:v>
                </c:pt>
                <c:pt idx="192">
                  <c:v>2006</c:v>
                </c:pt>
                <c:pt idx="193">
                  <c:v>2007</c:v>
                </c:pt>
                <c:pt idx="194">
                  <c:v>2008</c:v>
                </c:pt>
                <c:pt idx="195">
                  <c:v>2009</c:v>
                </c:pt>
                <c:pt idx="196">
                  <c:v>2010</c:v>
                </c:pt>
                <c:pt idx="197">
                  <c:v>2011</c:v>
                </c:pt>
                <c:pt idx="198">
                  <c:v>2012</c:v>
                </c:pt>
                <c:pt idx="199">
                  <c:v>2013</c:v>
                </c:pt>
                <c:pt idx="200">
                  <c:v>2014</c:v>
                </c:pt>
                <c:pt idx="201">
                  <c:v>2015</c:v>
                </c:pt>
                <c:pt idx="202">
                  <c:v>2016</c:v>
                </c:pt>
                <c:pt idx="203">
                  <c:v>2017</c:v>
                </c:pt>
                <c:pt idx="204">
                  <c:v>2018</c:v>
                </c:pt>
                <c:pt idx="205">
                  <c:v>2019</c:v>
                </c:pt>
                <c:pt idx="206">
                  <c:v>2020</c:v>
                </c:pt>
                <c:pt idx="207">
                  <c:v>2021</c:v>
                </c:pt>
                <c:pt idx="208">
                  <c:v>2022</c:v>
                </c:pt>
                <c:pt idx="209">
                  <c:v>2023</c:v>
                </c:pt>
                <c:pt idx="210">
                  <c:v>2024</c:v>
                </c:pt>
                <c:pt idx="211">
                  <c:v>2025</c:v>
                </c:pt>
                <c:pt idx="212">
                  <c:v>2026</c:v>
                </c:pt>
                <c:pt idx="213">
                  <c:v>2027</c:v>
                </c:pt>
                <c:pt idx="214">
                  <c:v>2028</c:v>
                </c:pt>
                <c:pt idx="215">
                  <c:v>2029</c:v>
                </c:pt>
                <c:pt idx="216">
                  <c:v>2030</c:v>
                </c:pt>
                <c:pt idx="217">
                  <c:v>2031</c:v>
                </c:pt>
                <c:pt idx="218">
                  <c:v>2032</c:v>
                </c:pt>
                <c:pt idx="219">
                  <c:v>2033</c:v>
                </c:pt>
                <c:pt idx="220">
                  <c:v>2034</c:v>
                </c:pt>
                <c:pt idx="221">
                  <c:v>2035</c:v>
                </c:pt>
                <c:pt idx="222">
                  <c:v>2036</c:v>
                </c:pt>
                <c:pt idx="223">
                  <c:v>2037</c:v>
                </c:pt>
                <c:pt idx="224">
                  <c:v>2038</c:v>
                </c:pt>
                <c:pt idx="225">
                  <c:v>2039</c:v>
                </c:pt>
                <c:pt idx="226">
                  <c:v>2040</c:v>
                </c:pt>
                <c:pt idx="227">
                  <c:v>2041</c:v>
                </c:pt>
                <c:pt idx="228">
                  <c:v>2042</c:v>
                </c:pt>
                <c:pt idx="229">
                  <c:v>2043</c:v>
                </c:pt>
                <c:pt idx="230">
                  <c:v>2044</c:v>
                </c:pt>
                <c:pt idx="231">
                  <c:v>2045</c:v>
                </c:pt>
                <c:pt idx="232">
                  <c:v>2046</c:v>
                </c:pt>
                <c:pt idx="233">
                  <c:v>2047</c:v>
                </c:pt>
                <c:pt idx="234">
                  <c:v>2048</c:v>
                </c:pt>
                <c:pt idx="235">
                  <c:v>2049</c:v>
                </c:pt>
                <c:pt idx="236">
                  <c:v>2050</c:v>
                </c:pt>
                <c:pt idx="237">
                  <c:v>2051</c:v>
                </c:pt>
                <c:pt idx="238">
                  <c:v>2052</c:v>
                </c:pt>
                <c:pt idx="239">
                  <c:v>2053</c:v>
                </c:pt>
                <c:pt idx="240">
                  <c:v>2054</c:v>
                </c:pt>
                <c:pt idx="241">
                  <c:v>2055</c:v>
                </c:pt>
                <c:pt idx="242">
                  <c:v>2056</c:v>
                </c:pt>
                <c:pt idx="243">
                  <c:v>2057</c:v>
                </c:pt>
                <c:pt idx="244">
                  <c:v>2058</c:v>
                </c:pt>
                <c:pt idx="245">
                  <c:v>2059</c:v>
                </c:pt>
                <c:pt idx="246">
                  <c:v>2060</c:v>
                </c:pt>
                <c:pt idx="247">
                  <c:v>2061</c:v>
                </c:pt>
                <c:pt idx="248">
                  <c:v>2062</c:v>
                </c:pt>
                <c:pt idx="249">
                  <c:v>2063</c:v>
                </c:pt>
                <c:pt idx="250">
                  <c:v>2064</c:v>
                </c:pt>
                <c:pt idx="251">
                  <c:v>2065</c:v>
                </c:pt>
                <c:pt idx="252">
                  <c:v>2066</c:v>
                </c:pt>
                <c:pt idx="253">
                  <c:v>2067</c:v>
                </c:pt>
                <c:pt idx="254">
                  <c:v>2068</c:v>
                </c:pt>
                <c:pt idx="255">
                  <c:v>2069</c:v>
                </c:pt>
                <c:pt idx="256">
                  <c:v>2070</c:v>
                </c:pt>
                <c:pt idx="257">
                  <c:v>2071</c:v>
                </c:pt>
                <c:pt idx="258">
                  <c:v>2072</c:v>
                </c:pt>
                <c:pt idx="259">
                  <c:v>2073</c:v>
                </c:pt>
                <c:pt idx="260">
                  <c:v>2074</c:v>
                </c:pt>
                <c:pt idx="261">
                  <c:v>2075</c:v>
                </c:pt>
                <c:pt idx="262">
                  <c:v>2076</c:v>
                </c:pt>
                <c:pt idx="263">
                  <c:v>2077</c:v>
                </c:pt>
                <c:pt idx="264">
                  <c:v>2078</c:v>
                </c:pt>
                <c:pt idx="265">
                  <c:v>2079</c:v>
                </c:pt>
                <c:pt idx="266">
                  <c:v>2080</c:v>
                </c:pt>
                <c:pt idx="267">
                  <c:v>2081</c:v>
                </c:pt>
                <c:pt idx="268">
                  <c:v>2082</c:v>
                </c:pt>
                <c:pt idx="269">
                  <c:v>2083</c:v>
                </c:pt>
                <c:pt idx="270">
                  <c:v>2084</c:v>
                </c:pt>
                <c:pt idx="271">
                  <c:v>2085</c:v>
                </c:pt>
                <c:pt idx="272">
                  <c:v>2086</c:v>
                </c:pt>
                <c:pt idx="273">
                  <c:v>2087</c:v>
                </c:pt>
                <c:pt idx="274">
                  <c:v>2088</c:v>
                </c:pt>
                <c:pt idx="275">
                  <c:v>2089</c:v>
                </c:pt>
                <c:pt idx="276">
                  <c:v>2090</c:v>
                </c:pt>
                <c:pt idx="277">
                  <c:v>2091</c:v>
                </c:pt>
                <c:pt idx="278">
                  <c:v>2092</c:v>
                </c:pt>
                <c:pt idx="279">
                  <c:v>2093</c:v>
                </c:pt>
                <c:pt idx="280">
                  <c:v>2094</c:v>
                </c:pt>
                <c:pt idx="281">
                  <c:v>2095</c:v>
                </c:pt>
                <c:pt idx="282">
                  <c:v>2096</c:v>
                </c:pt>
                <c:pt idx="283">
                  <c:v>2097</c:v>
                </c:pt>
                <c:pt idx="284">
                  <c:v>2098</c:v>
                </c:pt>
                <c:pt idx="285">
                  <c:v>2099</c:v>
                </c:pt>
                <c:pt idx="286">
                  <c:v>2100</c:v>
                </c:pt>
                <c:pt idx="287">
                  <c:v>2101</c:v>
                </c:pt>
                <c:pt idx="288">
                  <c:v>2102</c:v>
                </c:pt>
                <c:pt idx="289">
                  <c:v>2103</c:v>
                </c:pt>
                <c:pt idx="290">
                  <c:v>2104</c:v>
                </c:pt>
                <c:pt idx="291">
                  <c:v>2105</c:v>
                </c:pt>
                <c:pt idx="292">
                  <c:v>2106</c:v>
                </c:pt>
                <c:pt idx="293">
                  <c:v>2107</c:v>
                </c:pt>
                <c:pt idx="294">
                  <c:v>2108</c:v>
                </c:pt>
                <c:pt idx="295">
                  <c:v>2109</c:v>
                </c:pt>
                <c:pt idx="296">
                  <c:v>2110</c:v>
                </c:pt>
                <c:pt idx="297">
                  <c:v>2111</c:v>
                </c:pt>
                <c:pt idx="298">
                  <c:v>2112</c:v>
                </c:pt>
                <c:pt idx="299">
                  <c:v>2113</c:v>
                </c:pt>
                <c:pt idx="300">
                  <c:v>2114</c:v>
                </c:pt>
                <c:pt idx="301">
                  <c:v>2115</c:v>
                </c:pt>
                <c:pt idx="302">
                  <c:v>2116</c:v>
                </c:pt>
                <c:pt idx="303">
                  <c:v>2117</c:v>
                </c:pt>
                <c:pt idx="304">
                  <c:v>2118</c:v>
                </c:pt>
                <c:pt idx="305">
                  <c:v>2119</c:v>
                </c:pt>
                <c:pt idx="306">
                  <c:v>2120</c:v>
                </c:pt>
                <c:pt idx="307">
                  <c:v>2121</c:v>
                </c:pt>
                <c:pt idx="308">
                  <c:v>2122</c:v>
                </c:pt>
                <c:pt idx="309">
                  <c:v>2123</c:v>
                </c:pt>
                <c:pt idx="310">
                  <c:v>2124</c:v>
                </c:pt>
                <c:pt idx="311">
                  <c:v>2125</c:v>
                </c:pt>
                <c:pt idx="312">
                  <c:v>2126</c:v>
                </c:pt>
                <c:pt idx="313">
                  <c:v>2127</c:v>
                </c:pt>
                <c:pt idx="314">
                  <c:v>2128</c:v>
                </c:pt>
                <c:pt idx="315">
                  <c:v>2129</c:v>
                </c:pt>
                <c:pt idx="316">
                  <c:v>2130</c:v>
                </c:pt>
                <c:pt idx="317">
                  <c:v>2131</c:v>
                </c:pt>
                <c:pt idx="318">
                  <c:v>2132</c:v>
                </c:pt>
                <c:pt idx="319">
                  <c:v>2133</c:v>
                </c:pt>
                <c:pt idx="320">
                  <c:v>2134</c:v>
                </c:pt>
                <c:pt idx="321">
                  <c:v>2135</c:v>
                </c:pt>
                <c:pt idx="322">
                  <c:v>2136</c:v>
                </c:pt>
                <c:pt idx="323">
                  <c:v>2137</c:v>
                </c:pt>
                <c:pt idx="324">
                  <c:v>2138</c:v>
                </c:pt>
                <c:pt idx="325">
                  <c:v>2139</c:v>
                </c:pt>
                <c:pt idx="326">
                  <c:v>2140</c:v>
                </c:pt>
                <c:pt idx="327">
                  <c:v>2141</c:v>
                </c:pt>
                <c:pt idx="328">
                  <c:v>2142</c:v>
                </c:pt>
                <c:pt idx="329">
                  <c:v>2143</c:v>
                </c:pt>
                <c:pt idx="330">
                  <c:v>2144</c:v>
                </c:pt>
                <c:pt idx="331">
                  <c:v>2145</c:v>
                </c:pt>
                <c:pt idx="332">
                  <c:v>2146</c:v>
                </c:pt>
                <c:pt idx="333">
                  <c:v>2147</c:v>
                </c:pt>
                <c:pt idx="334">
                  <c:v>2148</c:v>
                </c:pt>
                <c:pt idx="335">
                  <c:v>2149</c:v>
                </c:pt>
                <c:pt idx="336">
                  <c:v>2150</c:v>
                </c:pt>
              </c:numCache>
            </c:numRef>
          </c:xVal>
          <c:yVal>
            <c:numRef>
              <c:f>'France and Belgium'!$F$8:$F$344</c:f>
              <c:numCache>
                <c:formatCode>0.0</c:formatCode>
                <c:ptCount val="337"/>
                <c:pt idx="0" formatCode="General">
                  <c:v>0</c:v>
                </c:pt>
                <c:pt idx="1">
                  <c:v>8.9999999999999998E-4</c:v>
                </c:pt>
                <c:pt idx="2">
                  <c:v>1.8400000000000001E-3</c:v>
                </c:pt>
                <c:pt idx="3">
                  <c:v>2.82E-3</c:v>
                </c:pt>
                <c:pt idx="4">
                  <c:v>3.8400000000000001E-3</c:v>
                </c:pt>
                <c:pt idx="5">
                  <c:v>4.8999999999999998E-3</c:v>
                </c:pt>
                <c:pt idx="6">
                  <c:v>6.0000000000000001E-3</c:v>
                </c:pt>
                <c:pt idx="7">
                  <c:v>7.1799999999999998E-3</c:v>
                </c:pt>
                <c:pt idx="8">
                  <c:v>8.4399999999999996E-3</c:v>
                </c:pt>
                <c:pt idx="9">
                  <c:v>9.7800000000000005E-3</c:v>
                </c:pt>
                <c:pt idx="10">
                  <c:v>1.12E-2</c:v>
                </c:pt>
                <c:pt idx="11">
                  <c:v>1.2699999999999999E-2</c:v>
                </c:pt>
                <c:pt idx="12">
                  <c:v>1.43E-2</c:v>
                </c:pt>
                <c:pt idx="13">
                  <c:v>1.6E-2</c:v>
                </c:pt>
                <c:pt idx="14">
                  <c:v>1.78E-2</c:v>
                </c:pt>
                <c:pt idx="15">
                  <c:v>1.95E-2</c:v>
                </c:pt>
                <c:pt idx="16">
                  <c:v>2.1399999999999999E-2</c:v>
                </c:pt>
                <c:pt idx="17">
                  <c:v>2.5499999999999998E-2</c:v>
                </c:pt>
                <c:pt idx="18">
                  <c:v>2.98E-2</c:v>
                </c:pt>
                <c:pt idx="19">
                  <c:v>3.44E-2</c:v>
                </c:pt>
                <c:pt idx="20">
                  <c:v>3.9300000000000002E-2</c:v>
                </c:pt>
                <c:pt idx="21">
                  <c:v>4.4400000000000002E-2</c:v>
                </c:pt>
                <c:pt idx="22">
                  <c:v>5.0300000000000004E-2</c:v>
                </c:pt>
                <c:pt idx="23">
                  <c:v>5.6500000000000002E-2</c:v>
                </c:pt>
                <c:pt idx="24">
                  <c:v>6.2899999999999998E-2</c:v>
                </c:pt>
                <c:pt idx="25">
                  <c:v>6.9400000000000003E-2</c:v>
                </c:pt>
                <c:pt idx="26">
                  <c:v>7.6300000000000007E-2</c:v>
                </c:pt>
                <c:pt idx="27">
                  <c:v>8.3700000000000011E-2</c:v>
                </c:pt>
                <c:pt idx="28">
                  <c:v>9.1400000000000009E-2</c:v>
                </c:pt>
                <c:pt idx="29">
                  <c:v>9.9100000000000008E-2</c:v>
                </c:pt>
                <c:pt idx="30">
                  <c:v>0.10730000000000001</c:v>
                </c:pt>
                <c:pt idx="31">
                  <c:v>0.1164</c:v>
                </c:pt>
                <c:pt idx="32">
                  <c:v>0.12590000000000001</c:v>
                </c:pt>
                <c:pt idx="33">
                  <c:v>0.1368</c:v>
                </c:pt>
                <c:pt idx="34">
                  <c:v>0.1457</c:v>
                </c:pt>
                <c:pt idx="35">
                  <c:v>0.155</c:v>
                </c:pt>
                <c:pt idx="36">
                  <c:v>0.16519999999999999</c:v>
                </c:pt>
                <c:pt idx="37">
                  <c:v>0.17589999999999997</c:v>
                </c:pt>
                <c:pt idx="38">
                  <c:v>0.18759999999999996</c:v>
                </c:pt>
                <c:pt idx="39">
                  <c:v>0.20069999999999996</c:v>
                </c:pt>
                <c:pt idx="40">
                  <c:v>0.21539999999999995</c:v>
                </c:pt>
                <c:pt idx="41">
                  <c:v>0.23129999999999995</c:v>
                </c:pt>
                <c:pt idx="42">
                  <c:v>0.24739999999999995</c:v>
                </c:pt>
                <c:pt idx="43">
                  <c:v>0.26369999999999993</c:v>
                </c:pt>
                <c:pt idx="44">
                  <c:v>0.27999999999999992</c:v>
                </c:pt>
                <c:pt idx="45">
                  <c:v>0.29669999999999991</c:v>
                </c:pt>
                <c:pt idx="46">
                  <c:v>0.31459999999999988</c:v>
                </c:pt>
                <c:pt idx="47">
                  <c:v>0.3340999999999999</c:v>
                </c:pt>
                <c:pt idx="48">
                  <c:v>0.35429999999999989</c:v>
                </c:pt>
                <c:pt idx="49">
                  <c:v>0.37529999999999991</c:v>
                </c:pt>
                <c:pt idx="50">
                  <c:v>0.39769999999999989</c:v>
                </c:pt>
                <c:pt idx="51">
                  <c:v>0.42109999999999986</c:v>
                </c:pt>
                <c:pt idx="52">
                  <c:v>0.44619999999999987</c:v>
                </c:pt>
                <c:pt idx="53">
                  <c:v>0.4716999999999999</c:v>
                </c:pt>
                <c:pt idx="54">
                  <c:v>0.49729999999999991</c:v>
                </c:pt>
                <c:pt idx="55">
                  <c:v>0.52369999999999994</c:v>
                </c:pt>
                <c:pt idx="56">
                  <c:v>0.55069999999999997</c:v>
                </c:pt>
                <c:pt idx="57">
                  <c:v>0.57779999999999998</c:v>
                </c:pt>
                <c:pt idx="58">
                  <c:v>0.60929999999999995</c:v>
                </c:pt>
                <c:pt idx="59">
                  <c:v>0.64259999999999995</c:v>
                </c:pt>
                <c:pt idx="60">
                  <c:v>0.67419999999999991</c:v>
                </c:pt>
                <c:pt idx="61">
                  <c:v>0.70619999999999994</c:v>
                </c:pt>
                <c:pt idx="62">
                  <c:v>0.73759999999999992</c:v>
                </c:pt>
                <c:pt idx="63">
                  <c:v>0.76829999999999987</c:v>
                </c:pt>
                <c:pt idx="64">
                  <c:v>0.80019999999999991</c:v>
                </c:pt>
                <c:pt idx="65">
                  <c:v>0.83269999999999988</c:v>
                </c:pt>
                <c:pt idx="66">
                  <c:v>0.86899999999999988</c:v>
                </c:pt>
                <c:pt idx="67">
                  <c:v>0.90569999999999984</c:v>
                </c:pt>
                <c:pt idx="68">
                  <c:v>0.94389999999999985</c:v>
                </c:pt>
                <c:pt idx="69">
                  <c:v>0.98339999999999983</c:v>
                </c:pt>
                <c:pt idx="70">
                  <c:v>1.0214999999999999</c:v>
                </c:pt>
                <c:pt idx="71">
                  <c:v>1.0583999999999998</c:v>
                </c:pt>
                <c:pt idx="72">
                  <c:v>1.0955999999999997</c:v>
                </c:pt>
                <c:pt idx="73">
                  <c:v>1.1352999999999998</c:v>
                </c:pt>
                <c:pt idx="74">
                  <c:v>1.1770999999999998</c:v>
                </c:pt>
                <c:pt idx="75">
                  <c:v>1.2212999999999998</c:v>
                </c:pt>
                <c:pt idx="76">
                  <c:v>1.2677999999999998</c:v>
                </c:pt>
                <c:pt idx="77">
                  <c:v>1.3134999999999999</c:v>
                </c:pt>
                <c:pt idx="78">
                  <c:v>1.3593</c:v>
                </c:pt>
                <c:pt idx="79">
                  <c:v>1.4054</c:v>
                </c:pt>
                <c:pt idx="80">
                  <c:v>1.4533</c:v>
                </c:pt>
                <c:pt idx="81">
                  <c:v>1.5018</c:v>
                </c:pt>
                <c:pt idx="82">
                  <c:v>1.5523</c:v>
                </c:pt>
                <c:pt idx="83">
                  <c:v>1.6046</c:v>
                </c:pt>
                <c:pt idx="84">
                  <c:v>1.6591</c:v>
                </c:pt>
                <c:pt idx="85">
                  <c:v>1.7141</c:v>
                </c:pt>
                <c:pt idx="86">
                  <c:v>1.7709999999999999</c:v>
                </c:pt>
                <c:pt idx="87">
                  <c:v>1.8254999999999999</c:v>
                </c:pt>
                <c:pt idx="88">
                  <c:v>1.8783999999999998</c:v>
                </c:pt>
                <c:pt idx="89">
                  <c:v>1.9370999999999998</c:v>
                </c:pt>
                <c:pt idx="90">
                  <c:v>1.9954999999999998</c:v>
                </c:pt>
                <c:pt idx="91">
                  <c:v>2.0547</c:v>
                </c:pt>
                <c:pt idx="92">
                  <c:v>2.1139999999999999</c:v>
                </c:pt>
                <c:pt idx="93">
                  <c:v>2.1760999999999999</c:v>
                </c:pt>
                <c:pt idx="94">
                  <c:v>2.2366000000000001</c:v>
                </c:pt>
                <c:pt idx="95">
                  <c:v>2.2995000000000001</c:v>
                </c:pt>
                <c:pt idx="96">
                  <c:v>2.3633999999999999</c:v>
                </c:pt>
                <c:pt idx="97">
                  <c:v>2.4272</c:v>
                </c:pt>
                <c:pt idx="98">
                  <c:v>2.4927999999999999</c:v>
                </c:pt>
                <c:pt idx="99">
                  <c:v>2.5571999999999999</c:v>
                </c:pt>
                <c:pt idx="100">
                  <c:v>2.6013999999999999</c:v>
                </c:pt>
                <c:pt idx="101">
                  <c:v>2.6351</c:v>
                </c:pt>
                <c:pt idx="102">
                  <c:v>2.6732999999999998</c:v>
                </c:pt>
                <c:pt idx="103">
                  <c:v>2.7170999999999998</c:v>
                </c:pt>
                <c:pt idx="104">
                  <c:v>2.7572999999999999</c:v>
                </c:pt>
                <c:pt idx="105">
                  <c:v>2.7982</c:v>
                </c:pt>
                <c:pt idx="106">
                  <c:v>2.8456000000000001</c:v>
                </c:pt>
                <c:pt idx="107">
                  <c:v>2.8964000000000003</c:v>
                </c:pt>
                <c:pt idx="108">
                  <c:v>2.9495000000000005</c:v>
                </c:pt>
                <c:pt idx="109">
                  <c:v>3.0110000000000006</c:v>
                </c:pt>
                <c:pt idx="110">
                  <c:v>3.0794000000000006</c:v>
                </c:pt>
                <c:pt idx="111">
                  <c:v>3.1506000000000007</c:v>
                </c:pt>
                <c:pt idx="112">
                  <c:v>3.2283000000000008</c:v>
                </c:pt>
                <c:pt idx="113">
                  <c:v>3.3088000000000006</c:v>
                </c:pt>
                <c:pt idx="114">
                  <c:v>3.3888000000000007</c:v>
                </c:pt>
                <c:pt idx="115">
                  <c:v>3.4707000000000008</c:v>
                </c:pt>
                <c:pt idx="116">
                  <c:v>3.5532000000000008</c:v>
                </c:pt>
                <c:pt idx="117">
                  <c:v>3.6312000000000006</c:v>
                </c:pt>
                <c:pt idx="118">
                  <c:v>3.6999000000000004</c:v>
                </c:pt>
                <c:pt idx="119">
                  <c:v>3.7732000000000006</c:v>
                </c:pt>
                <c:pt idx="120">
                  <c:v>3.8483000000000005</c:v>
                </c:pt>
                <c:pt idx="121">
                  <c:v>3.9219000000000004</c:v>
                </c:pt>
                <c:pt idx="122">
                  <c:v>3.9960000000000004</c:v>
                </c:pt>
                <c:pt idx="123">
                  <c:v>4.0713000000000008</c:v>
                </c:pt>
                <c:pt idx="124">
                  <c:v>4.1485000000000012</c:v>
                </c:pt>
                <c:pt idx="125">
                  <c:v>4.2285000000000013</c:v>
                </c:pt>
                <c:pt idx="126">
                  <c:v>4.2950000000000017</c:v>
                </c:pt>
                <c:pt idx="127">
                  <c:v>4.3656000000000015</c:v>
                </c:pt>
                <c:pt idx="128">
                  <c:v>4.4345000000000017</c:v>
                </c:pt>
                <c:pt idx="129">
                  <c:v>4.5006000000000013</c:v>
                </c:pt>
                <c:pt idx="130">
                  <c:v>4.5407000000000011</c:v>
                </c:pt>
                <c:pt idx="131">
                  <c:v>4.5915000000000008</c:v>
                </c:pt>
                <c:pt idx="132">
                  <c:v>4.6637000000000004</c:v>
                </c:pt>
                <c:pt idx="133">
                  <c:v>4.7354000000000003</c:v>
                </c:pt>
                <c:pt idx="134">
                  <c:v>4.8071999999999999</c:v>
                </c:pt>
                <c:pt idx="135">
                  <c:v>4.8880999999999997</c:v>
                </c:pt>
                <c:pt idx="136">
                  <c:v>4.9678999999999993</c:v>
                </c:pt>
                <c:pt idx="137">
                  <c:v>5.0525999999999991</c:v>
                </c:pt>
                <c:pt idx="138">
                  <c:v>5.1403999999999987</c:v>
                </c:pt>
                <c:pt idx="139">
                  <c:v>5.2249999999999988</c:v>
                </c:pt>
                <c:pt idx="140">
                  <c:v>5.3104999999999984</c:v>
                </c:pt>
                <c:pt idx="141">
                  <c:v>5.3977999999999984</c:v>
                </c:pt>
                <c:pt idx="142">
                  <c:v>5.4846999999999984</c:v>
                </c:pt>
                <c:pt idx="143">
                  <c:v>5.5727999999999982</c:v>
                </c:pt>
                <c:pt idx="144">
                  <c:v>5.6598999999999986</c:v>
                </c:pt>
                <c:pt idx="145">
                  <c:v>5.7424999999999988</c:v>
                </c:pt>
                <c:pt idx="146">
                  <c:v>5.823199999999999</c:v>
                </c:pt>
                <c:pt idx="147">
                  <c:v>5.8999999999999995</c:v>
                </c:pt>
                <c:pt idx="148">
                  <c:v>5.976399999999999</c:v>
                </c:pt>
                <c:pt idx="149">
                  <c:v>6.0479999999999992</c:v>
                </c:pt>
                <c:pt idx="150">
                  <c:v>6.1245999999999992</c:v>
                </c:pt>
                <c:pt idx="151">
                  <c:v>6.1983999999999995</c:v>
                </c:pt>
                <c:pt idx="152">
                  <c:v>6.2687999999999997</c:v>
                </c:pt>
                <c:pt idx="153">
                  <c:v>6.3357999999999999</c:v>
                </c:pt>
                <c:pt idx="154">
                  <c:v>6.3956999999999997</c:v>
                </c:pt>
                <c:pt idx="155">
                  <c:v>6.4523999999999999</c:v>
                </c:pt>
                <c:pt idx="156">
                  <c:v>6.5038999999999998</c:v>
                </c:pt>
                <c:pt idx="157">
                  <c:v>6.5507</c:v>
                </c:pt>
                <c:pt idx="158">
                  <c:v>6.5938999999999997</c:v>
                </c:pt>
                <c:pt idx="159">
                  <c:v>6.6311</c:v>
                </c:pt>
                <c:pt idx="160">
                  <c:v>6.6649000000000003</c:v>
                </c:pt>
                <c:pt idx="161">
                  <c:v>6.6980000000000004</c:v>
                </c:pt>
                <c:pt idx="162">
                  <c:v>6.7303000000000006</c:v>
                </c:pt>
                <c:pt idx="163">
                  <c:v>6.7618000000000009</c:v>
                </c:pt>
                <c:pt idx="164">
                  <c:v>6.7908000000000008</c:v>
                </c:pt>
                <c:pt idx="165">
                  <c:v>6.8180000000000005</c:v>
                </c:pt>
                <c:pt idx="166">
                  <c:v>6.8450000000000006</c:v>
                </c:pt>
                <c:pt idx="167">
                  <c:v>6.8738300000000008</c:v>
                </c:pt>
                <c:pt idx="168">
                  <c:v>6.9021400000000011</c:v>
                </c:pt>
                <c:pt idx="169">
                  <c:v>6.929450000000001</c:v>
                </c:pt>
                <c:pt idx="170">
                  <c:v>6.9564100000000009</c:v>
                </c:pt>
                <c:pt idx="171">
                  <c:v>6.9815500000000013</c:v>
                </c:pt>
                <c:pt idx="172">
                  <c:v>7.0056300000000009</c:v>
                </c:pt>
                <c:pt idx="173">
                  <c:v>7.0267300000000006</c:v>
                </c:pt>
                <c:pt idx="174">
                  <c:v>7.0444600000000008</c:v>
                </c:pt>
                <c:pt idx="175">
                  <c:v>7.0608200000000005</c:v>
                </c:pt>
                <c:pt idx="176">
                  <c:v>7.0753700000000004</c:v>
                </c:pt>
                <c:pt idx="177">
                  <c:v>7.0903565249037497</c:v>
                </c:pt>
                <c:pt idx="178">
                  <c:v>7.1033658650667384</c:v>
                </c:pt>
                <c:pt idx="179">
                  <c:v>7.1153637682815756</c:v>
                </c:pt>
                <c:pt idx="180">
                  <c:v>7.1256195160741838</c:v>
                </c:pt>
                <c:pt idx="181">
                  <c:v>7.1351645453927164</c:v>
                </c:pt>
                <c:pt idx="182">
                  <c:v>7.1442588562371725</c:v>
                </c:pt>
                <c:pt idx="183">
                  <c:v>7.1520324486075531</c:v>
                </c:pt>
                <c:pt idx="184">
                  <c:v>7.1584146040297814</c:v>
                </c:pt>
                <c:pt idx="185">
                  <c:v>7.1644674779260855</c:v>
                </c:pt>
                <c:pt idx="186">
                  <c:v>7.1689303518223895</c:v>
                </c:pt>
                <c:pt idx="187">
                  <c:v>7.1718717887705417</c:v>
                </c:pt>
                <c:pt idx="188">
                  <c:v>7.1740732257186934</c:v>
                </c:pt>
                <c:pt idx="189">
                  <c:v>7.1764039441927698</c:v>
                </c:pt>
                <c:pt idx="190">
                  <c:v>7.1774553811409216</c:v>
                </c:pt>
                <c:pt idx="191">
                  <c:v>7.1781460996149979</c:v>
                </c:pt>
                <c:pt idx="192">
                  <c:v>7.1786460996149977</c:v>
                </c:pt>
                <c:pt idx="193">
                  <c:v>7.1790460996149976</c:v>
                </c:pt>
                <c:pt idx="194">
                  <c:v>7.1793460996149978</c:v>
                </c:pt>
                <c:pt idx="195">
                  <c:v>7.1795460996149982</c:v>
                </c:pt>
              </c:numCache>
            </c:numRef>
          </c:yVal>
          <c:smooth val="1"/>
          <c:extLst>
            <c:ext xmlns:c16="http://schemas.microsoft.com/office/drawing/2014/chart" uri="{C3380CC4-5D6E-409C-BE32-E72D297353CC}">
              <c16:uniqueId val="{00000001-A991-9940-9BFC-4AF86D2FF22E}"/>
            </c:ext>
          </c:extLst>
        </c:ser>
        <c:ser>
          <c:idx val="1"/>
          <c:order val="2"/>
          <c:tx>
            <c:strRef>
              <c:f>'France and Belgium'!$J$7</c:f>
              <c:strCache>
                <c:ptCount val="1"/>
                <c:pt idx="0">
                  <c:v>q l</c:v>
                </c:pt>
              </c:strCache>
            </c:strRef>
          </c:tx>
          <c:spPr>
            <a:ln w="15875">
              <a:solidFill>
                <a:srgbClr val="808080"/>
              </a:solidFill>
              <a:prstDash val="dash"/>
            </a:ln>
          </c:spPr>
          <c:marker>
            <c:symbol val="none"/>
          </c:marker>
          <c:xVal>
            <c:numRef>
              <c:f>'France and Belgium'!$D$9:$D$344</c:f>
              <c:numCache>
                <c:formatCode>General</c:formatCode>
                <c:ptCount val="336"/>
                <c:pt idx="0">
                  <c:v>1815</c:v>
                </c:pt>
                <c:pt idx="1">
                  <c:v>1816</c:v>
                </c:pt>
                <c:pt idx="2">
                  <c:v>1817</c:v>
                </c:pt>
                <c:pt idx="3">
                  <c:v>1818</c:v>
                </c:pt>
                <c:pt idx="4">
                  <c:v>1819</c:v>
                </c:pt>
                <c:pt idx="5">
                  <c:v>1820</c:v>
                </c:pt>
                <c:pt idx="6">
                  <c:v>1821</c:v>
                </c:pt>
                <c:pt idx="7">
                  <c:v>1822</c:v>
                </c:pt>
                <c:pt idx="8">
                  <c:v>1823</c:v>
                </c:pt>
                <c:pt idx="9">
                  <c:v>1824</c:v>
                </c:pt>
                <c:pt idx="10">
                  <c:v>1825</c:v>
                </c:pt>
                <c:pt idx="11">
                  <c:v>1826</c:v>
                </c:pt>
                <c:pt idx="12">
                  <c:v>1827</c:v>
                </c:pt>
                <c:pt idx="13">
                  <c:v>1828</c:v>
                </c:pt>
                <c:pt idx="14">
                  <c:v>1829</c:v>
                </c:pt>
                <c:pt idx="15">
                  <c:v>1830</c:v>
                </c:pt>
                <c:pt idx="16">
                  <c:v>1831</c:v>
                </c:pt>
                <c:pt idx="17">
                  <c:v>1832</c:v>
                </c:pt>
                <c:pt idx="18">
                  <c:v>1833</c:v>
                </c:pt>
                <c:pt idx="19">
                  <c:v>1834</c:v>
                </c:pt>
                <c:pt idx="20">
                  <c:v>1835</c:v>
                </c:pt>
                <c:pt idx="21">
                  <c:v>1836</c:v>
                </c:pt>
                <c:pt idx="22">
                  <c:v>1837</c:v>
                </c:pt>
                <c:pt idx="23">
                  <c:v>1838</c:v>
                </c:pt>
                <c:pt idx="24">
                  <c:v>1839</c:v>
                </c:pt>
                <c:pt idx="25">
                  <c:v>1840</c:v>
                </c:pt>
                <c:pt idx="26">
                  <c:v>1841</c:v>
                </c:pt>
                <c:pt idx="27">
                  <c:v>1842</c:v>
                </c:pt>
                <c:pt idx="28">
                  <c:v>1843</c:v>
                </c:pt>
                <c:pt idx="29">
                  <c:v>1844</c:v>
                </c:pt>
                <c:pt idx="30">
                  <c:v>1845</c:v>
                </c:pt>
                <c:pt idx="31">
                  <c:v>1846</c:v>
                </c:pt>
                <c:pt idx="32">
                  <c:v>1847</c:v>
                </c:pt>
                <c:pt idx="33">
                  <c:v>1848</c:v>
                </c:pt>
                <c:pt idx="34">
                  <c:v>1849</c:v>
                </c:pt>
                <c:pt idx="35">
                  <c:v>1850</c:v>
                </c:pt>
                <c:pt idx="36">
                  <c:v>1851</c:v>
                </c:pt>
                <c:pt idx="37">
                  <c:v>1852</c:v>
                </c:pt>
                <c:pt idx="38">
                  <c:v>1853</c:v>
                </c:pt>
                <c:pt idx="39">
                  <c:v>1854</c:v>
                </c:pt>
                <c:pt idx="40">
                  <c:v>1855</c:v>
                </c:pt>
                <c:pt idx="41">
                  <c:v>1856</c:v>
                </c:pt>
                <c:pt idx="42">
                  <c:v>1857</c:v>
                </c:pt>
                <c:pt idx="43">
                  <c:v>1858</c:v>
                </c:pt>
                <c:pt idx="44">
                  <c:v>1859</c:v>
                </c:pt>
                <c:pt idx="45">
                  <c:v>1860</c:v>
                </c:pt>
                <c:pt idx="46">
                  <c:v>1861</c:v>
                </c:pt>
                <c:pt idx="47">
                  <c:v>1862</c:v>
                </c:pt>
                <c:pt idx="48">
                  <c:v>1863</c:v>
                </c:pt>
                <c:pt idx="49">
                  <c:v>1864</c:v>
                </c:pt>
                <c:pt idx="50">
                  <c:v>1865</c:v>
                </c:pt>
                <c:pt idx="51">
                  <c:v>1866</c:v>
                </c:pt>
                <c:pt idx="52">
                  <c:v>1867</c:v>
                </c:pt>
                <c:pt idx="53">
                  <c:v>1868</c:v>
                </c:pt>
                <c:pt idx="54">
                  <c:v>1869</c:v>
                </c:pt>
                <c:pt idx="55">
                  <c:v>1870</c:v>
                </c:pt>
                <c:pt idx="56">
                  <c:v>1871</c:v>
                </c:pt>
                <c:pt idx="57">
                  <c:v>1872</c:v>
                </c:pt>
                <c:pt idx="58">
                  <c:v>1873</c:v>
                </c:pt>
                <c:pt idx="59">
                  <c:v>1874</c:v>
                </c:pt>
                <c:pt idx="60">
                  <c:v>1875</c:v>
                </c:pt>
                <c:pt idx="61">
                  <c:v>1876</c:v>
                </c:pt>
                <c:pt idx="62">
                  <c:v>1877</c:v>
                </c:pt>
                <c:pt idx="63">
                  <c:v>1878</c:v>
                </c:pt>
                <c:pt idx="64">
                  <c:v>1879</c:v>
                </c:pt>
                <c:pt idx="65">
                  <c:v>1880</c:v>
                </c:pt>
                <c:pt idx="66">
                  <c:v>1881</c:v>
                </c:pt>
                <c:pt idx="67">
                  <c:v>1882</c:v>
                </c:pt>
                <c:pt idx="68">
                  <c:v>1883</c:v>
                </c:pt>
                <c:pt idx="69">
                  <c:v>1884</c:v>
                </c:pt>
                <c:pt idx="70">
                  <c:v>1885</c:v>
                </c:pt>
                <c:pt idx="71">
                  <c:v>1886</c:v>
                </c:pt>
                <c:pt idx="72">
                  <c:v>1887</c:v>
                </c:pt>
                <c:pt idx="73">
                  <c:v>1888</c:v>
                </c:pt>
                <c:pt idx="74">
                  <c:v>1889</c:v>
                </c:pt>
                <c:pt idx="75">
                  <c:v>1890</c:v>
                </c:pt>
                <c:pt idx="76">
                  <c:v>1891</c:v>
                </c:pt>
                <c:pt idx="77">
                  <c:v>1892</c:v>
                </c:pt>
                <c:pt idx="78">
                  <c:v>1893</c:v>
                </c:pt>
                <c:pt idx="79">
                  <c:v>1894</c:v>
                </c:pt>
                <c:pt idx="80">
                  <c:v>1895</c:v>
                </c:pt>
                <c:pt idx="81">
                  <c:v>1896</c:v>
                </c:pt>
                <c:pt idx="82">
                  <c:v>1897</c:v>
                </c:pt>
                <c:pt idx="83">
                  <c:v>1898</c:v>
                </c:pt>
                <c:pt idx="84">
                  <c:v>1899</c:v>
                </c:pt>
                <c:pt idx="85">
                  <c:v>1900</c:v>
                </c:pt>
                <c:pt idx="86">
                  <c:v>1901</c:v>
                </c:pt>
                <c:pt idx="87">
                  <c:v>1902</c:v>
                </c:pt>
                <c:pt idx="88">
                  <c:v>1903</c:v>
                </c:pt>
                <c:pt idx="89">
                  <c:v>1904</c:v>
                </c:pt>
                <c:pt idx="90">
                  <c:v>1905</c:v>
                </c:pt>
                <c:pt idx="91">
                  <c:v>1906</c:v>
                </c:pt>
                <c:pt idx="92">
                  <c:v>1907</c:v>
                </c:pt>
                <c:pt idx="93">
                  <c:v>1908</c:v>
                </c:pt>
                <c:pt idx="94">
                  <c:v>1909</c:v>
                </c:pt>
                <c:pt idx="95">
                  <c:v>1910</c:v>
                </c:pt>
                <c:pt idx="96">
                  <c:v>1911</c:v>
                </c:pt>
                <c:pt idx="97">
                  <c:v>1912</c:v>
                </c:pt>
                <c:pt idx="98">
                  <c:v>1913</c:v>
                </c:pt>
                <c:pt idx="99">
                  <c:v>1914</c:v>
                </c:pt>
                <c:pt idx="100">
                  <c:v>1915</c:v>
                </c:pt>
                <c:pt idx="101">
                  <c:v>1916</c:v>
                </c:pt>
                <c:pt idx="102">
                  <c:v>1917</c:v>
                </c:pt>
                <c:pt idx="103">
                  <c:v>1918</c:v>
                </c:pt>
                <c:pt idx="104">
                  <c:v>1919</c:v>
                </c:pt>
                <c:pt idx="105">
                  <c:v>1920</c:v>
                </c:pt>
                <c:pt idx="106">
                  <c:v>1921</c:v>
                </c:pt>
                <c:pt idx="107">
                  <c:v>1922</c:v>
                </c:pt>
                <c:pt idx="108">
                  <c:v>1923</c:v>
                </c:pt>
                <c:pt idx="109">
                  <c:v>1924</c:v>
                </c:pt>
                <c:pt idx="110">
                  <c:v>1925</c:v>
                </c:pt>
                <c:pt idx="111">
                  <c:v>1926</c:v>
                </c:pt>
                <c:pt idx="112">
                  <c:v>1927</c:v>
                </c:pt>
                <c:pt idx="113">
                  <c:v>1928</c:v>
                </c:pt>
                <c:pt idx="114">
                  <c:v>1929</c:v>
                </c:pt>
                <c:pt idx="115">
                  <c:v>1930</c:v>
                </c:pt>
                <c:pt idx="116">
                  <c:v>1931</c:v>
                </c:pt>
                <c:pt idx="117">
                  <c:v>1932</c:v>
                </c:pt>
                <c:pt idx="118">
                  <c:v>1933</c:v>
                </c:pt>
                <c:pt idx="119">
                  <c:v>1934</c:v>
                </c:pt>
                <c:pt idx="120">
                  <c:v>1935</c:v>
                </c:pt>
                <c:pt idx="121">
                  <c:v>1936</c:v>
                </c:pt>
                <c:pt idx="122">
                  <c:v>1937</c:v>
                </c:pt>
                <c:pt idx="123">
                  <c:v>1938</c:v>
                </c:pt>
                <c:pt idx="124">
                  <c:v>1939</c:v>
                </c:pt>
                <c:pt idx="125">
                  <c:v>1940</c:v>
                </c:pt>
                <c:pt idx="126">
                  <c:v>1941</c:v>
                </c:pt>
                <c:pt idx="127">
                  <c:v>1942</c:v>
                </c:pt>
                <c:pt idx="128">
                  <c:v>1943</c:v>
                </c:pt>
                <c:pt idx="129">
                  <c:v>1944</c:v>
                </c:pt>
                <c:pt idx="130">
                  <c:v>1945</c:v>
                </c:pt>
                <c:pt idx="131">
                  <c:v>1946</c:v>
                </c:pt>
                <c:pt idx="132">
                  <c:v>1947</c:v>
                </c:pt>
                <c:pt idx="133">
                  <c:v>1948</c:v>
                </c:pt>
                <c:pt idx="134">
                  <c:v>1949</c:v>
                </c:pt>
                <c:pt idx="135">
                  <c:v>1950</c:v>
                </c:pt>
                <c:pt idx="136">
                  <c:v>1951</c:v>
                </c:pt>
                <c:pt idx="137">
                  <c:v>1952</c:v>
                </c:pt>
                <c:pt idx="138">
                  <c:v>1953</c:v>
                </c:pt>
                <c:pt idx="139">
                  <c:v>1954</c:v>
                </c:pt>
                <c:pt idx="140">
                  <c:v>1955</c:v>
                </c:pt>
                <c:pt idx="141">
                  <c:v>1956</c:v>
                </c:pt>
                <c:pt idx="142">
                  <c:v>1957</c:v>
                </c:pt>
                <c:pt idx="143">
                  <c:v>1958</c:v>
                </c:pt>
                <c:pt idx="144">
                  <c:v>1959</c:v>
                </c:pt>
                <c:pt idx="145">
                  <c:v>1960</c:v>
                </c:pt>
                <c:pt idx="146">
                  <c:v>1961</c:v>
                </c:pt>
                <c:pt idx="147">
                  <c:v>1962</c:v>
                </c:pt>
                <c:pt idx="148">
                  <c:v>1963</c:v>
                </c:pt>
                <c:pt idx="149">
                  <c:v>1964</c:v>
                </c:pt>
                <c:pt idx="150">
                  <c:v>1965</c:v>
                </c:pt>
                <c:pt idx="151">
                  <c:v>1966</c:v>
                </c:pt>
                <c:pt idx="152">
                  <c:v>1967</c:v>
                </c:pt>
                <c:pt idx="153">
                  <c:v>1968</c:v>
                </c:pt>
                <c:pt idx="154">
                  <c:v>1969</c:v>
                </c:pt>
                <c:pt idx="155">
                  <c:v>1970</c:v>
                </c:pt>
                <c:pt idx="156">
                  <c:v>1971</c:v>
                </c:pt>
                <c:pt idx="157">
                  <c:v>1972</c:v>
                </c:pt>
                <c:pt idx="158">
                  <c:v>1973</c:v>
                </c:pt>
                <c:pt idx="159">
                  <c:v>1974</c:v>
                </c:pt>
                <c:pt idx="160">
                  <c:v>1975</c:v>
                </c:pt>
                <c:pt idx="161">
                  <c:v>1976</c:v>
                </c:pt>
                <c:pt idx="162">
                  <c:v>1977</c:v>
                </c:pt>
                <c:pt idx="163">
                  <c:v>1978</c:v>
                </c:pt>
                <c:pt idx="164">
                  <c:v>1979</c:v>
                </c:pt>
                <c:pt idx="165">
                  <c:v>1980</c:v>
                </c:pt>
                <c:pt idx="166">
                  <c:v>1981</c:v>
                </c:pt>
                <c:pt idx="167">
                  <c:v>1982</c:v>
                </c:pt>
                <c:pt idx="168">
                  <c:v>1983</c:v>
                </c:pt>
                <c:pt idx="169">
                  <c:v>1984</c:v>
                </c:pt>
                <c:pt idx="170">
                  <c:v>1985</c:v>
                </c:pt>
                <c:pt idx="171">
                  <c:v>1986</c:v>
                </c:pt>
                <c:pt idx="172">
                  <c:v>1987</c:v>
                </c:pt>
                <c:pt idx="173">
                  <c:v>1988</c:v>
                </c:pt>
                <c:pt idx="174">
                  <c:v>1989</c:v>
                </c:pt>
                <c:pt idx="175">
                  <c:v>1990</c:v>
                </c:pt>
                <c:pt idx="176">
                  <c:v>1991</c:v>
                </c:pt>
                <c:pt idx="177">
                  <c:v>1992</c:v>
                </c:pt>
                <c:pt idx="178">
                  <c:v>1993</c:v>
                </c:pt>
                <c:pt idx="179">
                  <c:v>1994</c:v>
                </c:pt>
                <c:pt idx="180">
                  <c:v>1995</c:v>
                </c:pt>
                <c:pt idx="181">
                  <c:v>1996</c:v>
                </c:pt>
                <c:pt idx="182">
                  <c:v>1997</c:v>
                </c:pt>
                <c:pt idx="183">
                  <c:v>1998</c:v>
                </c:pt>
                <c:pt idx="184">
                  <c:v>1999</c:v>
                </c:pt>
                <c:pt idx="185">
                  <c:v>2000</c:v>
                </c:pt>
                <c:pt idx="186">
                  <c:v>2001</c:v>
                </c:pt>
                <c:pt idx="187">
                  <c:v>2002</c:v>
                </c:pt>
                <c:pt idx="188">
                  <c:v>2003</c:v>
                </c:pt>
                <c:pt idx="189">
                  <c:v>2004</c:v>
                </c:pt>
                <c:pt idx="190">
                  <c:v>2005</c:v>
                </c:pt>
                <c:pt idx="191">
                  <c:v>2006</c:v>
                </c:pt>
                <c:pt idx="192">
                  <c:v>2007</c:v>
                </c:pt>
                <c:pt idx="193">
                  <c:v>2008</c:v>
                </c:pt>
                <c:pt idx="194">
                  <c:v>2009</c:v>
                </c:pt>
                <c:pt idx="195">
                  <c:v>2010</c:v>
                </c:pt>
                <c:pt idx="196">
                  <c:v>2011</c:v>
                </c:pt>
                <c:pt idx="197">
                  <c:v>2012</c:v>
                </c:pt>
                <c:pt idx="198">
                  <c:v>2013</c:v>
                </c:pt>
                <c:pt idx="199">
                  <c:v>2014</c:v>
                </c:pt>
                <c:pt idx="200">
                  <c:v>2015</c:v>
                </c:pt>
                <c:pt idx="201">
                  <c:v>2016</c:v>
                </c:pt>
                <c:pt idx="202">
                  <c:v>2017</c:v>
                </c:pt>
                <c:pt idx="203">
                  <c:v>2018</c:v>
                </c:pt>
                <c:pt idx="204">
                  <c:v>2019</c:v>
                </c:pt>
                <c:pt idx="205">
                  <c:v>2020</c:v>
                </c:pt>
                <c:pt idx="206">
                  <c:v>2021</c:v>
                </c:pt>
                <c:pt idx="207">
                  <c:v>2022</c:v>
                </c:pt>
                <c:pt idx="208">
                  <c:v>2023</c:v>
                </c:pt>
                <c:pt idx="209">
                  <c:v>2024</c:v>
                </c:pt>
                <c:pt idx="210">
                  <c:v>2025</c:v>
                </c:pt>
                <c:pt idx="211">
                  <c:v>2026</c:v>
                </c:pt>
                <c:pt idx="212">
                  <c:v>2027</c:v>
                </c:pt>
                <c:pt idx="213">
                  <c:v>2028</c:v>
                </c:pt>
                <c:pt idx="214">
                  <c:v>2029</c:v>
                </c:pt>
                <c:pt idx="215">
                  <c:v>2030</c:v>
                </c:pt>
                <c:pt idx="216">
                  <c:v>2031</c:v>
                </c:pt>
                <c:pt idx="217">
                  <c:v>2032</c:v>
                </c:pt>
                <c:pt idx="218">
                  <c:v>2033</c:v>
                </c:pt>
                <c:pt idx="219">
                  <c:v>2034</c:v>
                </c:pt>
                <c:pt idx="220">
                  <c:v>2035</c:v>
                </c:pt>
                <c:pt idx="221">
                  <c:v>2036</c:v>
                </c:pt>
                <c:pt idx="222">
                  <c:v>2037</c:v>
                </c:pt>
                <c:pt idx="223">
                  <c:v>2038</c:v>
                </c:pt>
                <c:pt idx="224">
                  <c:v>2039</c:v>
                </c:pt>
                <c:pt idx="225">
                  <c:v>2040</c:v>
                </c:pt>
                <c:pt idx="226">
                  <c:v>2041</c:v>
                </c:pt>
                <c:pt idx="227">
                  <c:v>2042</c:v>
                </c:pt>
                <c:pt idx="228">
                  <c:v>2043</c:v>
                </c:pt>
                <c:pt idx="229">
                  <c:v>2044</c:v>
                </c:pt>
                <c:pt idx="230">
                  <c:v>2045</c:v>
                </c:pt>
                <c:pt idx="231">
                  <c:v>2046</c:v>
                </c:pt>
                <c:pt idx="232">
                  <c:v>2047</c:v>
                </c:pt>
                <c:pt idx="233">
                  <c:v>2048</c:v>
                </c:pt>
                <c:pt idx="234">
                  <c:v>2049</c:v>
                </c:pt>
                <c:pt idx="235">
                  <c:v>2050</c:v>
                </c:pt>
                <c:pt idx="236">
                  <c:v>2051</c:v>
                </c:pt>
                <c:pt idx="237">
                  <c:v>2052</c:v>
                </c:pt>
                <c:pt idx="238">
                  <c:v>2053</c:v>
                </c:pt>
                <c:pt idx="239">
                  <c:v>2054</c:v>
                </c:pt>
                <c:pt idx="240">
                  <c:v>2055</c:v>
                </c:pt>
                <c:pt idx="241">
                  <c:v>2056</c:v>
                </c:pt>
                <c:pt idx="242">
                  <c:v>2057</c:v>
                </c:pt>
                <c:pt idx="243">
                  <c:v>2058</c:v>
                </c:pt>
                <c:pt idx="244">
                  <c:v>2059</c:v>
                </c:pt>
                <c:pt idx="245">
                  <c:v>2060</c:v>
                </c:pt>
                <c:pt idx="246">
                  <c:v>2061</c:v>
                </c:pt>
                <c:pt idx="247">
                  <c:v>2062</c:v>
                </c:pt>
                <c:pt idx="248">
                  <c:v>2063</c:v>
                </c:pt>
                <c:pt idx="249">
                  <c:v>2064</c:v>
                </c:pt>
                <c:pt idx="250">
                  <c:v>2065</c:v>
                </c:pt>
                <c:pt idx="251">
                  <c:v>2066</c:v>
                </c:pt>
                <c:pt idx="252">
                  <c:v>2067</c:v>
                </c:pt>
                <c:pt idx="253">
                  <c:v>2068</c:v>
                </c:pt>
                <c:pt idx="254">
                  <c:v>2069</c:v>
                </c:pt>
                <c:pt idx="255">
                  <c:v>2070</c:v>
                </c:pt>
                <c:pt idx="256">
                  <c:v>2071</c:v>
                </c:pt>
                <c:pt idx="257">
                  <c:v>2072</c:v>
                </c:pt>
                <c:pt idx="258">
                  <c:v>2073</c:v>
                </c:pt>
                <c:pt idx="259">
                  <c:v>2074</c:v>
                </c:pt>
                <c:pt idx="260">
                  <c:v>2075</c:v>
                </c:pt>
                <c:pt idx="261">
                  <c:v>2076</c:v>
                </c:pt>
                <c:pt idx="262">
                  <c:v>2077</c:v>
                </c:pt>
                <c:pt idx="263">
                  <c:v>2078</c:v>
                </c:pt>
                <c:pt idx="264">
                  <c:v>2079</c:v>
                </c:pt>
                <c:pt idx="265">
                  <c:v>2080</c:v>
                </c:pt>
                <c:pt idx="266">
                  <c:v>2081</c:v>
                </c:pt>
                <c:pt idx="267">
                  <c:v>2082</c:v>
                </c:pt>
                <c:pt idx="268">
                  <c:v>2083</c:v>
                </c:pt>
                <c:pt idx="269">
                  <c:v>2084</c:v>
                </c:pt>
                <c:pt idx="270">
                  <c:v>2085</c:v>
                </c:pt>
                <c:pt idx="271">
                  <c:v>2086</c:v>
                </c:pt>
                <c:pt idx="272">
                  <c:v>2087</c:v>
                </c:pt>
                <c:pt idx="273">
                  <c:v>2088</c:v>
                </c:pt>
                <c:pt idx="274">
                  <c:v>2089</c:v>
                </c:pt>
                <c:pt idx="275">
                  <c:v>2090</c:v>
                </c:pt>
                <c:pt idx="276">
                  <c:v>2091</c:v>
                </c:pt>
                <c:pt idx="277">
                  <c:v>2092</c:v>
                </c:pt>
                <c:pt idx="278">
                  <c:v>2093</c:v>
                </c:pt>
                <c:pt idx="279">
                  <c:v>2094</c:v>
                </c:pt>
                <c:pt idx="280">
                  <c:v>2095</c:v>
                </c:pt>
                <c:pt idx="281">
                  <c:v>2096</c:v>
                </c:pt>
                <c:pt idx="282">
                  <c:v>2097</c:v>
                </c:pt>
                <c:pt idx="283">
                  <c:v>2098</c:v>
                </c:pt>
                <c:pt idx="284">
                  <c:v>2099</c:v>
                </c:pt>
                <c:pt idx="285">
                  <c:v>2100</c:v>
                </c:pt>
                <c:pt idx="286">
                  <c:v>2101</c:v>
                </c:pt>
                <c:pt idx="287">
                  <c:v>2102</c:v>
                </c:pt>
                <c:pt idx="288">
                  <c:v>2103</c:v>
                </c:pt>
                <c:pt idx="289">
                  <c:v>2104</c:v>
                </c:pt>
                <c:pt idx="290">
                  <c:v>2105</c:v>
                </c:pt>
                <c:pt idx="291">
                  <c:v>2106</c:v>
                </c:pt>
                <c:pt idx="292">
                  <c:v>2107</c:v>
                </c:pt>
                <c:pt idx="293">
                  <c:v>2108</c:v>
                </c:pt>
                <c:pt idx="294">
                  <c:v>2109</c:v>
                </c:pt>
                <c:pt idx="295">
                  <c:v>2110</c:v>
                </c:pt>
                <c:pt idx="296">
                  <c:v>2111</c:v>
                </c:pt>
                <c:pt idx="297">
                  <c:v>2112</c:v>
                </c:pt>
                <c:pt idx="298">
                  <c:v>2113</c:v>
                </c:pt>
                <c:pt idx="299">
                  <c:v>2114</c:v>
                </c:pt>
                <c:pt idx="300">
                  <c:v>2115</c:v>
                </c:pt>
                <c:pt idx="301">
                  <c:v>2116</c:v>
                </c:pt>
                <c:pt idx="302">
                  <c:v>2117</c:v>
                </c:pt>
                <c:pt idx="303">
                  <c:v>2118</c:v>
                </c:pt>
                <c:pt idx="304">
                  <c:v>2119</c:v>
                </c:pt>
                <c:pt idx="305">
                  <c:v>2120</c:v>
                </c:pt>
                <c:pt idx="306">
                  <c:v>2121</c:v>
                </c:pt>
                <c:pt idx="307">
                  <c:v>2122</c:v>
                </c:pt>
                <c:pt idx="308">
                  <c:v>2123</c:v>
                </c:pt>
                <c:pt idx="309">
                  <c:v>2124</c:v>
                </c:pt>
                <c:pt idx="310">
                  <c:v>2125</c:v>
                </c:pt>
                <c:pt idx="311">
                  <c:v>2126</c:v>
                </c:pt>
                <c:pt idx="312">
                  <c:v>2127</c:v>
                </c:pt>
                <c:pt idx="313">
                  <c:v>2128</c:v>
                </c:pt>
                <c:pt idx="314">
                  <c:v>2129</c:v>
                </c:pt>
                <c:pt idx="315">
                  <c:v>2130</c:v>
                </c:pt>
                <c:pt idx="316">
                  <c:v>2131</c:v>
                </c:pt>
                <c:pt idx="317">
                  <c:v>2132</c:v>
                </c:pt>
                <c:pt idx="318">
                  <c:v>2133</c:v>
                </c:pt>
                <c:pt idx="319">
                  <c:v>2134</c:v>
                </c:pt>
                <c:pt idx="320">
                  <c:v>2135</c:v>
                </c:pt>
                <c:pt idx="321">
                  <c:v>2136</c:v>
                </c:pt>
                <c:pt idx="322">
                  <c:v>2137</c:v>
                </c:pt>
                <c:pt idx="323">
                  <c:v>2138</c:v>
                </c:pt>
                <c:pt idx="324">
                  <c:v>2139</c:v>
                </c:pt>
                <c:pt idx="325">
                  <c:v>2140</c:v>
                </c:pt>
                <c:pt idx="326">
                  <c:v>2141</c:v>
                </c:pt>
                <c:pt idx="327">
                  <c:v>2142</c:v>
                </c:pt>
                <c:pt idx="328">
                  <c:v>2143</c:v>
                </c:pt>
                <c:pt idx="329">
                  <c:v>2144</c:v>
                </c:pt>
                <c:pt idx="330">
                  <c:v>2145</c:v>
                </c:pt>
                <c:pt idx="331">
                  <c:v>2146</c:v>
                </c:pt>
                <c:pt idx="332">
                  <c:v>2147</c:v>
                </c:pt>
                <c:pt idx="333">
                  <c:v>2148</c:v>
                </c:pt>
                <c:pt idx="334">
                  <c:v>2149</c:v>
                </c:pt>
                <c:pt idx="335">
                  <c:v>2150</c:v>
                </c:pt>
              </c:numCache>
            </c:numRef>
          </c:xVal>
          <c:yVal>
            <c:numRef>
              <c:f>'France and Belgium'!$J$9:$J$344</c:f>
              <c:numCache>
                <c:formatCode>0.0</c:formatCode>
                <c:ptCount val="336"/>
                <c:pt idx="58">
                  <c:v>0.66204646641972287</c:v>
                </c:pt>
                <c:pt idx="59">
                  <c:v>0.68703551628744264</c:v>
                </c:pt>
                <c:pt idx="60">
                  <c:v>0.7128711944120959</c:v>
                </c:pt>
                <c:pt idx="61">
                  <c:v>0.73957482576415701</c:v>
                </c:pt>
                <c:pt idx="62">
                  <c:v>0.76716771007999407</c:v>
                </c:pt>
                <c:pt idx="63">
                  <c:v>0.79567107125616932</c:v>
                </c:pt>
                <c:pt idx="64">
                  <c:v>0.82510600312284987</c:v>
                </c:pt>
                <c:pt idx="65">
                  <c:v>0.8554934115401065</c:v>
                </c:pt>
                <c:pt idx="66">
                  <c:v>0.88685395277951451</c:v>
                </c:pt>
                <c:pt idx="67">
                  <c:v>0.91920796817457251</c:v>
                </c:pt>
                <c:pt idx="68">
                  <c:v>0.95257541504711563</c:v>
                </c:pt>
                <c:pt idx="69">
                  <c:v>0.98697579394315993</c:v>
                </c:pt>
                <c:pt idx="70">
                  <c:v>1.0224280722405401</c:v>
                </c:pt>
                <c:pt idx="71">
                  <c:v>1.058950604222286</c:v>
                </c:pt>
                <c:pt idx="72">
                  <c:v>1.0965610477438728</c:v>
                </c:pt>
                <c:pt idx="73">
                  <c:v>1.1352762776592511</c:v>
                </c:pt>
                <c:pt idx="74">
                  <c:v>1.1751122962097507</c:v>
                </c:pt>
                <c:pt idx="75">
                  <c:v>1.2160841406214054</c:v>
                </c:pt>
                <c:pt idx="76">
                  <c:v>1.2582057881997539</c:v>
                </c:pt>
                <c:pt idx="77">
                  <c:v>1.3014900592564338</c:v>
                </c:pt>
                <c:pt idx="78">
                  <c:v>1.3459485182485431</c:v>
                </c:pt>
                <c:pt idx="79">
                  <c:v>1.3915913735594301</c:v>
                </c:pt>
                <c:pt idx="80">
                  <c:v>1.4384273763977615</c:v>
                </c:pt>
                <c:pt idx="81">
                  <c:v>1.4864637193398846</c:v>
                </c:pt>
                <c:pt idx="82">
                  <c:v>1.5357059350880422</c:v>
                </c:pt>
                <c:pt idx="83">
                  <c:v>1.5861577960632256</c:v>
                </c:pt>
                <c:pt idx="84">
                  <c:v>1.6378212154956342</c:v>
                </c:pt>
                <c:pt idx="85">
                  <c:v>1.6906961507170664</c:v>
                </c:pt>
                <c:pt idx="86">
                  <c:v>1.7447805093972719</c:v>
                </c:pt>
                <c:pt idx="87">
                  <c:v>1.8000700594994705</c:v>
                </c:pt>
                <c:pt idx="88">
                  <c:v>1.8565583437580215</c:v>
                </c:pt>
                <c:pt idx="89">
                  <c:v>1.9142365995027104</c:v>
                </c:pt>
                <c:pt idx="90">
                  <c:v>1.9730936846684495</c:v>
                </c:pt>
                <c:pt idx="91">
                  <c:v>2.0331160108354882</c:v>
                </c:pt>
                <c:pt idx="92">
                  <c:v>2.0942874841427352</c:v>
                </c:pt>
                <c:pt idx="93">
                  <c:v>2.1565894549047631</c:v>
                </c:pt>
                <c:pt idx="94">
                  <c:v>2.220000676740908</c:v>
                </c:pt>
                <c:pt idx="95">
                  <c:v>2.2844972759920075</c:v>
                </c:pt>
                <c:pt idx="96">
                  <c:v>2.3500527321564744</c:v>
                </c:pt>
                <c:pt idx="97">
                  <c:v>2.4166378700222753</c:v>
                </c:pt>
                <c:pt idx="98">
                  <c:v>2.4842208641050139</c:v>
                </c:pt>
                <c:pt idx="99">
                  <c:v>2.552767255924822</c:v>
                </c:pt>
                <c:pt idx="100">
                  <c:v>2.6222399845665616</c:v>
                </c:pt>
                <c:pt idx="101">
                  <c:v>2.6925994308694854</c:v>
                </c:pt>
                <c:pt idx="102">
                  <c:v>2.7638034754848371</c:v>
                </c:pt>
                <c:pt idx="103">
                  <c:v>2.8358075709239166</c:v>
                </c:pt>
                <c:pt idx="104">
                  <c:v>2.9085648275961491</c:v>
                </c:pt>
                <c:pt idx="105">
                  <c:v>2.9820261137081063</c:v>
                </c:pt>
                <c:pt idx="106">
                  <c:v>3.056140168761917</c:v>
                </c:pt>
                <c:pt idx="107">
                  <c:v>3.130853730256776</c:v>
                </c:pt>
                <c:pt idx="108">
                  <c:v>3.2061116730623409</c:v>
                </c:pt>
                <c:pt idx="109">
                  <c:v>3.2818571607995835</c:v>
                </c:pt>
                <c:pt idx="110">
                  <c:v>3.3580318084353218</c:v>
                </c:pt>
                <c:pt idx="111">
                  <c:v>3.4345758551731249</c:v>
                </c:pt>
                <c:pt idx="112">
                  <c:v>3.5114283466077394</c:v>
                </c:pt>
                <c:pt idx="113">
                  <c:v>3.588527325004446</c:v>
                </c:pt>
                <c:pt idx="114">
                  <c:v>3.6658100264707127</c:v>
                </c:pt>
                <c:pt idx="115">
                  <c:v>3.7432130837068138</c:v>
                </c:pt>
                <c:pt idx="116">
                  <c:v>3.8206727329561145</c:v>
                </c:pt>
                <c:pt idx="117">
                  <c:v>3.8981250237257195</c:v>
                </c:pt>
                <c:pt idx="118">
                  <c:v>3.9755060298150267</c:v>
                </c:pt>
                <c:pt idx="119">
                  <c:v>4.0527520601740283</c:v>
                </c:pt>
                <c:pt idx="120">
                  <c:v>4.1297998681152421</c:v>
                </c:pt>
                <c:pt idx="121">
                  <c:v>4.2065868574229208</c:v>
                </c:pt>
                <c:pt idx="122">
                  <c:v>4.2830512839402681</c:v>
                </c:pt>
                <c:pt idx="123">
                  <c:v>4.3591324512691703</c:v>
                </c:pt>
                <c:pt idx="124">
                  <c:v>4.4347708992864066</c:v>
                </c:pt>
                <c:pt idx="125">
                  <c:v>4.5099085842642328</c:v>
                </c:pt>
                <c:pt idx="126">
                  <c:v>4.5844890494800836</c:v>
                </c:pt>
                <c:pt idx="127">
                  <c:v>4.6584575853083274</c:v>
                </c:pt>
                <c:pt idx="128">
                  <c:v>4.7317613779045562</c:v>
                </c:pt>
                <c:pt idx="129">
                  <c:v>4.8043496457179371</c:v>
                </c:pt>
                <c:pt idx="130">
                  <c:v>4.8761737631975874</c:v>
                </c:pt>
                <c:pt idx="131">
                  <c:v>4.9471873711927099</c:v>
                </c:pt>
                <c:pt idx="132">
                  <c:v>5.0173464736812861</c:v>
                </c:pt>
                <c:pt idx="133">
                  <c:v>5.0866095205965092</c:v>
                </c:pt>
                <c:pt idx="134">
                  <c:v>5.1549374766519032</c:v>
                </c:pt>
                <c:pt idx="135">
                  <c:v>5.2222938761934907</c:v>
                </c:pt>
                <c:pt idx="136">
                  <c:v>5.2886448642289139</c:v>
                </c:pt>
                <c:pt idx="137">
                  <c:v>5.3539592238974985</c:v>
                </c:pt>
                <c:pt idx="138">
                  <c:v>5.4182083907509178</c:v>
                </c:pt>
                <c:pt idx="139">
                  <c:v>5.4813664543101588</c:v>
                </c:pt>
                <c:pt idx="140">
                  <c:v>5.5434101474502988</c:v>
                </c:pt>
                <c:pt idx="141">
                  <c:v>5.6043188242395363</c:v>
                </c:pt>
                <c:pt idx="142">
                  <c:v>5.6640744269227534</c:v>
                </c:pt>
                <c:pt idx="143">
                  <c:v>5.7226614427923543</c:v>
                </c:pt>
                <c:pt idx="144">
                  <c:v>5.7800668517304734</c:v>
                </c:pt>
                <c:pt idx="145">
                  <c:v>5.8362800652369833</c:v>
                </c:pt>
                <c:pt idx="146">
                  <c:v>5.8912928577775139</c:v>
                </c:pt>
                <c:pt idx="147">
                  <c:v>5.9450992912954783</c:v>
                </c:pt>
                <c:pt idx="148">
                  <c:v>5.9976956337325245</c:v>
                </c:pt>
                <c:pt idx="149">
                  <c:v>6.0490802723935566</c:v>
                </c:pt>
                <c:pt idx="150">
                  <c:v>6.0992536229764838</c:v>
                </c:pt>
                <c:pt idx="151">
                  <c:v>6.1482180350637998</c:v>
                </c:pt>
                <c:pt idx="152">
                  <c:v>6.1959776948440251</c:v>
                </c:pt>
                <c:pt idx="153">
                  <c:v>6.242538525796717</c:v>
                </c:pt>
                <c:pt idx="154">
                  <c:v>6.2879080880361728</c:v>
                </c:pt>
                <c:pt idx="155">
                  <c:v>6.3320954769668392</c:v>
                </c:pt>
                <c:pt idx="156">
                  <c:v>6.3751112218587371</c:v>
                </c:pt>
                <c:pt idx="157">
                  <c:v>6.4169671849046113</c:v>
                </c:pt>
                <c:pt idx="158">
                  <c:v>6.4576764612727686</c:v>
                </c:pt>
                <c:pt idx="159">
                  <c:v>6.4972532806213774</c:v>
                </c:pt>
                <c:pt idx="160">
                  <c:v>6.5357129104918004</c:v>
                </c:pt>
                <c:pt idx="161">
                  <c:v>6.5730715619511608</c:v>
                </c:pt>
                <c:pt idx="162">
                  <c:v>6.6093462978078596</c:v>
                </c:pt>
                <c:pt idx="163">
                  <c:v>6.6445549436789477</c:v>
                </c:pt>
                <c:pt idx="164">
                  <c:v>6.6787160021451646</c:v>
                </c:pt>
                <c:pt idx="165">
                  <c:v>6.7118485701885202</c:v>
                </c:pt>
                <c:pt idx="166">
                  <c:v>6.7439722600686434</c:v>
                </c:pt>
                <c:pt idx="167">
                  <c:v>6.7751071237579321</c:v>
                </c:pt>
                <c:pt idx="168">
                  <c:v>6.8052735810219742</c:v>
                </c:pt>
                <c:pt idx="169">
                  <c:v>6.8344923512006641</c:v>
                </c:pt>
                <c:pt idx="170">
                  <c:v>6.8627843887172366</c:v>
                </c:pt>
                <c:pt idx="171">
                  <c:v>6.8901708223166764</c:v>
                </c:pt>
                <c:pt idx="172">
                  <c:v>6.9166728980119565</c:v>
                </c:pt>
                <c:pt idx="173">
                  <c:v>6.9423119256960231</c:v>
                </c:pt>
                <c:pt idx="174">
                  <c:v>6.9671092293593446</c:v>
                </c:pt>
                <c:pt idx="175">
                  <c:v>6.991086100837121</c:v>
                </c:pt>
                <c:pt idx="176">
                  <c:v>7.0142637569966713</c:v>
                </c:pt>
                <c:pt idx="177">
                  <c:v>7.0366633002641343</c:v>
                </c:pt>
                <c:pt idx="178">
                  <c:v>7.0583056823800474</c:v>
                </c:pt>
                <c:pt idx="179">
                  <c:v>7.0792116712657238</c:v>
                </c:pt>
                <c:pt idx="180">
                  <c:v>7.0994018208762952</c:v>
                </c:pt>
                <c:pt idx="181">
                  <c:v>7.118896443911769</c:v>
                </c:pt>
                <c:pt idx="182">
                  <c:v>7.1377155872543412</c:v>
                </c:pt>
                <c:pt idx="183">
                  <c:v>7.1558790099982721</c:v>
                </c:pt>
                <c:pt idx="184">
                  <c:v>7.1734061639379307</c:v>
                </c:pt>
                <c:pt idx="185">
                  <c:v>7.1903161763797181</c:v>
                </c:pt>
                <c:pt idx="186">
                  <c:v>7.2066278351447579</c:v>
                </c:pt>
                <c:pt idx="187">
                  <c:v>7.2223595756309837</c:v>
                </c:pt>
                <c:pt idx="188">
                  <c:v>7.2375294698057981</c:v>
                </c:pt>
                <c:pt idx="189">
                  <c:v>7.2521552170034393</c:v>
                </c:pt>
                <c:pt idx="190">
                  <c:v>7.2662541364047284</c:v>
                </c:pt>
                <c:pt idx="191">
                  <c:v>7.2798431610807102</c:v>
                </c:pt>
                <c:pt idx="192">
                  <c:v>7.2929388334858585</c:v>
                </c:pt>
                <c:pt idx="193">
                  <c:v>7.305557302290933</c:v>
                </c:pt>
                <c:pt idx="194">
                  <c:v>7.3177143204501656</c:v>
                </c:pt>
                <c:pt idx="195">
                  <c:v>7.3294252444020689</c:v>
                </c:pt>
                <c:pt idx="196">
                  <c:v>7.3407050343080487</c:v>
                </c:pt>
                <c:pt idx="197">
                  <c:v>7.3515682552376527</c:v>
                </c:pt>
                <c:pt idx="198">
                  <c:v>7.3620290792141851</c:v>
                </c:pt>
                <c:pt idx="199">
                  <c:v>7.3721012880390795</c:v>
                </c:pt>
                <c:pt idx="200">
                  <c:v>7.381798276818123</c:v>
                </c:pt>
                <c:pt idx="201">
                  <c:v>7.3911330581171946</c:v>
                </c:pt>
                <c:pt idx="202">
                  <c:v>7.4001182666796366</c:v>
                </c:pt>
                <c:pt idx="203">
                  <c:v>7.4087661646417482</c:v>
                </c:pt>
                <c:pt idx="204">
                  <c:v>7.4170886471869952</c:v>
                </c:pt>
                <c:pt idx="205">
                  <c:v>7.4250972485836995</c:v>
                </c:pt>
                <c:pt idx="206">
                  <c:v>7.4328031485547434</c:v>
                </c:pt>
                <c:pt idx="207">
                  <c:v>7.4402171789315927</c:v>
                </c:pt>
                <c:pt idx="208">
                  <c:v>7.4473498305485046</c:v>
                </c:pt>
                <c:pt idx="209">
                  <c:v>7.4542112603361259</c:v>
                </c:pt>
                <c:pt idx="210">
                  <c:v>7.4608112985769495</c:v>
                </c:pt>
                <c:pt idx="211">
                  <c:v>7.4671594562880967</c:v>
                </c:pt>
                <c:pt idx="212">
                  <c:v>7.4732649326997986</c:v>
                </c:pt>
                <c:pt idx="213">
                  <c:v>7.4791366228006559</c:v>
                </c:pt>
                <c:pt idx="214">
                  <c:v>7.4847831249233119</c:v>
                </c:pt>
                <c:pt idx="215">
                  <c:v>7.4902127483465737</c:v>
                </c:pt>
                <c:pt idx="216">
                  <c:v>7.4954335208922602</c:v>
                </c:pt>
                <c:pt idx="217">
                  <c:v>7.500453196497177</c:v>
                </c:pt>
                <c:pt idx="218">
                  <c:v>7.5052792627425688</c:v>
                </c:pt>
                <c:pt idx="219">
                  <c:v>7.5099189483252395</c:v>
                </c:pt>
                <c:pt idx="220">
                  <c:v>7.514379230456246</c:v>
                </c:pt>
                <c:pt idx="221">
                  <c:v>7.5186668421746088</c:v>
                </c:pt>
                <c:pt idx="222">
                  <c:v>7.5227882795650345</c:v>
                </c:pt>
                <c:pt idx="223">
                  <c:v>7.5267498088699272</c:v>
                </c:pt>
                <c:pt idx="224">
                  <c:v>7.530557473487236</c:v>
                </c:pt>
                <c:pt idx="225">
                  <c:v>7.534217100846897</c:v>
                </c:pt>
                <c:pt idx="226">
                  <c:v>7.5377343091596014</c:v>
                </c:pt>
                <c:pt idx="227">
                  <c:v>7.5411145140326949</c:v>
                </c:pt>
                <c:pt idx="228">
                  <c:v>7.5443629349488122</c:v>
                </c:pt>
                <c:pt idx="229">
                  <c:v>7.5474846016037827</c:v>
                </c:pt>
                <c:pt idx="230">
                  <c:v>7.5504843601009597</c:v>
                </c:pt>
                <c:pt idx="231">
                  <c:v>7.5533668789999293</c:v>
                </c:pt>
                <c:pt idx="232">
                  <c:v>7.5561366552180989</c:v>
                </c:pt>
                <c:pt idx="233">
                  <c:v>7.5587980197842253</c:v>
                </c:pt>
                <c:pt idx="234">
                  <c:v>7.5613551434435129</c:v>
                </c:pt>
                <c:pt idx="235">
                  <c:v>7.5638120421142858</c:v>
                </c:pt>
                <c:pt idx="236">
                  <c:v>7.5661725821966916</c:v>
                </c:pt>
                <c:pt idx="237">
                  <c:v>7.5684404857342775</c:v>
                </c:pt>
                <c:pt idx="238">
                  <c:v>7.5706193354295488</c:v>
                </c:pt>
                <c:pt idx="239">
                  <c:v>7.5727125795149561</c:v>
                </c:pt>
                <c:pt idx="240">
                  <c:v>7.5747235364810166</c:v>
                </c:pt>
                <c:pt idx="241">
                  <c:v>7.5766553996634416</c:v>
                </c:pt>
                <c:pt idx="242">
                  <c:v>7.5785112416914062</c:v>
                </c:pt>
                <c:pt idx="243">
                  <c:v>7.580294018799238</c:v>
                </c:pt>
                <c:pt idx="244">
                  <c:v>7.5820065750039261</c:v>
                </c:pt>
                <c:pt idx="245">
                  <c:v>7.5836516461509937</c:v>
                </c:pt>
                <c:pt idx="246">
                  <c:v>7.5852318638314244</c:v>
                </c:pt>
                <c:pt idx="247">
                  <c:v>7.5867497591722879</c:v>
                </c:pt>
                <c:pt idx="248">
                  <c:v>7.5882077665039613</c:v>
                </c:pt>
                <c:pt idx="249">
                  <c:v>7.5896082269067042</c:v>
                </c:pt>
                <c:pt idx="250">
                  <c:v>7.5909533916395464</c:v>
                </c:pt>
                <c:pt idx="251">
                  <c:v>7.5922454254543679</c:v>
                </c:pt>
                <c:pt idx="252">
                  <c:v>7.5934864097980999</c:v>
                </c:pt>
                <c:pt idx="253">
                  <c:v>7.5946783459059928</c:v>
                </c:pt>
                <c:pt idx="254">
                  <c:v>7.5958231577888906</c:v>
                </c:pt>
                <c:pt idx="255">
                  <c:v>7.596922695117402</c:v>
                </c:pt>
                <c:pt idx="256">
                  <c:v>7.5979787360059001</c:v>
                </c:pt>
                <c:pt idx="257">
                  <c:v>7.5989929896992026</c:v>
                </c:pt>
                <c:pt idx="258">
                  <c:v>7.5999670991647896</c:v>
                </c:pt>
                <c:pt idx="259">
                  <c:v>7.6009026435933604</c:v>
                </c:pt>
                <c:pt idx="260">
                  <c:v>7.6018011408104949</c:v>
                </c:pt>
                <c:pt idx="261">
                  <c:v>7.6026640496021578</c:v>
                </c:pt>
                <c:pt idx="262">
                  <c:v>7.6034927719567049</c:v>
                </c:pt>
                <c:pt idx="263">
                  <c:v>7.6042886552260187</c:v>
                </c:pt>
                <c:pt idx="264">
                  <c:v>7.6050529942083811</c:v>
                </c:pt>
                <c:pt idx="265">
                  <c:v>7.605787033155555</c:v>
                </c:pt>
                <c:pt idx="266">
                  <c:v>7.6064919677065799</c:v>
                </c:pt>
                <c:pt idx="267">
                  <c:v>7.6071689467506767</c:v>
                </c:pt>
                <c:pt idx="268">
                  <c:v>7.6078190742216156</c:v>
                </c:pt>
                <c:pt idx="269">
                  <c:v>7.6084434108258447</c:v>
                </c:pt>
                <c:pt idx="270">
                  <c:v>7.6090429757066103</c:v>
                </c:pt>
                <c:pt idx="271">
                  <c:v>7.609618748046258</c:v>
                </c:pt>
                <c:pt idx="272">
                  <c:v>7.6101716686088174</c:v>
                </c:pt>
                <c:pt idx="273">
                  <c:v>7.610702641224953</c:v>
                </c:pt>
                <c:pt idx="274">
                  <c:v>7.6112125342212638</c:v>
                </c:pt>
                <c:pt idx="275">
                  <c:v>7.6117021817958905</c:v>
                </c:pt>
                <c:pt idx="276">
                  <c:v>7.612172385342328</c:v>
                </c:pt>
                <c:pt idx="277">
                  <c:v>7.6126239147232431</c:v>
                </c:pt>
                <c:pt idx="278">
                  <c:v>7.6130575094961133</c:v>
                </c:pt>
                <c:pt idx="279">
                  <c:v>7.6134738800923962</c:v>
                </c:pt>
                <c:pt idx="280">
                  <c:v>7.6138737089518775</c:v>
                </c:pt>
                <c:pt idx="281">
                  <c:v>7.6142576516138618</c:v>
                </c:pt>
                <c:pt idx="282">
                  <c:v>7.6146263377667189</c:v>
                </c:pt>
                <c:pt idx="283">
                  <c:v>7.6149803722573433</c:v>
                </c:pt>
                <c:pt idx="284">
                  <c:v>7.6153203360619646</c:v>
                </c:pt>
                <c:pt idx="285">
                  <c:v>7.6156467872197471</c:v>
                </c:pt>
                <c:pt idx="286">
                  <c:v>7.6159602617305246</c:v>
                </c:pt>
                <c:pt idx="287">
                  <c:v>7.616261274418032</c:v>
                </c:pt>
                <c:pt idx="288">
                  <c:v>7.6165503197598659</c:v>
                </c:pt>
                <c:pt idx="289">
                  <c:v>7.6168278726854517</c:v>
                </c:pt>
                <c:pt idx="290">
                  <c:v>7.6170943893431913</c:v>
                </c:pt>
                <c:pt idx="291">
                  <c:v>7.6173503078379365</c:v>
                </c:pt>
                <c:pt idx="292">
                  <c:v>7.6175960489399337</c:v>
                </c:pt>
                <c:pt idx="293">
                  <c:v>7.6178320167662656</c:v>
                </c:pt>
                <c:pt idx="294">
                  <c:v>7.6180585994358614</c:v>
                </c:pt>
                <c:pt idx="295">
                  <c:v>7.6182761696990697</c:v>
                </c:pt>
                <c:pt idx="296">
                  <c:v>7.618485085542738</c:v>
                </c:pt>
                <c:pt idx="297">
                  <c:v>7.6186856907717493</c:v>
                </c:pt>
                <c:pt idx="298">
                  <c:v>7.6188783155679003</c:v>
                </c:pt>
                <c:pt idx="299">
                  <c:v>7.619063277026985</c:v>
                </c:pt>
                <c:pt idx="300">
                  <c:v>7.6192408796749174</c:v>
                </c:pt>
                <c:pt idx="301">
                  <c:v>7.6194114159636941</c:v>
                </c:pt>
                <c:pt idx="302">
                  <c:v>7.619575166747973</c:v>
                </c:pt>
                <c:pt idx="303">
                  <c:v>7.619732401742997</c:v>
                </c:pt>
                <c:pt idx="304">
                  <c:v>7.6198833799646062</c:v>
                </c:pt>
                <c:pt idx="305">
                  <c:v>7.6200283501519923</c:v>
                </c:pt>
                <c:pt idx="306">
                  <c:v>7.6201675511738944</c:v>
                </c:pt>
                <c:pt idx="307">
                  <c:v>7.6203012124188607</c:v>
                </c:pt>
                <c:pt idx="308">
                  <c:v>7.6204295541701752</c:v>
                </c:pt>
                <c:pt idx="309">
                  <c:v>7.6205527879660746</c:v>
                </c:pt>
                <c:pt idx="310">
                  <c:v>7.6206711169458039</c:v>
                </c:pt>
                <c:pt idx="311">
                  <c:v>7.6207847361820669</c:v>
                </c:pt>
                <c:pt idx="312">
                  <c:v>7.6208938330003893</c:v>
                </c:pt>
                <c:pt idx="313">
                  <c:v>7.6209985872859303</c:v>
                </c:pt>
                <c:pt idx="314">
                  <c:v>7.62109917177819</c:v>
                </c:pt>
                <c:pt idx="315">
                  <c:v>7.6211957523541178</c:v>
                </c:pt>
                <c:pt idx="316">
                  <c:v>7.6212884883000669</c:v>
                </c:pt>
                <c:pt idx="317">
                  <c:v>7.621377532573014</c:v>
                </c:pt>
                <c:pt idx="318">
                  <c:v>7.6214630320514853</c:v>
                </c:pt>
                <c:pt idx="319">
                  <c:v>7.6215451277765709</c:v>
                </c:pt>
                <c:pt idx="320">
                  <c:v>7.6216239551834279</c:v>
                </c:pt>
                <c:pt idx="321">
                  <c:v>7.6216996443236456</c:v>
                </c:pt>
                <c:pt idx="322">
                  <c:v>7.6217723200788203</c:v>
                </c:pt>
                <c:pt idx="323">
                  <c:v>7.6218421023656955</c:v>
                </c:pt>
                <c:pt idx="324">
                  <c:v>7.6219091063331845</c:v>
                </c:pt>
                <c:pt idx="325">
                  <c:v>7.6219734425516101</c:v>
                </c:pt>
                <c:pt idx="326">
                  <c:v>7.6220352171944565</c:v>
                </c:pt>
                <c:pt idx="327">
                  <c:v>7.6220945322129285</c:v>
                </c:pt>
                <c:pt idx="328">
                  <c:v>7.6221514855036032</c:v>
                </c:pt>
                <c:pt idx="329">
                  <c:v>7.6222061710694478</c:v>
                </c:pt>
                <c:pt idx="330">
                  <c:v>7.6222586791744593</c:v>
                </c:pt>
                <c:pt idx="331">
                  <c:v>7.6223090964921747</c:v>
                </c:pt>
                <c:pt idx="332">
                  <c:v>7.6223575062483109</c:v>
                </c:pt>
                <c:pt idx="333">
                  <c:v>7.6224039883577355</c:v>
                </c:pt>
                <c:pt idx="334">
                  <c:v>7.6224486195560273</c:v>
                </c:pt>
                <c:pt idx="335">
                  <c:v>7.6224914735258107</c:v>
                </c:pt>
              </c:numCache>
            </c:numRef>
          </c:yVal>
          <c:smooth val="1"/>
          <c:extLst>
            <c:ext xmlns:c16="http://schemas.microsoft.com/office/drawing/2014/chart" uri="{C3380CC4-5D6E-409C-BE32-E72D297353CC}">
              <c16:uniqueId val="{00000002-A991-9940-9BFC-4AF86D2FF22E}"/>
            </c:ext>
          </c:extLst>
        </c:ser>
        <c:ser>
          <c:idx val="2"/>
          <c:order val="3"/>
          <c:tx>
            <c:strRef>
              <c:f>'France and Belgium'!$H$7</c:f>
              <c:strCache>
                <c:ptCount val="1"/>
                <c:pt idx="0">
                  <c:v>Q historical</c:v>
                </c:pt>
              </c:strCache>
            </c:strRef>
          </c:tx>
          <c:spPr>
            <a:ln w="15875">
              <a:solidFill>
                <a:srgbClr val="333399"/>
              </a:solidFill>
            </a:ln>
          </c:spPr>
          <c:marker>
            <c:symbol val="none"/>
          </c:marker>
          <c:xVal>
            <c:numRef>
              <c:f>'France and Belgium'!$D$94:$D$279</c:f>
              <c:numCache>
                <c:formatCode>General</c:formatCode>
                <c:ptCount val="186"/>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pt idx="13">
                  <c:v>1913</c:v>
                </c:pt>
                <c:pt idx="14">
                  <c:v>1914</c:v>
                </c:pt>
                <c:pt idx="15">
                  <c:v>1915</c:v>
                </c:pt>
                <c:pt idx="16">
                  <c:v>1916</c:v>
                </c:pt>
                <c:pt idx="17">
                  <c:v>1917</c:v>
                </c:pt>
                <c:pt idx="18">
                  <c:v>1918</c:v>
                </c:pt>
                <c:pt idx="19">
                  <c:v>1919</c:v>
                </c:pt>
                <c:pt idx="20">
                  <c:v>1920</c:v>
                </c:pt>
                <c:pt idx="21">
                  <c:v>1921</c:v>
                </c:pt>
                <c:pt idx="22">
                  <c:v>1922</c:v>
                </c:pt>
                <c:pt idx="23">
                  <c:v>1923</c:v>
                </c:pt>
                <c:pt idx="24">
                  <c:v>1924</c:v>
                </c:pt>
                <c:pt idx="25">
                  <c:v>1925</c:v>
                </c:pt>
                <c:pt idx="26">
                  <c:v>1926</c:v>
                </c:pt>
                <c:pt idx="27">
                  <c:v>1927</c:v>
                </c:pt>
                <c:pt idx="28">
                  <c:v>1928</c:v>
                </c:pt>
                <c:pt idx="29">
                  <c:v>1929</c:v>
                </c:pt>
                <c:pt idx="30">
                  <c:v>1930</c:v>
                </c:pt>
                <c:pt idx="31">
                  <c:v>1931</c:v>
                </c:pt>
                <c:pt idx="32">
                  <c:v>1932</c:v>
                </c:pt>
                <c:pt idx="33">
                  <c:v>1933</c:v>
                </c:pt>
                <c:pt idx="34">
                  <c:v>1934</c:v>
                </c:pt>
                <c:pt idx="35">
                  <c:v>1935</c:v>
                </c:pt>
                <c:pt idx="36">
                  <c:v>1936</c:v>
                </c:pt>
                <c:pt idx="37">
                  <c:v>1937</c:v>
                </c:pt>
                <c:pt idx="38">
                  <c:v>1938</c:v>
                </c:pt>
                <c:pt idx="39">
                  <c:v>1939</c:v>
                </c:pt>
                <c:pt idx="40">
                  <c:v>1940</c:v>
                </c:pt>
                <c:pt idx="41">
                  <c:v>1941</c:v>
                </c:pt>
                <c:pt idx="42">
                  <c:v>1942</c:v>
                </c:pt>
                <c:pt idx="43">
                  <c:v>1943</c:v>
                </c:pt>
                <c:pt idx="44">
                  <c:v>1944</c:v>
                </c:pt>
                <c:pt idx="45">
                  <c:v>1945</c:v>
                </c:pt>
                <c:pt idx="46">
                  <c:v>1946</c:v>
                </c:pt>
                <c:pt idx="47">
                  <c:v>1947</c:v>
                </c:pt>
                <c:pt idx="48">
                  <c:v>1948</c:v>
                </c:pt>
                <c:pt idx="49">
                  <c:v>1949</c:v>
                </c:pt>
                <c:pt idx="50">
                  <c:v>1950</c:v>
                </c:pt>
                <c:pt idx="51">
                  <c:v>1951</c:v>
                </c:pt>
                <c:pt idx="52">
                  <c:v>1952</c:v>
                </c:pt>
                <c:pt idx="53">
                  <c:v>1953</c:v>
                </c:pt>
                <c:pt idx="54">
                  <c:v>1954</c:v>
                </c:pt>
                <c:pt idx="55">
                  <c:v>1955</c:v>
                </c:pt>
                <c:pt idx="56">
                  <c:v>1956</c:v>
                </c:pt>
                <c:pt idx="57">
                  <c:v>1957</c:v>
                </c:pt>
                <c:pt idx="58">
                  <c:v>1958</c:v>
                </c:pt>
                <c:pt idx="59">
                  <c:v>1959</c:v>
                </c:pt>
                <c:pt idx="60">
                  <c:v>1960</c:v>
                </c:pt>
                <c:pt idx="61">
                  <c:v>1961</c:v>
                </c:pt>
                <c:pt idx="62">
                  <c:v>1962</c:v>
                </c:pt>
                <c:pt idx="63">
                  <c:v>1963</c:v>
                </c:pt>
                <c:pt idx="64">
                  <c:v>1964</c:v>
                </c:pt>
                <c:pt idx="65">
                  <c:v>1965</c:v>
                </c:pt>
                <c:pt idx="66">
                  <c:v>1966</c:v>
                </c:pt>
                <c:pt idx="67">
                  <c:v>1967</c:v>
                </c:pt>
                <c:pt idx="68">
                  <c:v>1968</c:v>
                </c:pt>
                <c:pt idx="69">
                  <c:v>1969</c:v>
                </c:pt>
                <c:pt idx="70">
                  <c:v>1970</c:v>
                </c:pt>
                <c:pt idx="71">
                  <c:v>1971</c:v>
                </c:pt>
                <c:pt idx="72">
                  <c:v>1972</c:v>
                </c:pt>
                <c:pt idx="73">
                  <c:v>1973</c:v>
                </c:pt>
                <c:pt idx="74">
                  <c:v>1974</c:v>
                </c:pt>
                <c:pt idx="75">
                  <c:v>1975</c:v>
                </c:pt>
                <c:pt idx="76">
                  <c:v>1976</c:v>
                </c:pt>
                <c:pt idx="77">
                  <c:v>1977</c:v>
                </c:pt>
                <c:pt idx="78">
                  <c:v>1978</c:v>
                </c:pt>
                <c:pt idx="79">
                  <c:v>1979</c:v>
                </c:pt>
                <c:pt idx="80">
                  <c:v>1980</c:v>
                </c:pt>
                <c:pt idx="81">
                  <c:v>1981</c:v>
                </c:pt>
                <c:pt idx="82">
                  <c:v>1982</c:v>
                </c:pt>
                <c:pt idx="83">
                  <c:v>1983</c:v>
                </c:pt>
                <c:pt idx="84">
                  <c:v>1984</c:v>
                </c:pt>
                <c:pt idx="85">
                  <c:v>1985</c:v>
                </c:pt>
                <c:pt idx="86">
                  <c:v>1986</c:v>
                </c:pt>
                <c:pt idx="87">
                  <c:v>1987</c:v>
                </c:pt>
                <c:pt idx="88">
                  <c:v>1988</c:v>
                </c:pt>
                <c:pt idx="89">
                  <c:v>1989</c:v>
                </c:pt>
                <c:pt idx="90">
                  <c:v>1990</c:v>
                </c:pt>
                <c:pt idx="91">
                  <c:v>1991</c:v>
                </c:pt>
                <c:pt idx="92">
                  <c:v>1992</c:v>
                </c:pt>
                <c:pt idx="93">
                  <c:v>1993</c:v>
                </c:pt>
                <c:pt idx="94">
                  <c:v>1994</c:v>
                </c:pt>
                <c:pt idx="95">
                  <c:v>1995</c:v>
                </c:pt>
                <c:pt idx="96">
                  <c:v>1996</c:v>
                </c:pt>
                <c:pt idx="97">
                  <c:v>1997</c:v>
                </c:pt>
                <c:pt idx="98">
                  <c:v>1998</c:v>
                </c:pt>
                <c:pt idx="99">
                  <c:v>1999</c:v>
                </c:pt>
                <c:pt idx="100">
                  <c:v>2000</c:v>
                </c:pt>
                <c:pt idx="101">
                  <c:v>2001</c:v>
                </c:pt>
                <c:pt idx="102">
                  <c:v>2002</c:v>
                </c:pt>
                <c:pt idx="103">
                  <c:v>2003</c:v>
                </c:pt>
                <c:pt idx="104">
                  <c:v>2004</c:v>
                </c:pt>
                <c:pt idx="105">
                  <c:v>2005</c:v>
                </c:pt>
                <c:pt idx="106">
                  <c:v>2006</c:v>
                </c:pt>
                <c:pt idx="107">
                  <c:v>2007</c:v>
                </c:pt>
                <c:pt idx="108">
                  <c:v>2008</c:v>
                </c:pt>
                <c:pt idx="109">
                  <c:v>2009</c:v>
                </c:pt>
                <c:pt idx="110">
                  <c:v>2010</c:v>
                </c:pt>
                <c:pt idx="111">
                  <c:v>2011</c:v>
                </c:pt>
                <c:pt idx="112">
                  <c:v>2012</c:v>
                </c:pt>
                <c:pt idx="113">
                  <c:v>2013</c:v>
                </c:pt>
                <c:pt idx="114">
                  <c:v>2014</c:v>
                </c:pt>
                <c:pt idx="115">
                  <c:v>2015</c:v>
                </c:pt>
                <c:pt idx="116">
                  <c:v>2016</c:v>
                </c:pt>
                <c:pt idx="117">
                  <c:v>2017</c:v>
                </c:pt>
                <c:pt idx="118">
                  <c:v>2018</c:v>
                </c:pt>
                <c:pt idx="119">
                  <c:v>2019</c:v>
                </c:pt>
                <c:pt idx="120">
                  <c:v>2020</c:v>
                </c:pt>
                <c:pt idx="121">
                  <c:v>2021</c:v>
                </c:pt>
                <c:pt idx="122">
                  <c:v>2022</c:v>
                </c:pt>
                <c:pt idx="123">
                  <c:v>2023</c:v>
                </c:pt>
                <c:pt idx="124">
                  <c:v>2024</c:v>
                </c:pt>
                <c:pt idx="125">
                  <c:v>2025</c:v>
                </c:pt>
                <c:pt idx="126">
                  <c:v>2026</c:v>
                </c:pt>
                <c:pt idx="127">
                  <c:v>2027</c:v>
                </c:pt>
                <c:pt idx="128">
                  <c:v>2028</c:v>
                </c:pt>
                <c:pt idx="129">
                  <c:v>2029</c:v>
                </c:pt>
                <c:pt idx="130">
                  <c:v>2030</c:v>
                </c:pt>
                <c:pt idx="131">
                  <c:v>2031</c:v>
                </c:pt>
                <c:pt idx="132">
                  <c:v>2032</c:v>
                </c:pt>
                <c:pt idx="133">
                  <c:v>2033</c:v>
                </c:pt>
                <c:pt idx="134">
                  <c:v>2034</c:v>
                </c:pt>
                <c:pt idx="135">
                  <c:v>2035</c:v>
                </c:pt>
                <c:pt idx="136">
                  <c:v>2036</c:v>
                </c:pt>
                <c:pt idx="137">
                  <c:v>2037</c:v>
                </c:pt>
                <c:pt idx="138">
                  <c:v>2038</c:v>
                </c:pt>
                <c:pt idx="139">
                  <c:v>2039</c:v>
                </c:pt>
                <c:pt idx="140">
                  <c:v>2040</c:v>
                </c:pt>
                <c:pt idx="141">
                  <c:v>2041</c:v>
                </c:pt>
                <c:pt idx="142">
                  <c:v>2042</c:v>
                </c:pt>
                <c:pt idx="143">
                  <c:v>2043</c:v>
                </c:pt>
                <c:pt idx="144">
                  <c:v>2044</c:v>
                </c:pt>
                <c:pt idx="145">
                  <c:v>2045</c:v>
                </c:pt>
                <c:pt idx="146">
                  <c:v>2046</c:v>
                </c:pt>
                <c:pt idx="147">
                  <c:v>2047</c:v>
                </c:pt>
                <c:pt idx="148">
                  <c:v>2048</c:v>
                </c:pt>
                <c:pt idx="149">
                  <c:v>2049</c:v>
                </c:pt>
                <c:pt idx="150">
                  <c:v>2050</c:v>
                </c:pt>
                <c:pt idx="151">
                  <c:v>2051</c:v>
                </c:pt>
                <c:pt idx="152">
                  <c:v>2052</c:v>
                </c:pt>
                <c:pt idx="153">
                  <c:v>2053</c:v>
                </c:pt>
                <c:pt idx="154">
                  <c:v>2054</c:v>
                </c:pt>
                <c:pt idx="155">
                  <c:v>2055</c:v>
                </c:pt>
                <c:pt idx="156">
                  <c:v>2056</c:v>
                </c:pt>
                <c:pt idx="157">
                  <c:v>2057</c:v>
                </c:pt>
                <c:pt idx="158">
                  <c:v>2058</c:v>
                </c:pt>
                <c:pt idx="159">
                  <c:v>2059</c:v>
                </c:pt>
                <c:pt idx="160">
                  <c:v>2060</c:v>
                </c:pt>
                <c:pt idx="161">
                  <c:v>2061</c:v>
                </c:pt>
                <c:pt idx="162">
                  <c:v>2062</c:v>
                </c:pt>
                <c:pt idx="163">
                  <c:v>2063</c:v>
                </c:pt>
                <c:pt idx="164">
                  <c:v>2064</c:v>
                </c:pt>
                <c:pt idx="165">
                  <c:v>2065</c:v>
                </c:pt>
                <c:pt idx="166">
                  <c:v>2066</c:v>
                </c:pt>
                <c:pt idx="167">
                  <c:v>2067</c:v>
                </c:pt>
                <c:pt idx="168">
                  <c:v>2068</c:v>
                </c:pt>
                <c:pt idx="169">
                  <c:v>2069</c:v>
                </c:pt>
                <c:pt idx="170">
                  <c:v>2070</c:v>
                </c:pt>
                <c:pt idx="171">
                  <c:v>2071</c:v>
                </c:pt>
                <c:pt idx="172">
                  <c:v>2072</c:v>
                </c:pt>
                <c:pt idx="173">
                  <c:v>2073</c:v>
                </c:pt>
                <c:pt idx="174">
                  <c:v>2074</c:v>
                </c:pt>
                <c:pt idx="175">
                  <c:v>2075</c:v>
                </c:pt>
                <c:pt idx="176">
                  <c:v>2076</c:v>
                </c:pt>
                <c:pt idx="177">
                  <c:v>2077</c:v>
                </c:pt>
                <c:pt idx="178">
                  <c:v>2078</c:v>
                </c:pt>
                <c:pt idx="179">
                  <c:v>2079</c:v>
                </c:pt>
                <c:pt idx="180">
                  <c:v>2080</c:v>
                </c:pt>
                <c:pt idx="181">
                  <c:v>2081</c:v>
                </c:pt>
                <c:pt idx="182">
                  <c:v>2082</c:v>
                </c:pt>
                <c:pt idx="183">
                  <c:v>2083</c:v>
                </c:pt>
                <c:pt idx="184">
                  <c:v>2084</c:v>
                </c:pt>
                <c:pt idx="185">
                  <c:v>2085</c:v>
                </c:pt>
              </c:numCache>
            </c:numRef>
          </c:xVal>
          <c:yVal>
            <c:numRef>
              <c:f>'France and Belgium'!$H$94:$H$279</c:f>
              <c:numCache>
                <c:formatCode>0.0</c:formatCode>
                <c:ptCount val="186"/>
                <c:pt idx="0">
                  <c:v>4.3368938447963874</c:v>
                </c:pt>
                <c:pt idx="1">
                  <c:v>4.448332157799511</c:v>
                </c:pt>
                <c:pt idx="2">
                  <c:v>4.5077729839720808</c:v>
                </c:pt>
                <c:pt idx="3">
                  <c:v>4.5830069820546546</c:v>
                </c:pt>
                <c:pt idx="4">
                  <c:v>4.6563488116897931</c:v>
                </c:pt>
                <c:pt idx="5">
                  <c:v>4.7270405516313465</c:v>
                </c:pt>
                <c:pt idx="6">
                  <c:v>4.789748347847981</c:v>
                </c:pt>
                <c:pt idx="7">
                  <c:v>4.8605696651600878</c:v>
                </c:pt>
                <c:pt idx="8">
                  <c:v>4.9204733986645417</c:v>
                </c:pt>
                <c:pt idx="9">
                  <c:v>4.982600576358279</c:v>
                </c:pt>
                <c:pt idx="10">
                  <c:v>5.0470500763489889</c:v>
                </c:pt>
                <c:pt idx="11">
                  <c:v>5.1082928961964642</c:v>
                </c:pt>
                <c:pt idx="12">
                  <c:v>5.1721682925218015</c:v>
                </c:pt>
                <c:pt idx="13">
                  <c:v>5.2290976806427629</c:v>
                </c:pt>
                <c:pt idx="14">
                  <c:v>5.2019882029169482</c:v>
                </c:pt>
                <c:pt idx="15">
                  <c:v>5.0969085176350974</c:v>
                </c:pt>
                <c:pt idx="16">
                  <c:v>4.9657322937945043</c:v>
                </c:pt>
                <c:pt idx="17">
                  <c:v>4.8381537409418751</c:v>
                </c:pt>
                <c:pt idx="18">
                  <c:v>4.7132739475246597</c:v>
                </c:pt>
                <c:pt idx="19">
                  <c:v>4.5976596729366204</c:v>
                </c:pt>
                <c:pt idx="20">
                  <c:v>4.502868070442319</c:v>
                </c:pt>
                <c:pt idx="21">
                  <c:v>4.4314861891422384</c:v>
                </c:pt>
                <c:pt idx="22">
                  <c:v>4.3832711354902374</c:v>
                </c:pt>
                <c:pt idx="23">
                  <c:v>4.3658972286790521</c:v>
                </c:pt>
                <c:pt idx="24">
                  <c:v>4.3829331501641402</c:v>
                </c:pt>
                <c:pt idx="25">
                  <c:v>4.4301887687398604</c:v>
                </c:pt>
                <c:pt idx="26">
                  <c:v>4.5090986717226924</c:v>
                </c:pt>
                <c:pt idx="27">
                  <c:v>4.6143274658597297</c:v>
                </c:pt>
                <c:pt idx="28">
                  <c:v>4.7362880530078888</c:v>
                </c:pt>
                <c:pt idx="29">
                  <c:v>4.8719005066447822</c:v>
                </c:pt>
                <c:pt idx="30">
                  <c:v>5.0169958857094459</c:v>
                </c:pt>
                <c:pt idx="31">
                  <c:v>5.1609260711070233</c:v>
                </c:pt>
                <c:pt idx="32">
                  <c:v>5.289727902560097</c:v>
                </c:pt>
                <c:pt idx="33">
                  <c:v>5.4133327645800495</c:v>
                </c:pt>
                <c:pt idx="34">
                  <c:v>5.5345690639260559</c:v>
                </c:pt>
                <c:pt idx="35">
                  <c:v>5.6511710970684765</c:v>
                </c:pt>
                <c:pt idx="36">
                  <c:v>5.7640614546531665</c:v>
                </c:pt>
                <c:pt idx="37">
                  <c:v>5.8747596048819188</c:v>
                </c:pt>
                <c:pt idx="38">
                  <c:v>5.985205074912785</c:v>
                </c:pt>
                <c:pt idx="39">
                  <c:v>6.0978724546116494</c:v>
                </c:pt>
                <c:pt idx="40">
                  <c:v>6.1964238880059224</c:v>
                </c:pt>
                <c:pt idx="41">
                  <c:v>6.2881626476287069</c:v>
                </c:pt>
                <c:pt idx="42">
                  <c:v>6.3724646155143647</c:v>
                </c:pt>
                <c:pt idx="43">
                  <c:v>6.4479563854015165</c:v>
                </c:pt>
                <c:pt idx="44">
                  <c:v>6.493480386203391</c:v>
                </c:pt>
                <c:pt idx="45">
                  <c:v>6.5256963960224752</c:v>
                </c:pt>
                <c:pt idx="46">
                  <c:v>6.5642741622399559</c:v>
                </c:pt>
                <c:pt idx="47">
                  <c:v>6.6078751082966187</c:v>
                </c:pt>
                <c:pt idx="48">
                  <c:v>6.6557685382917464</c:v>
                </c:pt>
                <c:pt idx="49">
                  <c:v>6.7144090962213712</c:v>
                </c:pt>
                <c:pt idx="50">
                  <c:v>6.7809364518383921</c:v>
                </c:pt>
                <c:pt idx="51">
                  <c:v>6.8576913476815058</c:v>
                </c:pt>
                <c:pt idx="52">
                  <c:v>6.9450364008356322</c:v>
                </c:pt>
                <c:pt idx="53">
                  <c:v>7.0379062482600423</c:v>
                </c:pt>
                <c:pt idx="54">
                  <c:v>7.1355563568921578</c:v>
                </c:pt>
                <c:pt idx="55">
                  <c:v>7.2380979069833176</c:v>
                </c:pt>
                <c:pt idx="56">
                  <c:v>7.3438042298611395</c:v>
                </c:pt>
                <c:pt idx="57">
                  <c:v>7.4525894275507181</c:v>
                </c:pt>
                <c:pt idx="58">
                  <c:v>7.5626338842434251</c:v>
                </c:pt>
                <c:pt idx="59">
                  <c:v>7.6698538163515284</c:v>
                </c:pt>
                <c:pt idx="60">
                  <c:v>7.7731617216987328</c:v>
                </c:pt>
                <c:pt idx="61">
                  <c:v>7.8703396836095472</c:v>
                </c:pt>
                <c:pt idx="62">
                  <c:v>7.9622207282548265</c:v>
                </c:pt>
                <c:pt idx="63">
                  <c:v>8.0465309273909664</c:v>
                </c:pt>
                <c:pt idx="64">
                  <c:v>8.1279366064525842</c:v>
                </c:pt>
                <c:pt idx="65">
                  <c:v>8.205109254455671</c:v>
                </c:pt>
                <c:pt idx="66">
                  <c:v>8.2767262339154435</c:v>
                </c:pt>
                <c:pt idx="67">
                  <c:v>8.3418610371018236</c:v>
                </c:pt>
                <c:pt idx="68">
                  <c:v>8.3978600543429778</c:v>
                </c:pt>
                <c:pt idx="69">
                  <c:v>8.4449662068628584</c:v>
                </c:pt>
                <c:pt idx="70">
                  <c:v>8.4825023315722081</c:v>
                </c:pt>
                <c:pt idx="71">
                  <c:v>8.5103733793448431</c:v>
                </c:pt>
                <c:pt idx="72">
                  <c:v>8.5291585196554625</c:v>
                </c:pt>
                <c:pt idx="73">
                  <c:v>8.5384916488257829</c:v>
                </c:pt>
                <c:pt idx="74">
                  <c:v>8.5392775622635</c:v>
                </c:pt>
                <c:pt idx="75">
                  <c:v>8.5332522371771091</c:v>
                </c:pt>
                <c:pt idx="76">
                  <c:v>8.5217611186200237</c:v>
                </c:pt>
                <c:pt idx="77">
                  <c:v>8.5058930869080793</c:v>
                </c:pt>
                <c:pt idx="78">
                  <c:v>8.4860658956022466</c:v>
                </c:pt>
                <c:pt idx="79">
                  <c:v>8.462851795337464</c:v>
                </c:pt>
                <c:pt idx="80">
                  <c:v>8.4371281427916092</c:v>
                </c:pt>
                <c:pt idx="81">
                  <c:v>8.4100775619859949</c:v>
                </c:pt>
                <c:pt idx="82">
                  <c:v>8.3821386833116485</c:v>
                </c:pt>
                <c:pt idx="83">
                  <c:v>8.3535789465158086</c:v>
                </c:pt>
                <c:pt idx="84">
                  <c:v>8.3247575151837605</c:v>
                </c:pt>
                <c:pt idx="85">
                  <c:v>8.2956858200198891</c:v>
                </c:pt>
                <c:pt idx="86">
                  <c:v>8.2665213570264466</c:v>
                </c:pt>
                <c:pt idx="87">
                  <c:v>8.2370434155461254</c:v>
                </c:pt>
                <c:pt idx="88">
                  <c:v>8.207010421619378</c:v>
                </c:pt>
                <c:pt idx="89">
                  <c:v>8.1765676828656151</c:v>
                </c:pt>
                <c:pt idx="90">
                  <c:v>8.1457733937099732</c:v>
                </c:pt>
                <c:pt idx="91">
                  <c:v>8.1150041009062068</c:v>
                </c:pt>
                <c:pt idx="92">
                  <c:v>8.0842379974514706</c:v>
                </c:pt>
                <c:pt idx="93">
                  <c:v>8.0535862274467842</c:v>
                </c:pt>
                <c:pt idx="94">
                  <c:v>8.0230552915056723</c:v>
                </c:pt>
                <c:pt idx="95">
                  <c:v>7.9927684195465956</c:v>
                </c:pt>
                <c:pt idx="96">
                  <c:v>7.962852195472033</c:v>
                </c:pt>
                <c:pt idx="97">
                  <c:v>7.9333282290661664</c:v>
                </c:pt>
                <c:pt idx="98">
                  <c:v>7.9042128596080357</c:v>
                </c:pt>
                <c:pt idx="99">
                  <c:v>7.8756038631095517</c:v>
                </c:pt>
                <c:pt idx="100">
                  <c:v>7.8474944110554476</c:v>
                </c:pt>
                <c:pt idx="101">
                  <c:v>7.8198942877054769</c:v>
                </c:pt>
                <c:pt idx="102">
                  <c:v>7.792860965880954</c:v>
                </c:pt>
                <c:pt idx="103">
                  <c:v>7.7664762966037442</c:v>
                </c:pt>
                <c:pt idx="104">
                  <c:v>7.7407595783510805</c:v>
                </c:pt>
                <c:pt idx="105">
                  <c:v>7.715757157871133</c:v>
                </c:pt>
                <c:pt idx="106">
                  <c:v>7.6915082676128312</c:v>
                </c:pt>
                <c:pt idx="107">
                  <c:v>7.6680416962875295</c:v>
                </c:pt>
                <c:pt idx="108">
                  <c:v>7.6453767667077699</c:v>
                </c:pt>
                <c:pt idx="109">
                  <c:v>7.6235246511500465</c:v>
                </c:pt>
              </c:numCache>
            </c:numRef>
          </c:yVal>
          <c:smooth val="1"/>
          <c:extLst>
            <c:ext xmlns:c16="http://schemas.microsoft.com/office/drawing/2014/chart" uri="{C3380CC4-5D6E-409C-BE32-E72D297353CC}">
              <c16:uniqueId val="{00000003-A991-9940-9BFC-4AF86D2FF22E}"/>
            </c:ext>
          </c:extLst>
        </c:ser>
        <c:ser>
          <c:idx val="4"/>
          <c:order val="4"/>
          <c:tx>
            <c:v>Q early</c:v>
          </c:tx>
          <c:spPr>
            <a:ln w="15875">
              <a:solidFill>
                <a:srgbClr val="333399"/>
              </a:solidFill>
              <a:prstDash val="lgDash"/>
            </a:ln>
          </c:spPr>
          <c:marker>
            <c:symbol val="none"/>
          </c:marker>
          <c:xVal>
            <c:numRef>
              <c:f>'France and Belgium'!$D$82:$D$93</c:f>
              <c:numCache>
                <c:formatCode>General</c:formatCode>
                <c:ptCount val="12"/>
                <c:pt idx="0">
                  <c:v>1888</c:v>
                </c:pt>
                <c:pt idx="1">
                  <c:v>1889</c:v>
                </c:pt>
                <c:pt idx="2">
                  <c:v>1890</c:v>
                </c:pt>
                <c:pt idx="3">
                  <c:v>1891</c:v>
                </c:pt>
                <c:pt idx="4">
                  <c:v>1892</c:v>
                </c:pt>
                <c:pt idx="5">
                  <c:v>1893</c:v>
                </c:pt>
                <c:pt idx="6">
                  <c:v>1894</c:v>
                </c:pt>
                <c:pt idx="7">
                  <c:v>1895</c:v>
                </c:pt>
                <c:pt idx="8">
                  <c:v>1896</c:v>
                </c:pt>
                <c:pt idx="9">
                  <c:v>1897</c:v>
                </c:pt>
                <c:pt idx="10">
                  <c:v>1898</c:v>
                </c:pt>
                <c:pt idx="11">
                  <c:v>1899</c:v>
                </c:pt>
              </c:numCache>
            </c:numRef>
          </c:xVal>
          <c:yVal>
            <c:numRef>
              <c:f>'France and Belgium'!$H$82:$H$93</c:f>
              <c:numCache>
                <c:formatCode>0.0</c:formatCode>
                <c:ptCount val="12"/>
                <c:pt idx="0">
                  <c:v>2.8627729143674867</c:v>
                </c:pt>
                <c:pt idx="1">
                  <c:v>2.966379315927766</c:v>
                </c:pt>
                <c:pt idx="2">
                  <c:v>3.1541571823683436</c:v>
                </c:pt>
                <c:pt idx="3">
                  <c:v>3.3261577956011368</c:v>
                </c:pt>
                <c:pt idx="4">
                  <c:v>3.4594656158894193</c:v>
                </c:pt>
                <c:pt idx="5">
                  <c:v>3.5526217217919784</c:v>
                </c:pt>
                <c:pt idx="6">
                  <c:v>3.6410949934144585</c:v>
                </c:pt>
                <c:pt idx="7">
                  <c:v>3.7193288332738415</c:v>
                </c:pt>
                <c:pt idx="8">
                  <c:v>3.8090462973311645</c:v>
                </c:pt>
                <c:pt idx="9">
                  <c:v>3.9166011651737871</c:v>
                </c:pt>
                <c:pt idx="10">
                  <c:v>4.049658321323478</c:v>
                </c:pt>
                <c:pt idx="11">
                  <c:v>4.1878053009911111</c:v>
                </c:pt>
              </c:numCache>
            </c:numRef>
          </c:yVal>
          <c:smooth val="1"/>
          <c:extLst>
            <c:ext xmlns:c16="http://schemas.microsoft.com/office/drawing/2014/chart" uri="{C3380CC4-5D6E-409C-BE32-E72D297353CC}">
              <c16:uniqueId val="{00000004-A991-9940-9BFC-4AF86D2FF22E}"/>
            </c:ext>
          </c:extLst>
        </c:ser>
        <c:dLbls>
          <c:showLegendKey val="0"/>
          <c:showVal val="0"/>
          <c:showCatName val="0"/>
          <c:showSerName val="0"/>
          <c:showPercent val="0"/>
          <c:showBubbleSize val="0"/>
        </c:dLbls>
        <c:axId val="131317120"/>
        <c:axId val="131499136"/>
      </c:scatterChart>
      <c:valAx>
        <c:axId val="131317120"/>
        <c:scaling>
          <c:orientation val="minMax"/>
          <c:max val="2020"/>
          <c:min val="18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499136"/>
        <c:crosses val="autoZero"/>
        <c:crossBetween val="midCat"/>
        <c:majorUnit val="60"/>
        <c:minorUnit val="10"/>
      </c:valAx>
      <c:valAx>
        <c:axId val="131499136"/>
        <c:scaling>
          <c:orientation val="minMax"/>
          <c:max val="10"/>
          <c:min val="0"/>
        </c:scaling>
        <c:delete val="0"/>
        <c:axPos val="r"/>
        <c:title>
          <c:tx>
            <c:rich>
              <a:bodyPr rot="-5400000" vert="horz"/>
              <a:lstStyle/>
              <a:p>
                <a:pPr>
                  <a:defRPr sz="1200" b="0">
                    <a:solidFill>
                      <a:srgbClr val="333399"/>
                    </a:solidFill>
                  </a:defRPr>
                </a:pPr>
                <a:r>
                  <a:rPr lang="en-US" sz="1200" b="0">
                    <a:solidFill>
                      <a:srgbClr val="333399"/>
                    </a:solidFill>
                  </a:rPr>
                  <a:t>Cumulative production, Gt</a:t>
                </a:r>
              </a:p>
            </c:rich>
          </c:tx>
          <c:layout>
            <c:manualLayout>
              <c:xMode val="edge"/>
              <c:yMode val="edge"/>
              <c:x val="0.96240681576144838"/>
              <c:y val="0.13136920384951883"/>
            </c:manualLayout>
          </c:layout>
          <c:overlay val="0"/>
        </c:title>
        <c:numFmt formatCode="0.0"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317120"/>
        <c:crosses val="max"/>
        <c:crossBetween val="midCat"/>
        <c:majorUnit val="5"/>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7180330893143154"/>
          <c:h val="0.77264654418197765"/>
        </c:manualLayout>
      </c:layout>
      <c:scatterChart>
        <c:scatterStyle val="smoothMarker"/>
        <c:varyColors val="0"/>
        <c:ser>
          <c:idx val="2"/>
          <c:order val="0"/>
          <c:tx>
            <c:strRef>
              <c:f>'France and Belgium'!$H$7</c:f>
              <c:strCache>
                <c:ptCount val="1"/>
                <c:pt idx="0">
                  <c:v>Q historical</c:v>
                </c:pt>
              </c:strCache>
            </c:strRef>
          </c:tx>
          <c:spPr>
            <a:ln w="15875">
              <a:solidFill>
                <a:srgbClr val="333399"/>
              </a:solidFill>
            </a:ln>
          </c:spPr>
          <c:marker>
            <c:symbol val="none"/>
          </c:marker>
          <c:xVal>
            <c:numRef>
              <c:f>'France and Belgium'!$D$94:$D$279</c:f>
              <c:numCache>
                <c:formatCode>General</c:formatCode>
                <c:ptCount val="186"/>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pt idx="13">
                  <c:v>1913</c:v>
                </c:pt>
                <c:pt idx="14">
                  <c:v>1914</c:v>
                </c:pt>
                <c:pt idx="15">
                  <c:v>1915</c:v>
                </c:pt>
                <c:pt idx="16">
                  <c:v>1916</c:v>
                </c:pt>
                <c:pt idx="17">
                  <c:v>1917</c:v>
                </c:pt>
                <c:pt idx="18">
                  <c:v>1918</c:v>
                </c:pt>
                <c:pt idx="19">
                  <c:v>1919</c:v>
                </c:pt>
                <c:pt idx="20">
                  <c:v>1920</c:v>
                </c:pt>
                <c:pt idx="21">
                  <c:v>1921</c:v>
                </c:pt>
                <c:pt idx="22">
                  <c:v>1922</c:v>
                </c:pt>
                <c:pt idx="23">
                  <c:v>1923</c:v>
                </c:pt>
                <c:pt idx="24">
                  <c:v>1924</c:v>
                </c:pt>
                <c:pt idx="25">
                  <c:v>1925</c:v>
                </c:pt>
                <c:pt idx="26">
                  <c:v>1926</c:v>
                </c:pt>
                <c:pt idx="27">
                  <c:v>1927</c:v>
                </c:pt>
                <c:pt idx="28">
                  <c:v>1928</c:v>
                </c:pt>
                <c:pt idx="29">
                  <c:v>1929</c:v>
                </c:pt>
                <c:pt idx="30">
                  <c:v>1930</c:v>
                </c:pt>
                <c:pt idx="31">
                  <c:v>1931</c:v>
                </c:pt>
                <c:pt idx="32">
                  <c:v>1932</c:v>
                </c:pt>
                <c:pt idx="33">
                  <c:v>1933</c:v>
                </c:pt>
                <c:pt idx="34">
                  <c:v>1934</c:v>
                </c:pt>
                <c:pt idx="35">
                  <c:v>1935</c:v>
                </c:pt>
                <c:pt idx="36">
                  <c:v>1936</c:v>
                </c:pt>
                <c:pt idx="37">
                  <c:v>1937</c:v>
                </c:pt>
                <c:pt idx="38">
                  <c:v>1938</c:v>
                </c:pt>
                <c:pt idx="39">
                  <c:v>1939</c:v>
                </c:pt>
                <c:pt idx="40">
                  <c:v>1940</c:v>
                </c:pt>
                <c:pt idx="41">
                  <c:v>1941</c:v>
                </c:pt>
                <c:pt idx="42">
                  <c:v>1942</c:v>
                </c:pt>
                <c:pt idx="43">
                  <c:v>1943</c:v>
                </c:pt>
                <c:pt idx="44">
                  <c:v>1944</c:v>
                </c:pt>
                <c:pt idx="45">
                  <c:v>1945</c:v>
                </c:pt>
                <c:pt idx="46">
                  <c:v>1946</c:v>
                </c:pt>
                <c:pt idx="47">
                  <c:v>1947</c:v>
                </c:pt>
                <c:pt idx="48">
                  <c:v>1948</c:v>
                </c:pt>
                <c:pt idx="49">
                  <c:v>1949</c:v>
                </c:pt>
                <c:pt idx="50">
                  <c:v>1950</c:v>
                </c:pt>
                <c:pt idx="51">
                  <c:v>1951</c:v>
                </c:pt>
                <c:pt idx="52">
                  <c:v>1952</c:v>
                </c:pt>
                <c:pt idx="53">
                  <c:v>1953</c:v>
                </c:pt>
                <c:pt idx="54">
                  <c:v>1954</c:v>
                </c:pt>
                <c:pt idx="55">
                  <c:v>1955</c:v>
                </c:pt>
                <c:pt idx="56">
                  <c:v>1956</c:v>
                </c:pt>
                <c:pt idx="57">
                  <c:v>1957</c:v>
                </c:pt>
                <c:pt idx="58">
                  <c:v>1958</c:v>
                </c:pt>
                <c:pt idx="59">
                  <c:v>1959</c:v>
                </c:pt>
                <c:pt idx="60">
                  <c:v>1960</c:v>
                </c:pt>
                <c:pt idx="61">
                  <c:v>1961</c:v>
                </c:pt>
                <c:pt idx="62">
                  <c:v>1962</c:v>
                </c:pt>
                <c:pt idx="63">
                  <c:v>1963</c:v>
                </c:pt>
                <c:pt idx="64">
                  <c:v>1964</c:v>
                </c:pt>
                <c:pt idx="65">
                  <c:v>1965</c:v>
                </c:pt>
                <c:pt idx="66">
                  <c:v>1966</c:v>
                </c:pt>
                <c:pt idx="67">
                  <c:v>1967</c:v>
                </c:pt>
                <c:pt idx="68">
                  <c:v>1968</c:v>
                </c:pt>
                <c:pt idx="69">
                  <c:v>1969</c:v>
                </c:pt>
                <c:pt idx="70">
                  <c:v>1970</c:v>
                </c:pt>
                <c:pt idx="71">
                  <c:v>1971</c:v>
                </c:pt>
                <c:pt idx="72">
                  <c:v>1972</c:v>
                </c:pt>
                <c:pt idx="73">
                  <c:v>1973</c:v>
                </c:pt>
                <c:pt idx="74">
                  <c:v>1974</c:v>
                </c:pt>
                <c:pt idx="75">
                  <c:v>1975</c:v>
                </c:pt>
                <c:pt idx="76">
                  <c:v>1976</c:v>
                </c:pt>
                <c:pt idx="77">
                  <c:v>1977</c:v>
                </c:pt>
                <c:pt idx="78">
                  <c:v>1978</c:v>
                </c:pt>
                <c:pt idx="79">
                  <c:v>1979</c:v>
                </c:pt>
                <c:pt idx="80">
                  <c:v>1980</c:v>
                </c:pt>
                <c:pt idx="81">
                  <c:v>1981</c:v>
                </c:pt>
                <c:pt idx="82">
                  <c:v>1982</c:v>
                </c:pt>
                <c:pt idx="83">
                  <c:v>1983</c:v>
                </c:pt>
                <c:pt idx="84">
                  <c:v>1984</c:v>
                </c:pt>
                <c:pt idx="85">
                  <c:v>1985</c:v>
                </c:pt>
                <c:pt idx="86">
                  <c:v>1986</c:v>
                </c:pt>
                <c:pt idx="87">
                  <c:v>1987</c:v>
                </c:pt>
                <c:pt idx="88">
                  <c:v>1988</c:v>
                </c:pt>
                <c:pt idx="89">
                  <c:v>1989</c:v>
                </c:pt>
                <c:pt idx="90">
                  <c:v>1990</c:v>
                </c:pt>
                <c:pt idx="91">
                  <c:v>1991</c:v>
                </c:pt>
                <c:pt idx="92">
                  <c:v>1992</c:v>
                </c:pt>
                <c:pt idx="93">
                  <c:v>1993</c:v>
                </c:pt>
                <c:pt idx="94">
                  <c:v>1994</c:v>
                </c:pt>
                <c:pt idx="95">
                  <c:v>1995</c:v>
                </c:pt>
                <c:pt idx="96">
                  <c:v>1996</c:v>
                </c:pt>
                <c:pt idx="97">
                  <c:v>1997</c:v>
                </c:pt>
                <c:pt idx="98">
                  <c:v>1998</c:v>
                </c:pt>
                <c:pt idx="99">
                  <c:v>1999</c:v>
                </c:pt>
                <c:pt idx="100">
                  <c:v>2000</c:v>
                </c:pt>
                <c:pt idx="101">
                  <c:v>2001</c:v>
                </c:pt>
                <c:pt idx="102">
                  <c:v>2002</c:v>
                </c:pt>
                <c:pt idx="103">
                  <c:v>2003</c:v>
                </c:pt>
                <c:pt idx="104">
                  <c:v>2004</c:v>
                </c:pt>
                <c:pt idx="105">
                  <c:v>2005</c:v>
                </c:pt>
                <c:pt idx="106">
                  <c:v>2006</c:v>
                </c:pt>
                <c:pt idx="107">
                  <c:v>2007</c:v>
                </c:pt>
                <c:pt idx="108">
                  <c:v>2008</c:v>
                </c:pt>
                <c:pt idx="109">
                  <c:v>2009</c:v>
                </c:pt>
                <c:pt idx="110">
                  <c:v>2010</c:v>
                </c:pt>
                <c:pt idx="111">
                  <c:v>2011</c:v>
                </c:pt>
                <c:pt idx="112">
                  <c:v>2012</c:v>
                </c:pt>
                <c:pt idx="113">
                  <c:v>2013</c:v>
                </c:pt>
                <c:pt idx="114">
                  <c:v>2014</c:v>
                </c:pt>
                <c:pt idx="115">
                  <c:v>2015</c:v>
                </c:pt>
                <c:pt idx="116">
                  <c:v>2016</c:v>
                </c:pt>
                <c:pt idx="117">
                  <c:v>2017</c:v>
                </c:pt>
                <c:pt idx="118">
                  <c:v>2018</c:v>
                </c:pt>
                <c:pt idx="119">
                  <c:v>2019</c:v>
                </c:pt>
                <c:pt idx="120">
                  <c:v>2020</c:v>
                </c:pt>
                <c:pt idx="121">
                  <c:v>2021</c:v>
                </c:pt>
                <c:pt idx="122">
                  <c:v>2022</c:v>
                </c:pt>
                <c:pt idx="123">
                  <c:v>2023</c:v>
                </c:pt>
                <c:pt idx="124">
                  <c:v>2024</c:v>
                </c:pt>
                <c:pt idx="125">
                  <c:v>2025</c:v>
                </c:pt>
                <c:pt idx="126">
                  <c:v>2026</c:v>
                </c:pt>
                <c:pt idx="127">
                  <c:v>2027</c:v>
                </c:pt>
                <c:pt idx="128">
                  <c:v>2028</c:v>
                </c:pt>
                <c:pt idx="129">
                  <c:v>2029</c:v>
                </c:pt>
                <c:pt idx="130">
                  <c:v>2030</c:v>
                </c:pt>
                <c:pt idx="131">
                  <c:v>2031</c:v>
                </c:pt>
                <c:pt idx="132">
                  <c:v>2032</c:v>
                </c:pt>
                <c:pt idx="133">
                  <c:v>2033</c:v>
                </c:pt>
                <c:pt idx="134">
                  <c:v>2034</c:v>
                </c:pt>
                <c:pt idx="135">
                  <c:v>2035</c:v>
                </c:pt>
                <c:pt idx="136">
                  <c:v>2036</c:v>
                </c:pt>
                <c:pt idx="137">
                  <c:v>2037</c:v>
                </c:pt>
                <c:pt idx="138">
                  <c:v>2038</c:v>
                </c:pt>
                <c:pt idx="139">
                  <c:v>2039</c:v>
                </c:pt>
                <c:pt idx="140">
                  <c:v>2040</c:v>
                </c:pt>
                <c:pt idx="141">
                  <c:v>2041</c:v>
                </c:pt>
                <c:pt idx="142">
                  <c:v>2042</c:v>
                </c:pt>
                <c:pt idx="143">
                  <c:v>2043</c:v>
                </c:pt>
                <c:pt idx="144">
                  <c:v>2044</c:v>
                </c:pt>
                <c:pt idx="145">
                  <c:v>2045</c:v>
                </c:pt>
                <c:pt idx="146">
                  <c:v>2046</c:v>
                </c:pt>
                <c:pt idx="147">
                  <c:v>2047</c:v>
                </c:pt>
                <c:pt idx="148">
                  <c:v>2048</c:v>
                </c:pt>
                <c:pt idx="149">
                  <c:v>2049</c:v>
                </c:pt>
                <c:pt idx="150">
                  <c:v>2050</c:v>
                </c:pt>
                <c:pt idx="151">
                  <c:v>2051</c:v>
                </c:pt>
                <c:pt idx="152">
                  <c:v>2052</c:v>
                </c:pt>
                <c:pt idx="153">
                  <c:v>2053</c:v>
                </c:pt>
                <c:pt idx="154">
                  <c:v>2054</c:v>
                </c:pt>
                <c:pt idx="155">
                  <c:v>2055</c:v>
                </c:pt>
                <c:pt idx="156">
                  <c:v>2056</c:v>
                </c:pt>
                <c:pt idx="157">
                  <c:v>2057</c:v>
                </c:pt>
                <c:pt idx="158">
                  <c:v>2058</c:v>
                </c:pt>
                <c:pt idx="159">
                  <c:v>2059</c:v>
                </c:pt>
                <c:pt idx="160">
                  <c:v>2060</c:v>
                </c:pt>
                <c:pt idx="161">
                  <c:v>2061</c:v>
                </c:pt>
                <c:pt idx="162">
                  <c:v>2062</c:v>
                </c:pt>
                <c:pt idx="163">
                  <c:v>2063</c:v>
                </c:pt>
                <c:pt idx="164">
                  <c:v>2064</c:v>
                </c:pt>
                <c:pt idx="165">
                  <c:v>2065</c:v>
                </c:pt>
                <c:pt idx="166">
                  <c:v>2066</c:v>
                </c:pt>
                <c:pt idx="167">
                  <c:v>2067</c:v>
                </c:pt>
                <c:pt idx="168">
                  <c:v>2068</c:v>
                </c:pt>
                <c:pt idx="169">
                  <c:v>2069</c:v>
                </c:pt>
                <c:pt idx="170">
                  <c:v>2070</c:v>
                </c:pt>
                <c:pt idx="171">
                  <c:v>2071</c:v>
                </c:pt>
                <c:pt idx="172">
                  <c:v>2072</c:v>
                </c:pt>
                <c:pt idx="173">
                  <c:v>2073</c:v>
                </c:pt>
                <c:pt idx="174">
                  <c:v>2074</c:v>
                </c:pt>
                <c:pt idx="175">
                  <c:v>2075</c:v>
                </c:pt>
                <c:pt idx="176">
                  <c:v>2076</c:v>
                </c:pt>
                <c:pt idx="177">
                  <c:v>2077</c:v>
                </c:pt>
                <c:pt idx="178">
                  <c:v>2078</c:v>
                </c:pt>
                <c:pt idx="179">
                  <c:v>2079</c:v>
                </c:pt>
                <c:pt idx="180">
                  <c:v>2080</c:v>
                </c:pt>
                <c:pt idx="181">
                  <c:v>2081</c:v>
                </c:pt>
                <c:pt idx="182">
                  <c:v>2082</c:v>
                </c:pt>
                <c:pt idx="183">
                  <c:v>2083</c:v>
                </c:pt>
                <c:pt idx="184">
                  <c:v>2084</c:v>
                </c:pt>
                <c:pt idx="185">
                  <c:v>2085</c:v>
                </c:pt>
              </c:numCache>
            </c:numRef>
          </c:xVal>
          <c:yVal>
            <c:numRef>
              <c:f>'France and Belgium'!$H$94:$H$279</c:f>
              <c:numCache>
                <c:formatCode>0.0</c:formatCode>
                <c:ptCount val="186"/>
                <c:pt idx="0">
                  <c:v>4.3368938447963874</c:v>
                </c:pt>
                <c:pt idx="1">
                  <c:v>4.448332157799511</c:v>
                </c:pt>
                <c:pt idx="2">
                  <c:v>4.5077729839720808</c:v>
                </c:pt>
                <c:pt idx="3">
                  <c:v>4.5830069820546546</c:v>
                </c:pt>
                <c:pt idx="4">
                  <c:v>4.6563488116897931</c:v>
                </c:pt>
                <c:pt idx="5">
                  <c:v>4.7270405516313465</c:v>
                </c:pt>
                <c:pt idx="6">
                  <c:v>4.789748347847981</c:v>
                </c:pt>
                <c:pt idx="7">
                  <c:v>4.8605696651600878</c:v>
                </c:pt>
                <c:pt idx="8">
                  <c:v>4.9204733986645417</c:v>
                </c:pt>
                <c:pt idx="9">
                  <c:v>4.982600576358279</c:v>
                </c:pt>
                <c:pt idx="10">
                  <c:v>5.0470500763489889</c:v>
                </c:pt>
                <c:pt idx="11">
                  <c:v>5.1082928961964642</c:v>
                </c:pt>
                <c:pt idx="12">
                  <c:v>5.1721682925218015</c:v>
                </c:pt>
                <c:pt idx="13">
                  <c:v>5.2290976806427629</c:v>
                </c:pt>
                <c:pt idx="14">
                  <c:v>5.2019882029169482</c:v>
                </c:pt>
                <c:pt idx="15">
                  <c:v>5.0969085176350974</c:v>
                </c:pt>
                <c:pt idx="16">
                  <c:v>4.9657322937945043</c:v>
                </c:pt>
                <c:pt idx="17">
                  <c:v>4.8381537409418751</c:v>
                </c:pt>
                <c:pt idx="18">
                  <c:v>4.7132739475246597</c:v>
                </c:pt>
                <c:pt idx="19">
                  <c:v>4.5976596729366204</c:v>
                </c:pt>
                <c:pt idx="20">
                  <c:v>4.502868070442319</c:v>
                </c:pt>
                <c:pt idx="21">
                  <c:v>4.4314861891422384</c:v>
                </c:pt>
                <c:pt idx="22">
                  <c:v>4.3832711354902374</c:v>
                </c:pt>
                <c:pt idx="23">
                  <c:v>4.3658972286790521</c:v>
                </c:pt>
                <c:pt idx="24">
                  <c:v>4.3829331501641402</c:v>
                </c:pt>
                <c:pt idx="25">
                  <c:v>4.4301887687398604</c:v>
                </c:pt>
                <c:pt idx="26">
                  <c:v>4.5090986717226924</c:v>
                </c:pt>
                <c:pt idx="27">
                  <c:v>4.6143274658597297</c:v>
                </c:pt>
                <c:pt idx="28">
                  <c:v>4.7362880530078888</c:v>
                </c:pt>
                <c:pt idx="29">
                  <c:v>4.8719005066447822</c:v>
                </c:pt>
                <c:pt idx="30">
                  <c:v>5.0169958857094459</c:v>
                </c:pt>
                <c:pt idx="31">
                  <c:v>5.1609260711070233</c:v>
                </c:pt>
                <c:pt idx="32">
                  <c:v>5.289727902560097</c:v>
                </c:pt>
                <c:pt idx="33">
                  <c:v>5.4133327645800495</c:v>
                </c:pt>
                <c:pt idx="34">
                  <c:v>5.5345690639260559</c:v>
                </c:pt>
                <c:pt idx="35">
                  <c:v>5.6511710970684765</c:v>
                </c:pt>
                <c:pt idx="36">
                  <c:v>5.7640614546531665</c:v>
                </c:pt>
                <c:pt idx="37">
                  <c:v>5.8747596048819188</c:v>
                </c:pt>
                <c:pt idx="38">
                  <c:v>5.985205074912785</c:v>
                </c:pt>
                <c:pt idx="39">
                  <c:v>6.0978724546116494</c:v>
                </c:pt>
                <c:pt idx="40">
                  <c:v>6.1964238880059224</c:v>
                </c:pt>
                <c:pt idx="41">
                  <c:v>6.2881626476287069</c:v>
                </c:pt>
                <c:pt idx="42">
                  <c:v>6.3724646155143647</c:v>
                </c:pt>
                <c:pt idx="43">
                  <c:v>6.4479563854015165</c:v>
                </c:pt>
                <c:pt idx="44">
                  <c:v>6.493480386203391</c:v>
                </c:pt>
                <c:pt idx="45">
                  <c:v>6.5256963960224752</c:v>
                </c:pt>
                <c:pt idx="46">
                  <c:v>6.5642741622399559</c:v>
                </c:pt>
                <c:pt idx="47">
                  <c:v>6.6078751082966187</c:v>
                </c:pt>
                <c:pt idx="48">
                  <c:v>6.6557685382917464</c:v>
                </c:pt>
                <c:pt idx="49">
                  <c:v>6.7144090962213712</c:v>
                </c:pt>
                <c:pt idx="50">
                  <c:v>6.7809364518383921</c:v>
                </c:pt>
                <c:pt idx="51">
                  <c:v>6.8576913476815058</c:v>
                </c:pt>
                <c:pt idx="52">
                  <c:v>6.9450364008356322</c:v>
                </c:pt>
                <c:pt idx="53">
                  <c:v>7.0379062482600423</c:v>
                </c:pt>
                <c:pt idx="54">
                  <c:v>7.1355563568921578</c:v>
                </c:pt>
                <c:pt idx="55">
                  <c:v>7.2380979069833176</c:v>
                </c:pt>
                <c:pt idx="56">
                  <c:v>7.3438042298611395</c:v>
                </c:pt>
                <c:pt idx="57">
                  <c:v>7.4525894275507181</c:v>
                </c:pt>
                <c:pt idx="58">
                  <c:v>7.5626338842434251</c:v>
                </c:pt>
                <c:pt idx="59">
                  <c:v>7.6698538163515284</c:v>
                </c:pt>
                <c:pt idx="60">
                  <c:v>7.7731617216987328</c:v>
                </c:pt>
                <c:pt idx="61">
                  <c:v>7.8703396836095472</c:v>
                </c:pt>
                <c:pt idx="62">
                  <c:v>7.9622207282548265</c:v>
                </c:pt>
                <c:pt idx="63">
                  <c:v>8.0465309273909664</c:v>
                </c:pt>
                <c:pt idx="64">
                  <c:v>8.1279366064525842</c:v>
                </c:pt>
                <c:pt idx="65">
                  <c:v>8.205109254455671</c:v>
                </c:pt>
                <c:pt idx="66">
                  <c:v>8.2767262339154435</c:v>
                </c:pt>
                <c:pt idx="67">
                  <c:v>8.3418610371018236</c:v>
                </c:pt>
                <c:pt idx="68">
                  <c:v>8.3978600543429778</c:v>
                </c:pt>
                <c:pt idx="69">
                  <c:v>8.4449662068628584</c:v>
                </c:pt>
                <c:pt idx="70">
                  <c:v>8.4825023315722081</c:v>
                </c:pt>
                <c:pt idx="71">
                  <c:v>8.5103733793448431</c:v>
                </c:pt>
                <c:pt idx="72">
                  <c:v>8.5291585196554625</c:v>
                </c:pt>
                <c:pt idx="73">
                  <c:v>8.5384916488257829</c:v>
                </c:pt>
                <c:pt idx="74">
                  <c:v>8.5392775622635</c:v>
                </c:pt>
                <c:pt idx="75">
                  <c:v>8.5332522371771091</c:v>
                </c:pt>
                <c:pt idx="76">
                  <c:v>8.5217611186200237</c:v>
                </c:pt>
                <c:pt idx="77">
                  <c:v>8.5058930869080793</c:v>
                </c:pt>
                <c:pt idx="78">
                  <c:v>8.4860658956022466</c:v>
                </c:pt>
                <c:pt idx="79">
                  <c:v>8.462851795337464</c:v>
                </c:pt>
                <c:pt idx="80">
                  <c:v>8.4371281427916092</c:v>
                </c:pt>
                <c:pt idx="81">
                  <c:v>8.4100775619859949</c:v>
                </c:pt>
                <c:pt idx="82">
                  <c:v>8.3821386833116485</c:v>
                </c:pt>
                <c:pt idx="83">
                  <c:v>8.3535789465158086</c:v>
                </c:pt>
                <c:pt idx="84">
                  <c:v>8.3247575151837605</c:v>
                </c:pt>
                <c:pt idx="85">
                  <c:v>8.2956858200198891</c:v>
                </c:pt>
                <c:pt idx="86">
                  <c:v>8.2665213570264466</c:v>
                </c:pt>
                <c:pt idx="87">
                  <c:v>8.2370434155461254</c:v>
                </c:pt>
                <c:pt idx="88">
                  <c:v>8.207010421619378</c:v>
                </c:pt>
                <c:pt idx="89">
                  <c:v>8.1765676828656151</c:v>
                </c:pt>
                <c:pt idx="90">
                  <c:v>8.1457733937099732</c:v>
                </c:pt>
                <c:pt idx="91">
                  <c:v>8.1150041009062068</c:v>
                </c:pt>
                <c:pt idx="92">
                  <c:v>8.0842379974514706</c:v>
                </c:pt>
                <c:pt idx="93">
                  <c:v>8.0535862274467842</c:v>
                </c:pt>
                <c:pt idx="94">
                  <c:v>8.0230552915056723</c:v>
                </c:pt>
                <c:pt idx="95">
                  <c:v>7.9927684195465956</c:v>
                </c:pt>
                <c:pt idx="96">
                  <c:v>7.962852195472033</c:v>
                </c:pt>
                <c:pt idx="97">
                  <c:v>7.9333282290661664</c:v>
                </c:pt>
                <c:pt idx="98">
                  <c:v>7.9042128596080357</c:v>
                </c:pt>
                <c:pt idx="99">
                  <c:v>7.8756038631095517</c:v>
                </c:pt>
                <c:pt idx="100">
                  <c:v>7.8474944110554476</c:v>
                </c:pt>
                <c:pt idx="101">
                  <c:v>7.8198942877054769</c:v>
                </c:pt>
                <c:pt idx="102">
                  <c:v>7.792860965880954</c:v>
                </c:pt>
                <c:pt idx="103">
                  <c:v>7.7664762966037442</c:v>
                </c:pt>
                <c:pt idx="104">
                  <c:v>7.7407595783510805</c:v>
                </c:pt>
                <c:pt idx="105">
                  <c:v>7.715757157871133</c:v>
                </c:pt>
                <c:pt idx="106">
                  <c:v>7.6915082676128312</c:v>
                </c:pt>
                <c:pt idx="107">
                  <c:v>7.6680416962875295</c:v>
                </c:pt>
                <c:pt idx="108">
                  <c:v>7.6453767667077699</c:v>
                </c:pt>
                <c:pt idx="109">
                  <c:v>7.6235246511500465</c:v>
                </c:pt>
              </c:numCache>
            </c:numRef>
          </c:yVal>
          <c:smooth val="1"/>
          <c:extLst>
            <c:ext xmlns:c16="http://schemas.microsoft.com/office/drawing/2014/chart" uri="{C3380CC4-5D6E-409C-BE32-E72D297353CC}">
              <c16:uniqueId val="{00000000-88E7-3E41-B96C-9252C9C771A2}"/>
            </c:ext>
          </c:extLst>
        </c:ser>
        <c:ser>
          <c:idx val="0"/>
          <c:order val="1"/>
          <c:tx>
            <c:strRef>
              <c:f>'France and Belgium'!$T$7</c:f>
              <c:strCache>
                <c:ptCount val="1"/>
                <c:pt idx="0">
                  <c:v>Q reserves</c:v>
                </c:pt>
              </c:strCache>
            </c:strRef>
          </c:tx>
          <c:spPr>
            <a:ln>
              <a:noFill/>
            </a:ln>
          </c:spPr>
          <c:marker>
            <c:symbol val="circle"/>
            <c:size val="6"/>
            <c:spPr>
              <a:noFill/>
              <a:ln>
                <a:solidFill>
                  <a:srgbClr val="333399"/>
                </a:solidFill>
              </a:ln>
            </c:spPr>
          </c:marker>
          <c:xVal>
            <c:numRef>
              <c:f>'France and Belgium'!$S$8:$S$92</c:f>
              <c:numCache>
                <c:formatCode>General</c:formatCode>
                <c:ptCount val="85"/>
                <c:pt idx="0">
                  <c:v>1913</c:v>
                </c:pt>
                <c:pt idx="1">
                  <c:v>1936</c:v>
                </c:pt>
                <c:pt idx="2">
                  <c:v>1938</c:v>
                </c:pt>
                <c:pt idx="3">
                  <c:v>1948</c:v>
                </c:pt>
                <c:pt idx="4">
                  <c:v>1950</c:v>
                </c:pt>
                <c:pt idx="5">
                  <c:v>1952</c:v>
                </c:pt>
                <c:pt idx="6">
                  <c:v>1954</c:v>
                </c:pt>
                <c:pt idx="7">
                  <c:v>1960</c:v>
                </c:pt>
                <c:pt idx="8">
                  <c:v>1962</c:v>
                </c:pt>
                <c:pt idx="9">
                  <c:v>1968</c:v>
                </c:pt>
                <c:pt idx="10" formatCode="0">
                  <c:v>1974</c:v>
                </c:pt>
                <c:pt idx="11">
                  <c:v>1980</c:v>
                </c:pt>
                <c:pt idx="12">
                  <c:v>1986</c:v>
                </c:pt>
                <c:pt idx="13">
                  <c:v>1989</c:v>
                </c:pt>
                <c:pt idx="14">
                  <c:v>1992</c:v>
                </c:pt>
                <c:pt idx="15">
                  <c:v>1995</c:v>
                </c:pt>
                <c:pt idx="16">
                  <c:v>1998</c:v>
                </c:pt>
                <c:pt idx="17">
                  <c:v>2001</c:v>
                </c:pt>
                <c:pt idx="18">
                  <c:v>2004</c:v>
                </c:pt>
              </c:numCache>
            </c:numRef>
          </c:xVal>
          <c:yVal>
            <c:numRef>
              <c:f>'France and Belgium'!$T$8:$T$92</c:f>
              <c:numCache>
                <c:formatCode>#,##0.0</c:formatCode>
                <c:ptCount val="85"/>
                <c:pt idx="0">
                  <c:v>31.140199999999997</c:v>
                </c:pt>
                <c:pt idx="1">
                  <c:v>33.030999999999999</c:v>
                </c:pt>
                <c:pt idx="2">
                  <c:v>23.522599999999997</c:v>
                </c:pt>
                <c:pt idx="3">
                  <c:v>21.302399999999999</c:v>
                </c:pt>
                <c:pt idx="4">
                  <c:v>26.2987</c:v>
                </c:pt>
                <c:pt idx="5">
                  <c:v>20.2715</c:v>
                </c:pt>
                <c:pt idx="6">
                  <c:v>23.5395</c:v>
                </c:pt>
                <c:pt idx="7">
                  <c:v>20.5869</c:v>
                </c:pt>
                <c:pt idx="8">
                  <c:v>13.4886</c:v>
                </c:pt>
                <c:pt idx="9">
                  <c:v>10.8812</c:v>
                </c:pt>
                <c:pt idx="10">
                  <c:v>7.2161000000000008</c:v>
                </c:pt>
                <c:pt idx="11">
                  <c:v>7.8184000000000013</c:v>
                </c:pt>
                <c:pt idx="12">
                  <c:v>7.7474100000000012</c:v>
                </c:pt>
                <c:pt idx="13">
                  <c:v>7.6947300000000007</c:v>
                </c:pt>
                <c:pt idx="14">
                  <c:v>7.6953700000000014</c:v>
                </c:pt>
                <c:pt idx="15">
                  <c:v>7.2543637682815758</c:v>
                </c:pt>
                <c:pt idx="16">
                  <c:v>7.260258856237173</c:v>
                </c:pt>
                <c:pt idx="17">
                  <c:v>7.200467477926086</c:v>
                </c:pt>
                <c:pt idx="18">
                  <c:v>7.1890732257186949</c:v>
                </c:pt>
              </c:numCache>
            </c:numRef>
          </c:yVal>
          <c:smooth val="1"/>
          <c:extLst>
            <c:ext xmlns:c16="http://schemas.microsoft.com/office/drawing/2014/chart" uri="{C3380CC4-5D6E-409C-BE32-E72D297353CC}">
              <c16:uniqueId val="{00000001-88E7-3E41-B96C-9252C9C771A2}"/>
            </c:ext>
          </c:extLst>
        </c:ser>
        <c:ser>
          <c:idx val="1"/>
          <c:order val="2"/>
          <c:tx>
            <c:v>Q Gt l early</c:v>
          </c:tx>
          <c:spPr>
            <a:ln w="15875">
              <a:solidFill>
                <a:srgbClr val="333399"/>
              </a:solidFill>
              <a:prstDash val="lgDash"/>
            </a:ln>
          </c:spPr>
          <c:marker>
            <c:symbol val="none"/>
          </c:marker>
          <c:xVal>
            <c:numRef>
              <c:f>'France and Belgium'!$D$82:$D$93</c:f>
              <c:numCache>
                <c:formatCode>General</c:formatCode>
                <c:ptCount val="12"/>
                <c:pt idx="0">
                  <c:v>1888</c:v>
                </c:pt>
                <c:pt idx="1">
                  <c:v>1889</c:v>
                </c:pt>
                <c:pt idx="2">
                  <c:v>1890</c:v>
                </c:pt>
                <c:pt idx="3">
                  <c:v>1891</c:v>
                </c:pt>
                <c:pt idx="4">
                  <c:v>1892</c:v>
                </c:pt>
                <c:pt idx="5">
                  <c:v>1893</c:v>
                </c:pt>
                <c:pt idx="6">
                  <c:v>1894</c:v>
                </c:pt>
                <c:pt idx="7">
                  <c:v>1895</c:v>
                </c:pt>
                <c:pt idx="8">
                  <c:v>1896</c:v>
                </c:pt>
                <c:pt idx="9">
                  <c:v>1897</c:v>
                </c:pt>
                <c:pt idx="10">
                  <c:v>1898</c:v>
                </c:pt>
                <c:pt idx="11">
                  <c:v>1899</c:v>
                </c:pt>
              </c:numCache>
            </c:numRef>
          </c:xVal>
          <c:yVal>
            <c:numRef>
              <c:f>'France and Belgium'!$H$82:$H$93</c:f>
              <c:numCache>
                <c:formatCode>0.0</c:formatCode>
                <c:ptCount val="12"/>
                <c:pt idx="0">
                  <c:v>2.8627729143674867</c:v>
                </c:pt>
                <c:pt idx="1">
                  <c:v>2.966379315927766</c:v>
                </c:pt>
                <c:pt idx="2">
                  <c:v>3.1541571823683436</c:v>
                </c:pt>
                <c:pt idx="3">
                  <c:v>3.3261577956011368</c:v>
                </c:pt>
                <c:pt idx="4">
                  <c:v>3.4594656158894193</c:v>
                </c:pt>
                <c:pt idx="5">
                  <c:v>3.5526217217919784</c:v>
                </c:pt>
                <c:pt idx="6">
                  <c:v>3.6410949934144585</c:v>
                </c:pt>
                <c:pt idx="7">
                  <c:v>3.7193288332738415</c:v>
                </c:pt>
                <c:pt idx="8">
                  <c:v>3.8090462973311645</c:v>
                </c:pt>
                <c:pt idx="9">
                  <c:v>3.9166011651737871</c:v>
                </c:pt>
                <c:pt idx="10">
                  <c:v>4.049658321323478</c:v>
                </c:pt>
                <c:pt idx="11">
                  <c:v>4.1878053009911111</c:v>
                </c:pt>
              </c:numCache>
            </c:numRef>
          </c:yVal>
          <c:smooth val="1"/>
          <c:extLst>
            <c:ext xmlns:c16="http://schemas.microsoft.com/office/drawing/2014/chart" uri="{C3380CC4-5D6E-409C-BE32-E72D297353CC}">
              <c16:uniqueId val="{00000002-88E7-3E41-B96C-9252C9C771A2}"/>
            </c:ext>
          </c:extLst>
        </c:ser>
        <c:dLbls>
          <c:showLegendKey val="0"/>
          <c:showVal val="0"/>
          <c:showCatName val="0"/>
          <c:showSerName val="0"/>
          <c:showPercent val="0"/>
          <c:showBubbleSize val="0"/>
        </c:dLbls>
        <c:axId val="131529344"/>
        <c:axId val="131568000"/>
      </c:scatterChart>
      <c:valAx>
        <c:axId val="131529344"/>
        <c:scaling>
          <c:orientation val="minMax"/>
          <c:max val="2020"/>
          <c:min val="18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568000"/>
        <c:crosses val="autoZero"/>
        <c:crossBetween val="midCat"/>
        <c:majorUnit val="60"/>
        <c:minorUnit val="10"/>
      </c:valAx>
      <c:valAx>
        <c:axId val="131568000"/>
        <c:scaling>
          <c:orientation val="minMax"/>
          <c:max val="34"/>
          <c:min val="0"/>
        </c:scaling>
        <c:delete val="0"/>
        <c:axPos val="r"/>
        <c:title>
          <c:tx>
            <c:rich>
              <a:bodyPr rot="-5400000" vert="horz"/>
              <a:lstStyle/>
              <a:p>
                <a:pPr>
                  <a:defRPr sz="1200" b="0">
                    <a:solidFill>
                      <a:srgbClr val="333399"/>
                    </a:solidFill>
                  </a:defRPr>
                </a:pPr>
                <a:r>
                  <a:rPr lang="en-US" sz="1200" b="0">
                    <a:solidFill>
                      <a:srgbClr val="333399"/>
                    </a:solidFill>
                  </a:rPr>
                  <a:t>Long-term production , Gt</a:t>
                </a:r>
              </a:p>
            </c:rich>
          </c:tx>
          <c:layout>
            <c:manualLayout>
              <c:xMode val="edge"/>
              <c:yMode val="edge"/>
              <c:x val="0.96240681576144838"/>
              <c:y val="0.1498877223680373"/>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1529344"/>
        <c:crosses val="max"/>
        <c:crossBetween val="midCat"/>
        <c:majorUnit val="10"/>
        <c:minorUnit val="5"/>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541353257360465"/>
          <c:h val="0.77264654418197765"/>
        </c:manualLayout>
      </c:layout>
      <c:scatterChart>
        <c:scatterStyle val="smoothMarker"/>
        <c:varyColors val="0"/>
        <c:ser>
          <c:idx val="0"/>
          <c:order val="0"/>
          <c:tx>
            <c:strRef>
              <c:f>'Japan and South Korea'!$E$7</c:f>
              <c:strCache>
                <c:ptCount val="1"/>
                <c:pt idx="0">
                  <c:v>p Mt</c:v>
                </c:pt>
              </c:strCache>
            </c:strRef>
          </c:tx>
          <c:spPr>
            <a:ln w="15875">
              <a:solidFill>
                <a:srgbClr val="008000"/>
              </a:solidFill>
            </a:ln>
          </c:spPr>
          <c:marker>
            <c:symbol val="none"/>
          </c:marker>
          <c:xVal>
            <c:numRef>
              <c:f>'Japan and South Korea'!$D$8:$D$285</c:f>
              <c:numCache>
                <c:formatCode>General</c:formatCode>
                <c:ptCount val="278"/>
                <c:pt idx="0">
                  <c:v>1873</c:v>
                </c:pt>
                <c:pt idx="1">
                  <c:v>1874</c:v>
                </c:pt>
                <c:pt idx="2">
                  <c:v>1875</c:v>
                </c:pt>
                <c:pt idx="3">
                  <c:v>1876</c:v>
                </c:pt>
                <c:pt idx="4">
                  <c:v>1877</c:v>
                </c:pt>
                <c:pt idx="5">
                  <c:v>1878</c:v>
                </c:pt>
                <c:pt idx="6">
                  <c:v>1879</c:v>
                </c:pt>
                <c:pt idx="7">
                  <c:v>1880</c:v>
                </c:pt>
                <c:pt idx="8">
                  <c:v>1881</c:v>
                </c:pt>
                <c:pt idx="9">
                  <c:v>1882</c:v>
                </c:pt>
                <c:pt idx="10">
                  <c:v>1883</c:v>
                </c:pt>
                <c:pt idx="11">
                  <c:v>1884</c:v>
                </c:pt>
                <c:pt idx="12">
                  <c:v>1885</c:v>
                </c:pt>
                <c:pt idx="13">
                  <c:v>1886</c:v>
                </c:pt>
                <c:pt idx="14">
                  <c:v>1887</c:v>
                </c:pt>
                <c:pt idx="15">
                  <c:v>1888</c:v>
                </c:pt>
                <c:pt idx="16">
                  <c:v>1889</c:v>
                </c:pt>
                <c:pt idx="17">
                  <c:v>1890</c:v>
                </c:pt>
                <c:pt idx="18">
                  <c:v>1891</c:v>
                </c:pt>
                <c:pt idx="19">
                  <c:v>1892</c:v>
                </c:pt>
                <c:pt idx="20">
                  <c:v>1893</c:v>
                </c:pt>
                <c:pt idx="21">
                  <c:v>1894</c:v>
                </c:pt>
                <c:pt idx="22">
                  <c:v>1895</c:v>
                </c:pt>
                <c:pt idx="23">
                  <c:v>1896</c:v>
                </c:pt>
                <c:pt idx="24">
                  <c:v>1897</c:v>
                </c:pt>
                <c:pt idx="25">
                  <c:v>1898</c:v>
                </c:pt>
                <c:pt idx="26">
                  <c:v>1899</c:v>
                </c:pt>
                <c:pt idx="27">
                  <c:v>1900</c:v>
                </c:pt>
                <c:pt idx="28">
                  <c:v>1901</c:v>
                </c:pt>
                <c:pt idx="29">
                  <c:v>1902</c:v>
                </c:pt>
                <c:pt idx="30">
                  <c:v>1903</c:v>
                </c:pt>
                <c:pt idx="31">
                  <c:v>1904</c:v>
                </c:pt>
                <c:pt idx="32">
                  <c:v>1905</c:v>
                </c:pt>
                <c:pt idx="33">
                  <c:v>1906</c:v>
                </c:pt>
                <c:pt idx="34">
                  <c:v>1907</c:v>
                </c:pt>
                <c:pt idx="35">
                  <c:v>1908</c:v>
                </c:pt>
                <c:pt idx="36">
                  <c:v>1909</c:v>
                </c:pt>
                <c:pt idx="37">
                  <c:v>1910</c:v>
                </c:pt>
                <c:pt idx="38">
                  <c:v>1911</c:v>
                </c:pt>
                <c:pt idx="39">
                  <c:v>1912</c:v>
                </c:pt>
                <c:pt idx="40">
                  <c:v>1913</c:v>
                </c:pt>
                <c:pt idx="41">
                  <c:v>1914</c:v>
                </c:pt>
                <c:pt idx="42">
                  <c:v>1915</c:v>
                </c:pt>
                <c:pt idx="43">
                  <c:v>1916</c:v>
                </c:pt>
                <c:pt idx="44">
                  <c:v>1917</c:v>
                </c:pt>
                <c:pt idx="45">
                  <c:v>1918</c:v>
                </c:pt>
                <c:pt idx="46">
                  <c:v>1919</c:v>
                </c:pt>
                <c:pt idx="47">
                  <c:v>1920</c:v>
                </c:pt>
                <c:pt idx="48">
                  <c:v>1921</c:v>
                </c:pt>
                <c:pt idx="49">
                  <c:v>1922</c:v>
                </c:pt>
                <c:pt idx="50">
                  <c:v>1923</c:v>
                </c:pt>
                <c:pt idx="51">
                  <c:v>1924</c:v>
                </c:pt>
                <c:pt idx="52">
                  <c:v>1925</c:v>
                </c:pt>
                <c:pt idx="53">
                  <c:v>1926</c:v>
                </c:pt>
                <c:pt idx="54">
                  <c:v>1927</c:v>
                </c:pt>
                <c:pt idx="55">
                  <c:v>1928</c:v>
                </c:pt>
                <c:pt idx="56">
                  <c:v>1929</c:v>
                </c:pt>
                <c:pt idx="57">
                  <c:v>1930</c:v>
                </c:pt>
                <c:pt idx="58">
                  <c:v>1931</c:v>
                </c:pt>
                <c:pt idx="59">
                  <c:v>1932</c:v>
                </c:pt>
                <c:pt idx="60">
                  <c:v>1933</c:v>
                </c:pt>
                <c:pt idx="61">
                  <c:v>1934</c:v>
                </c:pt>
                <c:pt idx="62">
                  <c:v>1935</c:v>
                </c:pt>
                <c:pt idx="63">
                  <c:v>1936</c:v>
                </c:pt>
                <c:pt idx="64">
                  <c:v>1937</c:v>
                </c:pt>
                <c:pt idx="65">
                  <c:v>1938</c:v>
                </c:pt>
                <c:pt idx="66">
                  <c:v>1939</c:v>
                </c:pt>
                <c:pt idx="67">
                  <c:v>1940</c:v>
                </c:pt>
                <c:pt idx="68">
                  <c:v>1941</c:v>
                </c:pt>
                <c:pt idx="69">
                  <c:v>1942</c:v>
                </c:pt>
                <c:pt idx="70">
                  <c:v>1943</c:v>
                </c:pt>
                <c:pt idx="71">
                  <c:v>1944</c:v>
                </c:pt>
                <c:pt idx="72">
                  <c:v>1945</c:v>
                </c:pt>
                <c:pt idx="73">
                  <c:v>1946</c:v>
                </c:pt>
                <c:pt idx="74">
                  <c:v>1947</c:v>
                </c:pt>
                <c:pt idx="75">
                  <c:v>1948</c:v>
                </c:pt>
                <c:pt idx="76">
                  <c:v>1949</c:v>
                </c:pt>
                <c:pt idx="77">
                  <c:v>1950</c:v>
                </c:pt>
                <c:pt idx="78">
                  <c:v>1951</c:v>
                </c:pt>
                <c:pt idx="79">
                  <c:v>1952</c:v>
                </c:pt>
                <c:pt idx="80">
                  <c:v>1953</c:v>
                </c:pt>
                <c:pt idx="81">
                  <c:v>1954</c:v>
                </c:pt>
                <c:pt idx="82">
                  <c:v>1955</c:v>
                </c:pt>
                <c:pt idx="83">
                  <c:v>1956</c:v>
                </c:pt>
                <c:pt idx="84">
                  <c:v>1957</c:v>
                </c:pt>
                <c:pt idx="85">
                  <c:v>1958</c:v>
                </c:pt>
                <c:pt idx="86">
                  <c:v>1959</c:v>
                </c:pt>
                <c:pt idx="87">
                  <c:v>1960</c:v>
                </c:pt>
                <c:pt idx="88">
                  <c:v>1961</c:v>
                </c:pt>
                <c:pt idx="89">
                  <c:v>1962</c:v>
                </c:pt>
                <c:pt idx="90">
                  <c:v>1963</c:v>
                </c:pt>
                <c:pt idx="91">
                  <c:v>1964</c:v>
                </c:pt>
                <c:pt idx="92">
                  <c:v>1965</c:v>
                </c:pt>
                <c:pt idx="93">
                  <c:v>1966</c:v>
                </c:pt>
                <c:pt idx="94">
                  <c:v>1967</c:v>
                </c:pt>
                <c:pt idx="95">
                  <c:v>1968</c:v>
                </c:pt>
                <c:pt idx="96">
                  <c:v>1969</c:v>
                </c:pt>
                <c:pt idx="97">
                  <c:v>1970</c:v>
                </c:pt>
                <c:pt idx="98">
                  <c:v>1971</c:v>
                </c:pt>
                <c:pt idx="99">
                  <c:v>1972</c:v>
                </c:pt>
                <c:pt idx="100">
                  <c:v>1973</c:v>
                </c:pt>
                <c:pt idx="101">
                  <c:v>1974</c:v>
                </c:pt>
                <c:pt idx="102">
                  <c:v>1975</c:v>
                </c:pt>
                <c:pt idx="103">
                  <c:v>1976</c:v>
                </c:pt>
                <c:pt idx="104">
                  <c:v>1977</c:v>
                </c:pt>
                <c:pt idx="105">
                  <c:v>1978</c:v>
                </c:pt>
                <c:pt idx="106">
                  <c:v>1979</c:v>
                </c:pt>
                <c:pt idx="107">
                  <c:v>1980</c:v>
                </c:pt>
                <c:pt idx="108">
                  <c:v>1981</c:v>
                </c:pt>
                <c:pt idx="109">
                  <c:v>1982</c:v>
                </c:pt>
                <c:pt idx="110">
                  <c:v>1983</c:v>
                </c:pt>
                <c:pt idx="111">
                  <c:v>1984</c:v>
                </c:pt>
                <c:pt idx="112">
                  <c:v>1985</c:v>
                </c:pt>
                <c:pt idx="113">
                  <c:v>1986</c:v>
                </c:pt>
                <c:pt idx="114">
                  <c:v>1987</c:v>
                </c:pt>
                <c:pt idx="115">
                  <c:v>1988</c:v>
                </c:pt>
                <c:pt idx="116">
                  <c:v>1989</c:v>
                </c:pt>
                <c:pt idx="117">
                  <c:v>1990</c:v>
                </c:pt>
                <c:pt idx="118">
                  <c:v>1991</c:v>
                </c:pt>
                <c:pt idx="119">
                  <c:v>1992</c:v>
                </c:pt>
                <c:pt idx="120">
                  <c:v>1993</c:v>
                </c:pt>
                <c:pt idx="121">
                  <c:v>1994</c:v>
                </c:pt>
                <c:pt idx="122">
                  <c:v>1995</c:v>
                </c:pt>
                <c:pt idx="123">
                  <c:v>1996</c:v>
                </c:pt>
                <c:pt idx="124">
                  <c:v>1997</c:v>
                </c:pt>
                <c:pt idx="125">
                  <c:v>1998</c:v>
                </c:pt>
                <c:pt idx="126">
                  <c:v>1999</c:v>
                </c:pt>
                <c:pt idx="127">
                  <c:v>2000</c:v>
                </c:pt>
                <c:pt idx="128">
                  <c:v>2001</c:v>
                </c:pt>
                <c:pt idx="129">
                  <c:v>2002</c:v>
                </c:pt>
                <c:pt idx="130">
                  <c:v>2003</c:v>
                </c:pt>
                <c:pt idx="131">
                  <c:v>2004</c:v>
                </c:pt>
                <c:pt idx="132">
                  <c:v>2005</c:v>
                </c:pt>
                <c:pt idx="133">
                  <c:v>2006</c:v>
                </c:pt>
                <c:pt idx="134">
                  <c:v>2007</c:v>
                </c:pt>
                <c:pt idx="135">
                  <c:v>2008</c:v>
                </c:pt>
                <c:pt idx="136">
                  <c:v>2009</c:v>
                </c:pt>
                <c:pt idx="137">
                  <c:v>2010</c:v>
                </c:pt>
                <c:pt idx="138">
                  <c:v>2011</c:v>
                </c:pt>
                <c:pt idx="139">
                  <c:v>2012</c:v>
                </c:pt>
                <c:pt idx="140">
                  <c:v>2013</c:v>
                </c:pt>
                <c:pt idx="141">
                  <c:v>2014</c:v>
                </c:pt>
                <c:pt idx="142">
                  <c:v>2015</c:v>
                </c:pt>
                <c:pt idx="143">
                  <c:v>2016</c:v>
                </c:pt>
                <c:pt idx="144">
                  <c:v>2017</c:v>
                </c:pt>
                <c:pt idx="145">
                  <c:v>2018</c:v>
                </c:pt>
                <c:pt idx="146">
                  <c:v>2019</c:v>
                </c:pt>
                <c:pt idx="147">
                  <c:v>2020</c:v>
                </c:pt>
                <c:pt idx="148">
                  <c:v>2021</c:v>
                </c:pt>
                <c:pt idx="149">
                  <c:v>2022</c:v>
                </c:pt>
                <c:pt idx="150">
                  <c:v>2023</c:v>
                </c:pt>
                <c:pt idx="151">
                  <c:v>2024</c:v>
                </c:pt>
                <c:pt idx="152">
                  <c:v>2025</c:v>
                </c:pt>
                <c:pt idx="153">
                  <c:v>2026</c:v>
                </c:pt>
                <c:pt idx="154">
                  <c:v>2027</c:v>
                </c:pt>
                <c:pt idx="155">
                  <c:v>2028</c:v>
                </c:pt>
                <c:pt idx="156">
                  <c:v>2029</c:v>
                </c:pt>
                <c:pt idx="157">
                  <c:v>2030</c:v>
                </c:pt>
                <c:pt idx="158">
                  <c:v>2031</c:v>
                </c:pt>
                <c:pt idx="159">
                  <c:v>2032</c:v>
                </c:pt>
                <c:pt idx="160">
                  <c:v>2033</c:v>
                </c:pt>
                <c:pt idx="161">
                  <c:v>2034</c:v>
                </c:pt>
                <c:pt idx="162">
                  <c:v>2035</c:v>
                </c:pt>
                <c:pt idx="163">
                  <c:v>2036</c:v>
                </c:pt>
                <c:pt idx="164">
                  <c:v>2037</c:v>
                </c:pt>
                <c:pt idx="165">
                  <c:v>2038</c:v>
                </c:pt>
                <c:pt idx="166">
                  <c:v>2039</c:v>
                </c:pt>
                <c:pt idx="167">
                  <c:v>2040</c:v>
                </c:pt>
                <c:pt idx="168">
                  <c:v>2041</c:v>
                </c:pt>
                <c:pt idx="169">
                  <c:v>2042</c:v>
                </c:pt>
                <c:pt idx="170">
                  <c:v>2043</c:v>
                </c:pt>
                <c:pt idx="171">
                  <c:v>2044</c:v>
                </c:pt>
                <c:pt idx="172">
                  <c:v>2045</c:v>
                </c:pt>
                <c:pt idx="173">
                  <c:v>2046</c:v>
                </c:pt>
                <c:pt idx="174">
                  <c:v>2047</c:v>
                </c:pt>
                <c:pt idx="175">
                  <c:v>2048</c:v>
                </c:pt>
                <c:pt idx="176">
                  <c:v>2049</c:v>
                </c:pt>
                <c:pt idx="177">
                  <c:v>2050</c:v>
                </c:pt>
                <c:pt idx="178">
                  <c:v>2051</c:v>
                </c:pt>
                <c:pt idx="179">
                  <c:v>2052</c:v>
                </c:pt>
                <c:pt idx="180">
                  <c:v>2053</c:v>
                </c:pt>
                <c:pt idx="181">
                  <c:v>2054</c:v>
                </c:pt>
                <c:pt idx="182">
                  <c:v>2055</c:v>
                </c:pt>
                <c:pt idx="183">
                  <c:v>2056</c:v>
                </c:pt>
                <c:pt idx="184">
                  <c:v>2057</c:v>
                </c:pt>
                <c:pt idx="185">
                  <c:v>2058</c:v>
                </c:pt>
                <c:pt idx="186">
                  <c:v>2059</c:v>
                </c:pt>
                <c:pt idx="187">
                  <c:v>2060</c:v>
                </c:pt>
                <c:pt idx="188">
                  <c:v>2061</c:v>
                </c:pt>
                <c:pt idx="189">
                  <c:v>2062</c:v>
                </c:pt>
                <c:pt idx="190">
                  <c:v>2063</c:v>
                </c:pt>
                <c:pt idx="191">
                  <c:v>2064</c:v>
                </c:pt>
                <c:pt idx="192">
                  <c:v>2065</c:v>
                </c:pt>
                <c:pt idx="193">
                  <c:v>2066</c:v>
                </c:pt>
                <c:pt idx="194">
                  <c:v>2067</c:v>
                </c:pt>
                <c:pt idx="195">
                  <c:v>2068</c:v>
                </c:pt>
                <c:pt idx="196">
                  <c:v>2069</c:v>
                </c:pt>
                <c:pt idx="197">
                  <c:v>2070</c:v>
                </c:pt>
                <c:pt idx="198">
                  <c:v>2071</c:v>
                </c:pt>
                <c:pt idx="199">
                  <c:v>2072</c:v>
                </c:pt>
                <c:pt idx="200">
                  <c:v>2073</c:v>
                </c:pt>
                <c:pt idx="201">
                  <c:v>2074</c:v>
                </c:pt>
                <c:pt idx="202">
                  <c:v>2075</c:v>
                </c:pt>
                <c:pt idx="203">
                  <c:v>2076</c:v>
                </c:pt>
                <c:pt idx="204">
                  <c:v>2077</c:v>
                </c:pt>
                <c:pt idx="205">
                  <c:v>2078</c:v>
                </c:pt>
                <c:pt idx="206">
                  <c:v>2079</c:v>
                </c:pt>
                <c:pt idx="207">
                  <c:v>2080</c:v>
                </c:pt>
                <c:pt idx="208">
                  <c:v>2081</c:v>
                </c:pt>
                <c:pt idx="209">
                  <c:v>2082</c:v>
                </c:pt>
                <c:pt idx="210">
                  <c:v>2083</c:v>
                </c:pt>
                <c:pt idx="211">
                  <c:v>2084</c:v>
                </c:pt>
                <c:pt idx="212">
                  <c:v>2085</c:v>
                </c:pt>
                <c:pt idx="213">
                  <c:v>2086</c:v>
                </c:pt>
                <c:pt idx="214">
                  <c:v>2087</c:v>
                </c:pt>
                <c:pt idx="215">
                  <c:v>2088</c:v>
                </c:pt>
                <c:pt idx="216">
                  <c:v>2089</c:v>
                </c:pt>
                <c:pt idx="217">
                  <c:v>2090</c:v>
                </c:pt>
                <c:pt idx="218">
                  <c:v>2091</c:v>
                </c:pt>
                <c:pt idx="219">
                  <c:v>2092</c:v>
                </c:pt>
                <c:pt idx="220">
                  <c:v>2093</c:v>
                </c:pt>
                <c:pt idx="221">
                  <c:v>2094</c:v>
                </c:pt>
                <c:pt idx="222">
                  <c:v>2095</c:v>
                </c:pt>
                <c:pt idx="223">
                  <c:v>2096</c:v>
                </c:pt>
                <c:pt idx="224">
                  <c:v>2097</c:v>
                </c:pt>
                <c:pt idx="225">
                  <c:v>2098</c:v>
                </c:pt>
                <c:pt idx="226">
                  <c:v>2099</c:v>
                </c:pt>
                <c:pt idx="227">
                  <c:v>2100</c:v>
                </c:pt>
                <c:pt idx="228">
                  <c:v>2101</c:v>
                </c:pt>
                <c:pt idx="229">
                  <c:v>2102</c:v>
                </c:pt>
                <c:pt idx="230">
                  <c:v>2103</c:v>
                </c:pt>
                <c:pt idx="231">
                  <c:v>2104</c:v>
                </c:pt>
                <c:pt idx="232">
                  <c:v>2105</c:v>
                </c:pt>
                <c:pt idx="233">
                  <c:v>2106</c:v>
                </c:pt>
                <c:pt idx="234">
                  <c:v>2107</c:v>
                </c:pt>
                <c:pt idx="235">
                  <c:v>2108</c:v>
                </c:pt>
                <c:pt idx="236">
                  <c:v>2109</c:v>
                </c:pt>
                <c:pt idx="237">
                  <c:v>2110</c:v>
                </c:pt>
                <c:pt idx="238">
                  <c:v>2111</c:v>
                </c:pt>
                <c:pt idx="239">
                  <c:v>2112</c:v>
                </c:pt>
                <c:pt idx="240">
                  <c:v>2113</c:v>
                </c:pt>
                <c:pt idx="241">
                  <c:v>2114</c:v>
                </c:pt>
                <c:pt idx="242">
                  <c:v>2115</c:v>
                </c:pt>
                <c:pt idx="243">
                  <c:v>2116</c:v>
                </c:pt>
                <c:pt idx="244">
                  <c:v>2117</c:v>
                </c:pt>
                <c:pt idx="245">
                  <c:v>2118</c:v>
                </c:pt>
                <c:pt idx="246">
                  <c:v>2119</c:v>
                </c:pt>
                <c:pt idx="247">
                  <c:v>2120</c:v>
                </c:pt>
                <c:pt idx="248">
                  <c:v>2121</c:v>
                </c:pt>
                <c:pt idx="249">
                  <c:v>2122</c:v>
                </c:pt>
                <c:pt idx="250">
                  <c:v>2123</c:v>
                </c:pt>
                <c:pt idx="251">
                  <c:v>2124</c:v>
                </c:pt>
                <c:pt idx="252">
                  <c:v>2125</c:v>
                </c:pt>
                <c:pt idx="253">
                  <c:v>2126</c:v>
                </c:pt>
                <c:pt idx="254">
                  <c:v>2127</c:v>
                </c:pt>
                <c:pt idx="255">
                  <c:v>2128</c:v>
                </c:pt>
                <c:pt idx="256">
                  <c:v>2129</c:v>
                </c:pt>
                <c:pt idx="257">
                  <c:v>2130</c:v>
                </c:pt>
                <c:pt idx="258">
                  <c:v>2131</c:v>
                </c:pt>
                <c:pt idx="259">
                  <c:v>2132</c:v>
                </c:pt>
                <c:pt idx="260">
                  <c:v>2133</c:v>
                </c:pt>
                <c:pt idx="261">
                  <c:v>2134</c:v>
                </c:pt>
                <c:pt idx="262">
                  <c:v>2135</c:v>
                </c:pt>
                <c:pt idx="263">
                  <c:v>2136</c:v>
                </c:pt>
                <c:pt idx="264">
                  <c:v>2137</c:v>
                </c:pt>
                <c:pt idx="265">
                  <c:v>2138</c:v>
                </c:pt>
                <c:pt idx="266">
                  <c:v>2139</c:v>
                </c:pt>
                <c:pt idx="267">
                  <c:v>2140</c:v>
                </c:pt>
                <c:pt idx="268">
                  <c:v>2141</c:v>
                </c:pt>
                <c:pt idx="269">
                  <c:v>2142</c:v>
                </c:pt>
                <c:pt idx="270">
                  <c:v>2143</c:v>
                </c:pt>
                <c:pt idx="271">
                  <c:v>2144</c:v>
                </c:pt>
                <c:pt idx="272">
                  <c:v>2145</c:v>
                </c:pt>
                <c:pt idx="273">
                  <c:v>2146</c:v>
                </c:pt>
                <c:pt idx="274">
                  <c:v>2147</c:v>
                </c:pt>
                <c:pt idx="275">
                  <c:v>2148</c:v>
                </c:pt>
                <c:pt idx="276">
                  <c:v>2149</c:v>
                </c:pt>
                <c:pt idx="277">
                  <c:v>2150</c:v>
                </c:pt>
              </c:numCache>
            </c:numRef>
          </c:xVal>
          <c:yVal>
            <c:numRef>
              <c:f>'Japan and South Korea'!$E$8:$E$285</c:f>
              <c:numCache>
                <c:formatCode>0.0</c:formatCode>
                <c:ptCount val="278"/>
                <c:pt idx="1">
                  <c:v>0.20799999999999999</c:v>
                </c:pt>
                <c:pt idx="2">
                  <c:v>0.56699999999999995</c:v>
                </c:pt>
                <c:pt idx="3">
                  <c:v>0.54500000000000004</c:v>
                </c:pt>
                <c:pt idx="4">
                  <c:v>0.499</c:v>
                </c:pt>
                <c:pt idx="5">
                  <c:v>0.68</c:v>
                </c:pt>
                <c:pt idx="6">
                  <c:v>0.85799999999999998</c:v>
                </c:pt>
                <c:pt idx="7">
                  <c:v>0.88200000000000001</c:v>
                </c:pt>
                <c:pt idx="8">
                  <c:v>0.92600000000000005</c:v>
                </c:pt>
                <c:pt idx="9">
                  <c:v>0.92900000000000005</c:v>
                </c:pt>
                <c:pt idx="10">
                  <c:v>1.0029999999999999</c:v>
                </c:pt>
                <c:pt idx="11">
                  <c:v>1.1399999999999999</c:v>
                </c:pt>
                <c:pt idx="12">
                  <c:v>1.294</c:v>
                </c:pt>
                <c:pt idx="13">
                  <c:v>1.3740000000000001</c:v>
                </c:pt>
                <c:pt idx="14">
                  <c:v>1.746</c:v>
                </c:pt>
                <c:pt idx="15">
                  <c:v>2.0230000000000001</c:v>
                </c:pt>
                <c:pt idx="16">
                  <c:v>2.3889999999999998</c:v>
                </c:pt>
                <c:pt idx="17">
                  <c:v>2.6080000000000001</c:v>
                </c:pt>
                <c:pt idx="18">
                  <c:v>3.1760000000000002</c:v>
                </c:pt>
                <c:pt idx="19">
                  <c:v>3.1760000000000002</c:v>
                </c:pt>
                <c:pt idx="20">
                  <c:v>3.3170000000000002</c:v>
                </c:pt>
                <c:pt idx="21">
                  <c:v>4.2679999999999998</c:v>
                </c:pt>
                <c:pt idx="22">
                  <c:v>4.7729999999999997</c:v>
                </c:pt>
                <c:pt idx="23">
                  <c:v>5.0199999999999996</c:v>
                </c:pt>
                <c:pt idx="24">
                  <c:v>5.1879999999999997</c:v>
                </c:pt>
                <c:pt idx="25">
                  <c:v>6.6959999999999997</c:v>
                </c:pt>
                <c:pt idx="26">
                  <c:v>6.7220000000000004</c:v>
                </c:pt>
                <c:pt idx="27">
                  <c:v>7.4290000000000003</c:v>
                </c:pt>
                <c:pt idx="28">
                  <c:v>8.9459999999999997</c:v>
                </c:pt>
                <c:pt idx="29">
                  <c:v>9.702</c:v>
                </c:pt>
                <c:pt idx="30">
                  <c:v>10.087999999999999</c:v>
                </c:pt>
                <c:pt idx="31">
                  <c:v>10.724</c:v>
                </c:pt>
                <c:pt idx="32">
                  <c:v>11.542</c:v>
                </c:pt>
                <c:pt idx="33">
                  <c:v>12.98</c:v>
                </c:pt>
                <c:pt idx="34">
                  <c:v>13.804</c:v>
                </c:pt>
                <c:pt idx="35">
                  <c:v>14.824999999999999</c:v>
                </c:pt>
                <c:pt idx="36">
                  <c:v>15.048</c:v>
                </c:pt>
                <c:pt idx="37">
                  <c:v>15.680999999999999</c:v>
                </c:pt>
                <c:pt idx="38">
                  <c:v>17.632999999999999</c:v>
                </c:pt>
                <c:pt idx="39">
                  <c:v>19.64</c:v>
                </c:pt>
                <c:pt idx="40">
                  <c:v>21.315999999999999</c:v>
                </c:pt>
                <c:pt idx="41">
                  <c:v>22.292999999999999</c:v>
                </c:pt>
                <c:pt idx="42">
                  <c:v>20.491</c:v>
                </c:pt>
                <c:pt idx="43">
                  <c:v>22.902000000000001</c:v>
                </c:pt>
                <c:pt idx="44">
                  <c:v>26.361000000000001</c:v>
                </c:pt>
                <c:pt idx="45">
                  <c:v>28.029</c:v>
                </c:pt>
                <c:pt idx="46">
                  <c:v>31.271000000000001</c:v>
                </c:pt>
                <c:pt idx="47">
                  <c:v>29.245000000000001</c:v>
                </c:pt>
                <c:pt idx="48">
                  <c:v>26.221</c:v>
                </c:pt>
                <c:pt idx="49">
                  <c:v>27.867999999999999</c:v>
                </c:pt>
                <c:pt idx="50">
                  <c:v>29.106000000000002</c:v>
                </c:pt>
                <c:pt idx="51">
                  <c:v>30.288</c:v>
                </c:pt>
                <c:pt idx="52">
                  <c:v>31.628</c:v>
                </c:pt>
                <c:pt idx="53">
                  <c:v>31.588000000000001</c:v>
                </c:pt>
                <c:pt idx="54">
                  <c:v>33.71</c:v>
                </c:pt>
                <c:pt idx="55">
                  <c:v>34.008000000000003</c:v>
                </c:pt>
                <c:pt idx="56">
                  <c:v>34.396999999999998</c:v>
                </c:pt>
                <c:pt idx="57">
                  <c:v>31.504999999999999</c:v>
                </c:pt>
                <c:pt idx="58">
                  <c:v>28.105</c:v>
                </c:pt>
                <c:pt idx="59">
                  <c:v>28.161000000000001</c:v>
                </c:pt>
                <c:pt idx="60">
                  <c:v>32.64</c:v>
                </c:pt>
                <c:pt idx="61">
                  <c:v>36.049999999999997</c:v>
                </c:pt>
                <c:pt idx="62">
                  <c:v>37.869999999999997</c:v>
                </c:pt>
                <c:pt idx="63">
                  <c:v>41.912999999999997</c:v>
                </c:pt>
                <c:pt idx="64">
                  <c:v>45.378999999999998</c:v>
                </c:pt>
                <c:pt idx="65">
                  <c:v>48.826000000000001</c:v>
                </c:pt>
                <c:pt idx="66">
                  <c:v>51.304000000000002</c:v>
                </c:pt>
                <c:pt idx="67">
                  <c:v>56.587000000000003</c:v>
                </c:pt>
                <c:pt idx="68">
                  <c:v>56.805999999999997</c:v>
                </c:pt>
                <c:pt idx="69">
                  <c:v>55.146999999999998</c:v>
                </c:pt>
                <c:pt idx="70">
                  <c:v>58.375999999999998</c:v>
                </c:pt>
                <c:pt idx="71">
                  <c:v>55.249000000000002</c:v>
                </c:pt>
                <c:pt idx="72">
                  <c:v>31.523</c:v>
                </c:pt>
                <c:pt idx="73">
                  <c:v>22.991</c:v>
                </c:pt>
                <c:pt idx="74">
                  <c:v>30.643000000000001</c:v>
                </c:pt>
                <c:pt idx="75">
                  <c:v>37.17</c:v>
                </c:pt>
                <c:pt idx="76">
                  <c:v>40.807000000000002</c:v>
                </c:pt>
                <c:pt idx="77">
                  <c:v>40.380000000000003</c:v>
                </c:pt>
                <c:pt idx="78">
                  <c:v>45.035000000000004</c:v>
                </c:pt>
                <c:pt idx="79">
                  <c:v>45.475000000000001</c:v>
                </c:pt>
                <c:pt idx="80">
                  <c:v>48.884</c:v>
                </c:pt>
                <c:pt idx="81">
                  <c:v>45.051000000000002</c:v>
                </c:pt>
                <c:pt idx="82">
                  <c:v>45.098999999999997</c:v>
                </c:pt>
                <c:pt idx="83">
                  <c:v>49.921999999999997</c:v>
                </c:pt>
                <c:pt idx="84">
                  <c:v>55.835000000000001</c:v>
                </c:pt>
                <c:pt idx="85">
                  <c:v>53.927</c:v>
                </c:pt>
                <c:pt idx="86">
                  <c:v>52.863</c:v>
                </c:pt>
                <c:pt idx="87">
                  <c:v>57.826000000000001</c:v>
                </c:pt>
                <c:pt idx="88">
                  <c:v>61.677</c:v>
                </c:pt>
                <c:pt idx="89">
                  <c:v>62.954000000000001</c:v>
                </c:pt>
                <c:pt idx="90">
                  <c:v>61.823999999999998</c:v>
                </c:pt>
                <c:pt idx="91">
                  <c:v>61.241999999999997</c:v>
                </c:pt>
                <c:pt idx="92">
                  <c:v>60.354999999999997</c:v>
                </c:pt>
                <c:pt idx="93">
                  <c:v>63.411999999999999</c:v>
                </c:pt>
                <c:pt idx="94">
                  <c:v>60.283999999999999</c:v>
                </c:pt>
                <c:pt idx="95">
                  <c:v>57.144999999999996</c:v>
                </c:pt>
                <c:pt idx="96">
                  <c:v>55.213999999999999</c:v>
                </c:pt>
                <c:pt idx="97">
                  <c:v>52.284999999999997</c:v>
                </c:pt>
                <c:pt idx="98">
                  <c:v>46.350999999999999</c:v>
                </c:pt>
                <c:pt idx="99">
                  <c:v>40.603000000000002</c:v>
                </c:pt>
                <c:pt idx="100">
                  <c:v>36.070999999999998</c:v>
                </c:pt>
                <c:pt idx="101">
                  <c:v>35.698</c:v>
                </c:pt>
                <c:pt idx="102">
                  <c:v>36.644999999999996</c:v>
                </c:pt>
                <c:pt idx="103">
                  <c:v>34.877000000000002</c:v>
                </c:pt>
                <c:pt idx="104">
                  <c:v>35.536000000000001</c:v>
                </c:pt>
                <c:pt idx="105">
                  <c:v>37.084999999999994</c:v>
                </c:pt>
                <c:pt idx="106">
                  <c:v>35.884</c:v>
                </c:pt>
                <c:pt idx="107">
                  <c:v>36.676000000000002</c:v>
                </c:pt>
                <c:pt idx="108">
                  <c:v>37.56</c:v>
                </c:pt>
                <c:pt idx="109">
                  <c:v>37.730000000000004</c:v>
                </c:pt>
                <c:pt idx="110">
                  <c:v>36.92</c:v>
                </c:pt>
                <c:pt idx="111">
                  <c:v>38.019999999999996</c:v>
                </c:pt>
                <c:pt idx="112">
                  <c:v>38.92</c:v>
                </c:pt>
                <c:pt idx="113">
                  <c:v>40.260000000000005</c:v>
                </c:pt>
                <c:pt idx="114">
                  <c:v>37.32</c:v>
                </c:pt>
                <c:pt idx="115">
                  <c:v>35.53</c:v>
                </c:pt>
                <c:pt idx="116">
                  <c:v>30.979999999999997</c:v>
                </c:pt>
                <c:pt idx="117">
                  <c:v>25.479999999999997</c:v>
                </c:pt>
                <c:pt idx="118">
                  <c:v>23.11</c:v>
                </c:pt>
                <c:pt idx="119">
                  <c:v>19.57</c:v>
                </c:pt>
                <c:pt idx="120">
                  <c:v>16.66</c:v>
                </c:pt>
                <c:pt idx="121">
                  <c:v>14.370000000000001</c:v>
                </c:pt>
                <c:pt idx="122">
                  <c:v>11.98</c:v>
                </c:pt>
                <c:pt idx="123">
                  <c:v>11.43</c:v>
                </c:pt>
                <c:pt idx="124">
                  <c:v>8.7799999999999994</c:v>
                </c:pt>
                <c:pt idx="125">
                  <c:v>8.02</c:v>
                </c:pt>
                <c:pt idx="126">
                  <c:v>8.11</c:v>
                </c:pt>
                <c:pt idx="127">
                  <c:v>7.28</c:v>
                </c:pt>
                <c:pt idx="128">
                  <c:v>7.02</c:v>
                </c:pt>
                <c:pt idx="129">
                  <c:v>4.6899999999999995</c:v>
                </c:pt>
                <c:pt idx="130">
                  <c:v>4.6399999999999997</c:v>
                </c:pt>
                <c:pt idx="131">
                  <c:v>4.53</c:v>
                </c:pt>
                <c:pt idx="132">
                  <c:v>3.92</c:v>
                </c:pt>
                <c:pt idx="133">
                  <c:v>4.1838689999999996</c:v>
                </c:pt>
                <c:pt idx="134">
                  <c:v>4.3093279999999998</c:v>
                </c:pt>
                <c:pt idx="135">
                  <c:v>4.00075</c:v>
                </c:pt>
                <c:pt idx="136">
                  <c:v>3.799671</c:v>
                </c:pt>
              </c:numCache>
            </c:numRef>
          </c:yVal>
          <c:smooth val="1"/>
          <c:extLst>
            <c:ext xmlns:c16="http://schemas.microsoft.com/office/drawing/2014/chart" uri="{C3380CC4-5D6E-409C-BE32-E72D297353CC}">
              <c16:uniqueId val="{00000000-DECC-3441-821F-0FBDF4698007}"/>
            </c:ext>
          </c:extLst>
        </c:ser>
        <c:dLbls>
          <c:showLegendKey val="0"/>
          <c:showVal val="0"/>
          <c:showCatName val="0"/>
          <c:showSerName val="0"/>
          <c:showPercent val="0"/>
          <c:showBubbleSize val="0"/>
        </c:dLbls>
        <c:axId val="131585920"/>
        <c:axId val="131592960"/>
      </c:scatterChart>
      <c:valAx>
        <c:axId val="131585920"/>
        <c:scaling>
          <c:orientation val="minMax"/>
          <c:max val="2020"/>
          <c:min val="188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592960"/>
        <c:crosses val="autoZero"/>
        <c:crossBetween val="midCat"/>
        <c:majorUnit val="70"/>
        <c:minorUnit val="10"/>
      </c:valAx>
      <c:valAx>
        <c:axId val="131592960"/>
        <c:scaling>
          <c:orientation val="minMax"/>
          <c:max val="64"/>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240681576144838"/>
              <c:y val="0.17766550014581511"/>
            </c:manualLayout>
          </c:layout>
          <c:overlay val="0"/>
        </c:title>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585920"/>
        <c:crosses val="max"/>
        <c:crossBetween val="midCat"/>
        <c:majorUnit val="3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7606315983662442"/>
          <c:h val="0.77264654418197765"/>
        </c:manualLayout>
      </c:layout>
      <c:scatterChart>
        <c:scatterStyle val="smoothMarker"/>
        <c:varyColors val="0"/>
        <c:ser>
          <c:idx val="0"/>
          <c:order val="0"/>
          <c:tx>
            <c:strRef>
              <c:f>'Japan and South Korea'!$G$7</c:f>
              <c:strCache>
                <c:ptCount val="1"/>
                <c:pt idx="0">
                  <c:v>probit</c:v>
                </c:pt>
              </c:strCache>
            </c:strRef>
          </c:tx>
          <c:spPr>
            <a:ln w="15875">
              <a:solidFill>
                <a:srgbClr val="008000"/>
              </a:solidFill>
            </a:ln>
          </c:spPr>
          <c:marker>
            <c:symbol val="none"/>
          </c:marker>
          <c:xVal>
            <c:numRef>
              <c:f>'Japan and South Korea'!$D$53:$D$219</c:f>
              <c:numCache>
                <c:formatCode>General</c:formatCode>
                <c:ptCount val="167"/>
                <c:pt idx="0">
                  <c:v>1918</c:v>
                </c:pt>
                <c:pt idx="1">
                  <c:v>1919</c:v>
                </c:pt>
                <c:pt idx="2">
                  <c:v>1920</c:v>
                </c:pt>
                <c:pt idx="3">
                  <c:v>1921</c:v>
                </c:pt>
                <c:pt idx="4">
                  <c:v>1922</c:v>
                </c:pt>
                <c:pt idx="5">
                  <c:v>1923</c:v>
                </c:pt>
                <c:pt idx="6">
                  <c:v>1924</c:v>
                </c:pt>
                <c:pt idx="7">
                  <c:v>1925</c:v>
                </c:pt>
                <c:pt idx="8">
                  <c:v>1926</c:v>
                </c:pt>
                <c:pt idx="9">
                  <c:v>1927</c:v>
                </c:pt>
                <c:pt idx="10">
                  <c:v>1928</c:v>
                </c:pt>
                <c:pt idx="11">
                  <c:v>1929</c:v>
                </c:pt>
                <c:pt idx="12">
                  <c:v>1930</c:v>
                </c:pt>
                <c:pt idx="13">
                  <c:v>1931</c:v>
                </c:pt>
                <c:pt idx="14">
                  <c:v>1932</c:v>
                </c:pt>
                <c:pt idx="15">
                  <c:v>1933</c:v>
                </c:pt>
                <c:pt idx="16">
                  <c:v>1934</c:v>
                </c:pt>
                <c:pt idx="17">
                  <c:v>1935</c:v>
                </c:pt>
                <c:pt idx="18">
                  <c:v>1936</c:v>
                </c:pt>
                <c:pt idx="19">
                  <c:v>1937</c:v>
                </c:pt>
                <c:pt idx="20">
                  <c:v>1938</c:v>
                </c:pt>
                <c:pt idx="21">
                  <c:v>1939</c:v>
                </c:pt>
                <c:pt idx="22">
                  <c:v>1940</c:v>
                </c:pt>
                <c:pt idx="23">
                  <c:v>1941</c:v>
                </c:pt>
                <c:pt idx="24">
                  <c:v>1942</c:v>
                </c:pt>
                <c:pt idx="25">
                  <c:v>1943</c:v>
                </c:pt>
                <c:pt idx="26">
                  <c:v>1944</c:v>
                </c:pt>
                <c:pt idx="27">
                  <c:v>1945</c:v>
                </c:pt>
                <c:pt idx="28">
                  <c:v>1946</c:v>
                </c:pt>
                <c:pt idx="29">
                  <c:v>1947</c:v>
                </c:pt>
                <c:pt idx="30">
                  <c:v>1948</c:v>
                </c:pt>
                <c:pt idx="31">
                  <c:v>1949</c:v>
                </c:pt>
                <c:pt idx="32">
                  <c:v>1950</c:v>
                </c:pt>
                <c:pt idx="33">
                  <c:v>1951</c:v>
                </c:pt>
                <c:pt idx="34">
                  <c:v>1952</c:v>
                </c:pt>
                <c:pt idx="35">
                  <c:v>1953</c:v>
                </c:pt>
                <c:pt idx="36">
                  <c:v>1954</c:v>
                </c:pt>
                <c:pt idx="37">
                  <c:v>1955</c:v>
                </c:pt>
                <c:pt idx="38">
                  <c:v>1956</c:v>
                </c:pt>
                <c:pt idx="39">
                  <c:v>1957</c:v>
                </c:pt>
                <c:pt idx="40">
                  <c:v>1958</c:v>
                </c:pt>
                <c:pt idx="41">
                  <c:v>1959</c:v>
                </c:pt>
                <c:pt idx="42">
                  <c:v>1960</c:v>
                </c:pt>
                <c:pt idx="43">
                  <c:v>1961</c:v>
                </c:pt>
                <c:pt idx="44">
                  <c:v>1962</c:v>
                </c:pt>
                <c:pt idx="45">
                  <c:v>1963</c:v>
                </c:pt>
                <c:pt idx="46">
                  <c:v>1964</c:v>
                </c:pt>
                <c:pt idx="47">
                  <c:v>1965</c:v>
                </c:pt>
                <c:pt idx="48">
                  <c:v>1966</c:v>
                </c:pt>
                <c:pt idx="49">
                  <c:v>1967</c:v>
                </c:pt>
                <c:pt idx="50">
                  <c:v>1968</c:v>
                </c:pt>
                <c:pt idx="51">
                  <c:v>1969</c:v>
                </c:pt>
                <c:pt idx="52">
                  <c:v>1970</c:v>
                </c:pt>
                <c:pt idx="53">
                  <c:v>1971</c:v>
                </c:pt>
                <c:pt idx="54">
                  <c:v>1972</c:v>
                </c:pt>
                <c:pt idx="55">
                  <c:v>1973</c:v>
                </c:pt>
                <c:pt idx="56">
                  <c:v>1974</c:v>
                </c:pt>
                <c:pt idx="57">
                  <c:v>1975</c:v>
                </c:pt>
                <c:pt idx="58">
                  <c:v>1976</c:v>
                </c:pt>
                <c:pt idx="59">
                  <c:v>1977</c:v>
                </c:pt>
                <c:pt idx="60">
                  <c:v>1978</c:v>
                </c:pt>
                <c:pt idx="61">
                  <c:v>1979</c:v>
                </c:pt>
                <c:pt idx="62">
                  <c:v>1980</c:v>
                </c:pt>
                <c:pt idx="63">
                  <c:v>1981</c:v>
                </c:pt>
                <c:pt idx="64">
                  <c:v>1982</c:v>
                </c:pt>
                <c:pt idx="65">
                  <c:v>1983</c:v>
                </c:pt>
                <c:pt idx="66">
                  <c:v>1984</c:v>
                </c:pt>
                <c:pt idx="67">
                  <c:v>1985</c:v>
                </c:pt>
                <c:pt idx="68">
                  <c:v>1986</c:v>
                </c:pt>
                <c:pt idx="69">
                  <c:v>1987</c:v>
                </c:pt>
                <c:pt idx="70">
                  <c:v>1988</c:v>
                </c:pt>
                <c:pt idx="71">
                  <c:v>1989</c:v>
                </c:pt>
                <c:pt idx="72">
                  <c:v>1990</c:v>
                </c:pt>
                <c:pt idx="73">
                  <c:v>1991</c:v>
                </c:pt>
                <c:pt idx="74">
                  <c:v>1992</c:v>
                </c:pt>
                <c:pt idx="75">
                  <c:v>1993</c:v>
                </c:pt>
                <c:pt idx="76">
                  <c:v>1994</c:v>
                </c:pt>
                <c:pt idx="77">
                  <c:v>1995</c:v>
                </c:pt>
                <c:pt idx="78">
                  <c:v>1996</c:v>
                </c:pt>
                <c:pt idx="79">
                  <c:v>1997</c:v>
                </c:pt>
                <c:pt idx="80">
                  <c:v>1998</c:v>
                </c:pt>
                <c:pt idx="81">
                  <c:v>1999</c:v>
                </c:pt>
                <c:pt idx="82">
                  <c:v>2000</c:v>
                </c:pt>
                <c:pt idx="83">
                  <c:v>2001</c:v>
                </c:pt>
                <c:pt idx="84">
                  <c:v>2002</c:v>
                </c:pt>
                <c:pt idx="85">
                  <c:v>2003</c:v>
                </c:pt>
                <c:pt idx="86">
                  <c:v>2004</c:v>
                </c:pt>
                <c:pt idx="87">
                  <c:v>2005</c:v>
                </c:pt>
                <c:pt idx="88">
                  <c:v>2006</c:v>
                </c:pt>
                <c:pt idx="89">
                  <c:v>2007</c:v>
                </c:pt>
                <c:pt idx="90">
                  <c:v>2008</c:v>
                </c:pt>
                <c:pt idx="91">
                  <c:v>2009</c:v>
                </c:pt>
                <c:pt idx="92">
                  <c:v>2010</c:v>
                </c:pt>
                <c:pt idx="93">
                  <c:v>2011</c:v>
                </c:pt>
                <c:pt idx="94">
                  <c:v>2012</c:v>
                </c:pt>
                <c:pt idx="95">
                  <c:v>2013</c:v>
                </c:pt>
                <c:pt idx="96">
                  <c:v>2014</c:v>
                </c:pt>
                <c:pt idx="97">
                  <c:v>2015</c:v>
                </c:pt>
                <c:pt idx="98">
                  <c:v>2016</c:v>
                </c:pt>
                <c:pt idx="99">
                  <c:v>2017</c:v>
                </c:pt>
                <c:pt idx="100">
                  <c:v>2018</c:v>
                </c:pt>
                <c:pt idx="101">
                  <c:v>2019</c:v>
                </c:pt>
                <c:pt idx="102">
                  <c:v>2020</c:v>
                </c:pt>
                <c:pt idx="103">
                  <c:v>2021</c:v>
                </c:pt>
                <c:pt idx="104">
                  <c:v>2022</c:v>
                </c:pt>
                <c:pt idx="105">
                  <c:v>2023</c:v>
                </c:pt>
                <c:pt idx="106">
                  <c:v>2024</c:v>
                </c:pt>
                <c:pt idx="107">
                  <c:v>2025</c:v>
                </c:pt>
                <c:pt idx="108">
                  <c:v>2026</c:v>
                </c:pt>
                <c:pt idx="109">
                  <c:v>2027</c:v>
                </c:pt>
                <c:pt idx="110">
                  <c:v>2028</c:v>
                </c:pt>
                <c:pt idx="111">
                  <c:v>2029</c:v>
                </c:pt>
                <c:pt idx="112">
                  <c:v>2030</c:v>
                </c:pt>
                <c:pt idx="113">
                  <c:v>2031</c:v>
                </c:pt>
                <c:pt idx="114">
                  <c:v>2032</c:v>
                </c:pt>
                <c:pt idx="115">
                  <c:v>2033</c:v>
                </c:pt>
                <c:pt idx="116">
                  <c:v>2034</c:v>
                </c:pt>
                <c:pt idx="117">
                  <c:v>2035</c:v>
                </c:pt>
                <c:pt idx="118">
                  <c:v>2036</c:v>
                </c:pt>
                <c:pt idx="119">
                  <c:v>2037</c:v>
                </c:pt>
                <c:pt idx="120">
                  <c:v>2038</c:v>
                </c:pt>
                <c:pt idx="121">
                  <c:v>2039</c:v>
                </c:pt>
                <c:pt idx="122">
                  <c:v>2040</c:v>
                </c:pt>
                <c:pt idx="123">
                  <c:v>2041</c:v>
                </c:pt>
                <c:pt idx="124">
                  <c:v>2042</c:v>
                </c:pt>
                <c:pt idx="125">
                  <c:v>2043</c:v>
                </c:pt>
                <c:pt idx="126">
                  <c:v>2044</c:v>
                </c:pt>
                <c:pt idx="127">
                  <c:v>2045</c:v>
                </c:pt>
                <c:pt idx="128">
                  <c:v>2046</c:v>
                </c:pt>
                <c:pt idx="129">
                  <c:v>2047</c:v>
                </c:pt>
                <c:pt idx="130">
                  <c:v>2048</c:v>
                </c:pt>
                <c:pt idx="131">
                  <c:v>2049</c:v>
                </c:pt>
                <c:pt idx="132">
                  <c:v>2050</c:v>
                </c:pt>
                <c:pt idx="133">
                  <c:v>2051</c:v>
                </c:pt>
                <c:pt idx="134">
                  <c:v>2052</c:v>
                </c:pt>
                <c:pt idx="135">
                  <c:v>2053</c:v>
                </c:pt>
                <c:pt idx="136">
                  <c:v>2054</c:v>
                </c:pt>
                <c:pt idx="137">
                  <c:v>2055</c:v>
                </c:pt>
                <c:pt idx="138">
                  <c:v>2056</c:v>
                </c:pt>
                <c:pt idx="139">
                  <c:v>2057</c:v>
                </c:pt>
                <c:pt idx="140">
                  <c:v>2058</c:v>
                </c:pt>
                <c:pt idx="141">
                  <c:v>2059</c:v>
                </c:pt>
                <c:pt idx="142">
                  <c:v>2060</c:v>
                </c:pt>
                <c:pt idx="143">
                  <c:v>2061</c:v>
                </c:pt>
                <c:pt idx="144">
                  <c:v>2062</c:v>
                </c:pt>
                <c:pt idx="145">
                  <c:v>2063</c:v>
                </c:pt>
                <c:pt idx="146">
                  <c:v>2064</c:v>
                </c:pt>
                <c:pt idx="147">
                  <c:v>2065</c:v>
                </c:pt>
                <c:pt idx="148">
                  <c:v>2066</c:v>
                </c:pt>
                <c:pt idx="149">
                  <c:v>2067</c:v>
                </c:pt>
                <c:pt idx="150">
                  <c:v>2068</c:v>
                </c:pt>
                <c:pt idx="151">
                  <c:v>2069</c:v>
                </c:pt>
                <c:pt idx="152">
                  <c:v>2070</c:v>
                </c:pt>
                <c:pt idx="153">
                  <c:v>2071</c:v>
                </c:pt>
                <c:pt idx="154">
                  <c:v>2072</c:v>
                </c:pt>
                <c:pt idx="155">
                  <c:v>2073</c:v>
                </c:pt>
                <c:pt idx="156">
                  <c:v>2074</c:v>
                </c:pt>
                <c:pt idx="157">
                  <c:v>2075</c:v>
                </c:pt>
                <c:pt idx="158">
                  <c:v>2076</c:v>
                </c:pt>
                <c:pt idx="159">
                  <c:v>2077</c:v>
                </c:pt>
                <c:pt idx="160">
                  <c:v>2078</c:v>
                </c:pt>
                <c:pt idx="161">
                  <c:v>2079</c:v>
                </c:pt>
                <c:pt idx="162">
                  <c:v>2080</c:v>
                </c:pt>
                <c:pt idx="163">
                  <c:v>2081</c:v>
                </c:pt>
                <c:pt idx="164">
                  <c:v>2082</c:v>
                </c:pt>
                <c:pt idx="165">
                  <c:v>2083</c:v>
                </c:pt>
                <c:pt idx="166">
                  <c:v>2084</c:v>
                </c:pt>
              </c:numCache>
            </c:numRef>
          </c:xVal>
          <c:yVal>
            <c:numRef>
              <c:f>'Japan and South Korea'!$G$53:$G$219</c:f>
              <c:numCache>
                <c:formatCode>0.00</c:formatCode>
                <c:ptCount val="167"/>
                <c:pt idx="0">
                  <c:v>-1.2782004814635042</c:v>
                </c:pt>
                <c:pt idx="1">
                  <c:v>-1.2315542213134616</c:v>
                </c:pt>
                <c:pt idx="2">
                  <c:v>-1.1902319504854204</c:v>
                </c:pt>
                <c:pt idx="3">
                  <c:v>-1.1548375011190515</c:v>
                </c:pt>
                <c:pt idx="4">
                  <c:v>-1.1187407422127824</c:v>
                </c:pt>
                <c:pt idx="5">
                  <c:v>-1.0825345725883109</c:v>
                </c:pt>
                <c:pt idx="6">
                  <c:v>-1.0463064760391676</c:v>
                </c:pt>
                <c:pt idx="7">
                  <c:v>-1.0098861943227035</c:v>
                </c:pt>
                <c:pt idx="8">
                  <c:v>-0.97480214209067206</c:v>
                </c:pt>
                <c:pt idx="9">
                  <c:v>-0.93863861037465535</c:v>
                </c:pt>
                <c:pt idx="10">
                  <c:v>-0.90335854902591739</c:v>
                </c:pt>
                <c:pt idx="11">
                  <c:v>-0.86878337041587361</c:v>
                </c:pt>
                <c:pt idx="12">
                  <c:v>-0.83800254708264466</c:v>
                </c:pt>
                <c:pt idx="13">
                  <c:v>-0.8111989687875637</c:v>
                </c:pt>
                <c:pt idx="14">
                  <c:v>-0.78491417064954128</c:v>
                </c:pt>
                <c:pt idx="15">
                  <c:v>-0.75511118808740585</c:v>
                </c:pt>
                <c:pt idx="16">
                  <c:v>-0.72295494973975982</c:v>
                </c:pt>
                <c:pt idx="17">
                  <c:v>-0.6899611855871115</c:v>
                </c:pt>
                <c:pt idx="18">
                  <c:v>-0.65429869200749702</c:v>
                </c:pt>
                <c:pt idx="19">
                  <c:v>-0.61660177331388688</c:v>
                </c:pt>
                <c:pt idx="20">
                  <c:v>-0.57699561987954362</c:v>
                </c:pt>
                <c:pt idx="21">
                  <c:v>-0.53633140281970193</c:v>
                </c:pt>
                <c:pt idx="22">
                  <c:v>-0.49248289618245034</c:v>
                </c:pt>
                <c:pt idx="23">
                  <c:v>-0.44939726570343469</c:v>
                </c:pt>
                <c:pt idx="24">
                  <c:v>-0.40835419842811305</c:v>
                </c:pt>
                <c:pt idx="25">
                  <c:v>-0.36564353380133446</c:v>
                </c:pt>
                <c:pt idx="26">
                  <c:v>-0.32582748627117641</c:v>
                </c:pt>
                <c:pt idx="27">
                  <c:v>-0.30334327114358239</c:v>
                </c:pt>
                <c:pt idx="28">
                  <c:v>-0.28704144194986631</c:v>
                </c:pt>
                <c:pt idx="29">
                  <c:v>-0.26543113049038591</c:v>
                </c:pt>
                <c:pt idx="30">
                  <c:v>-0.23938216308027246</c:v>
                </c:pt>
                <c:pt idx="31">
                  <c:v>-0.21096956146223605</c:v>
                </c:pt>
                <c:pt idx="32">
                  <c:v>-0.18302103200393005</c:v>
                </c:pt>
                <c:pt idx="33">
                  <c:v>-0.15201736932514512</c:v>
                </c:pt>
                <c:pt idx="34">
                  <c:v>-0.12085830534497397</c:v>
                </c:pt>
                <c:pt idx="35">
                  <c:v>-8.7492972480758449E-2</c:v>
                </c:pt>
                <c:pt idx="36">
                  <c:v>-5.6830701779449398E-2</c:v>
                </c:pt>
                <c:pt idx="37">
                  <c:v>-2.6189187071324484E-2</c:v>
                </c:pt>
                <c:pt idx="38">
                  <c:v>7.7017446922925141E-3</c:v>
                </c:pt>
                <c:pt idx="39">
                  <c:v>4.561918906866208E-2</c:v>
                </c:pt>
                <c:pt idx="40">
                  <c:v>8.2302713787454143E-2</c:v>
                </c:pt>
                <c:pt idx="41">
                  <c:v>0.11836999525392532</c:v>
                </c:pt>
                <c:pt idx="42">
                  <c:v>0.15800233798567881</c:v>
                </c:pt>
                <c:pt idx="43">
                  <c:v>0.20055103691207019</c:v>
                </c:pt>
                <c:pt idx="44">
                  <c:v>0.24435912909513333</c:v>
                </c:pt>
                <c:pt idx="45">
                  <c:v>0.28784189597860099</c:v>
                </c:pt>
                <c:pt idx="46">
                  <c:v>0.33145866369239302</c:v>
                </c:pt>
                <c:pt idx="47">
                  <c:v>0.37506951587776516</c:v>
                </c:pt>
                <c:pt idx="48">
                  <c:v>0.42167294775003156</c:v>
                </c:pt>
                <c:pt idx="49">
                  <c:v>0.46684201178562268</c:v>
                </c:pt>
                <c:pt idx="50">
                  <c:v>0.51055568310246446</c:v>
                </c:pt>
                <c:pt idx="51">
                  <c:v>0.55373915354167202</c:v>
                </c:pt>
                <c:pt idx="52">
                  <c:v>0.59560530404448786</c:v>
                </c:pt>
                <c:pt idx="53">
                  <c:v>0.63361142228203893</c:v>
                </c:pt>
                <c:pt idx="54">
                  <c:v>0.66767171160590344</c:v>
                </c:pt>
                <c:pt idx="55">
                  <c:v>0.69859286239979612</c:v>
                </c:pt>
                <c:pt idx="56">
                  <c:v>0.72986638198919773</c:v>
                </c:pt>
                <c:pt idx="57">
                  <c:v>0.76273021063793867</c:v>
                </c:pt>
                <c:pt idx="58">
                  <c:v>0.79479229313674493</c:v>
                </c:pt>
                <c:pt idx="59">
                  <c:v>0.82832329371519908</c:v>
                </c:pt>
                <c:pt idx="60">
                  <c:v>0.86433922317017375</c:v>
                </c:pt>
                <c:pt idx="61">
                  <c:v>0.9002895398521189</c:v>
                </c:pt>
                <c:pt idx="62">
                  <c:v>0.93827745537055962</c:v>
                </c:pt>
                <c:pt idx="63">
                  <c:v>0.97863833799536293</c:v>
                </c:pt>
                <c:pt idx="64">
                  <c:v>1.0208542415803115</c:v>
                </c:pt>
                <c:pt idx="65">
                  <c:v>1.0640037450088642</c:v>
                </c:pt>
                <c:pt idx="66">
                  <c:v>1.11061355400496</c:v>
                </c:pt>
                <c:pt idx="67">
                  <c:v>1.1609678015098175</c:v>
                </c:pt>
                <c:pt idx="68">
                  <c:v>1.2163555866317639</c:v>
                </c:pt>
                <c:pt idx="69">
                  <c:v>1.271259487237419</c:v>
                </c:pt>
                <c:pt idx="70">
                  <c:v>1.3273507018895445</c:v>
                </c:pt>
                <c:pt idx="71">
                  <c:v>1.3799130902815946</c:v>
                </c:pt>
                <c:pt idx="72">
                  <c:v>1.4261917325279603</c:v>
                </c:pt>
                <c:pt idx="73">
                  <c:v>1.4709810660842022</c:v>
                </c:pt>
                <c:pt idx="74">
                  <c:v>1.5113598480785726</c:v>
                </c:pt>
                <c:pt idx="75">
                  <c:v>1.5477875506026582</c:v>
                </c:pt>
                <c:pt idx="76">
                  <c:v>1.5809458521552104</c:v>
                </c:pt>
                <c:pt idx="77">
                  <c:v>1.6099817164000432</c:v>
                </c:pt>
                <c:pt idx="78">
                  <c:v>1.6390100534305883</c:v>
                </c:pt>
                <c:pt idx="79">
                  <c:v>1.6622843758829378</c:v>
                </c:pt>
                <c:pt idx="80">
                  <c:v>1.6843605969232724</c:v>
                </c:pt>
                <c:pt idx="81">
                  <c:v>1.7075520749417596</c:v>
                </c:pt>
                <c:pt idx="82">
                  <c:v>1.7291820611333564</c:v>
                </c:pt>
                <c:pt idx="83">
                  <c:v>1.7508348318031688</c:v>
                </c:pt>
                <c:pt idx="84">
                  <c:v>1.7657715624064845</c:v>
                </c:pt>
                <c:pt idx="85">
                  <c:v>1.7809471891726676</c:v>
                </c:pt>
                <c:pt idx="86">
                  <c:v>1.7961695637531292</c:v>
                </c:pt>
                <c:pt idx="87">
                  <c:v>1.8096865129230115</c:v>
                </c:pt>
                <c:pt idx="88">
                  <c:v>1.8244877886909201</c:v>
                </c:pt>
                <c:pt idx="89">
                  <c:v>1.8401626909212982</c:v>
                </c:pt>
                <c:pt idx="90">
                  <c:v>1.8551312826098016</c:v>
                </c:pt>
                <c:pt idx="91">
                  <c:v>1.8697429988661665</c:v>
                </c:pt>
              </c:numCache>
            </c:numRef>
          </c:yVal>
          <c:smooth val="1"/>
          <c:extLst>
            <c:ext xmlns:c16="http://schemas.microsoft.com/office/drawing/2014/chart" uri="{C3380CC4-5D6E-409C-BE32-E72D297353CC}">
              <c16:uniqueId val="{00000000-ED00-1341-87D5-227C73E20FB8}"/>
            </c:ext>
          </c:extLst>
        </c:ser>
        <c:ser>
          <c:idx val="1"/>
          <c:order val="1"/>
          <c:tx>
            <c:strRef>
              <c:f>'Japan and South Korea'!$G$3</c:f>
              <c:strCache>
                <c:ptCount val="1"/>
                <c:pt idx="0">
                  <c:v>trend</c:v>
                </c:pt>
              </c:strCache>
            </c:strRef>
          </c:tx>
          <c:spPr>
            <a:ln w="15875">
              <a:solidFill>
                <a:srgbClr val="808080"/>
              </a:solidFill>
              <a:prstDash val="dash"/>
            </a:ln>
          </c:spPr>
          <c:marker>
            <c:symbol val="none"/>
          </c:marker>
          <c:xVal>
            <c:numRef>
              <c:f>'Japan and South Korea'!$E$3:$E$4</c:f>
              <c:numCache>
                <c:formatCode>General</c:formatCode>
                <c:ptCount val="2"/>
                <c:pt idx="0">
                  <c:v>1908</c:v>
                </c:pt>
                <c:pt idx="1">
                  <c:v>2009</c:v>
                </c:pt>
              </c:numCache>
            </c:numRef>
          </c:xVal>
          <c:yVal>
            <c:numRef>
              <c:f>'Japan and South Korea'!$F$3:$F$4</c:f>
              <c:numCache>
                <c:formatCode>0.00</c:formatCode>
                <c:ptCount val="2"/>
                <c:pt idx="0">
                  <c:v>-1.6710961740970858</c:v>
                </c:pt>
                <c:pt idx="1">
                  <c:v>2.0182910981627318</c:v>
                </c:pt>
              </c:numCache>
            </c:numRef>
          </c:yVal>
          <c:smooth val="1"/>
          <c:extLst>
            <c:ext xmlns:c16="http://schemas.microsoft.com/office/drawing/2014/chart" uri="{C3380CC4-5D6E-409C-BE32-E72D297353CC}">
              <c16:uniqueId val="{00000001-ED00-1341-87D5-227C73E20FB8}"/>
            </c:ext>
          </c:extLst>
        </c:ser>
        <c:ser>
          <c:idx val="2"/>
          <c:order val="2"/>
          <c:tx>
            <c:v>logit early</c:v>
          </c:tx>
          <c:spPr>
            <a:ln w="15875">
              <a:solidFill>
                <a:srgbClr val="008000"/>
              </a:solidFill>
              <a:prstDash val="lgDash"/>
            </a:ln>
          </c:spPr>
          <c:marker>
            <c:symbol val="none"/>
          </c:marker>
          <c:xVal>
            <c:numRef>
              <c:f>'Japan and South Korea'!$D$9:$D$52</c:f>
              <c:numCache>
                <c:formatCode>General</c:formatCode>
                <c:ptCount val="44"/>
                <c:pt idx="0">
                  <c:v>1874</c:v>
                </c:pt>
                <c:pt idx="1">
                  <c:v>1875</c:v>
                </c:pt>
                <c:pt idx="2">
                  <c:v>1876</c:v>
                </c:pt>
                <c:pt idx="3">
                  <c:v>1877</c:v>
                </c:pt>
                <c:pt idx="4">
                  <c:v>1878</c:v>
                </c:pt>
                <c:pt idx="5">
                  <c:v>1879</c:v>
                </c:pt>
                <c:pt idx="6">
                  <c:v>1880</c:v>
                </c:pt>
                <c:pt idx="7">
                  <c:v>1881</c:v>
                </c:pt>
                <c:pt idx="8">
                  <c:v>1882</c:v>
                </c:pt>
                <c:pt idx="9">
                  <c:v>1883</c:v>
                </c:pt>
                <c:pt idx="10">
                  <c:v>1884</c:v>
                </c:pt>
                <c:pt idx="11">
                  <c:v>1885</c:v>
                </c:pt>
                <c:pt idx="12">
                  <c:v>1886</c:v>
                </c:pt>
                <c:pt idx="13">
                  <c:v>1887</c:v>
                </c:pt>
                <c:pt idx="14">
                  <c:v>1888</c:v>
                </c:pt>
                <c:pt idx="15">
                  <c:v>1889</c:v>
                </c:pt>
                <c:pt idx="16">
                  <c:v>1890</c:v>
                </c:pt>
                <c:pt idx="17">
                  <c:v>1891</c:v>
                </c:pt>
                <c:pt idx="18">
                  <c:v>1892</c:v>
                </c:pt>
                <c:pt idx="19">
                  <c:v>1893</c:v>
                </c:pt>
                <c:pt idx="20">
                  <c:v>1894</c:v>
                </c:pt>
                <c:pt idx="21">
                  <c:v>1895</c:v>
                </c:pt>
                <c:pt idx="22">
                  <c:v>1896</c:v>
                </c:pt>
                <c:pt idx="23">
                  <c:v>1897</c:v>
                </c:pt>
                <c:pt idx="24">
                  <c:v>1898</c:v>
                </c:pt>
                <c:pt idx="25">
                  <c:v>1899</c:v>
                </c:pt>
                <c:pt idx="26">
                  <c:v>1900</c:v>
                </c:pt>
                <c:pt idx="27">
                  <c:v>1901</c:v>
                </c:pt>
                <c:pt idx="28">
                  <c:v>1902</c:v>
                </c:pt>
                <c:pt idx="29">
                  <c:v>1903</c:v>
                </c:pt>
                <c:pt idx="30">
                  <c:v>1904</c:v>
                </c:pt>
                <c:pt idx="31">
                  <c:v>1905</c:v>
                </c:pt>
                <c:pt idx="32">
                  <c:v>1906</c:v>
                </c:pt>
                <c:pt idx="33">
                  <c:v>1907</c:v>
                </c:pt>
                <c:pt idx="34">
                  <c:v>1908</c:v>
                </c:pt>
                <c:pt idx="35">
                  <c:v>1909</c:v>
                </c:pt>
                <c:pt idx="36">
                  <c:v>1910</c:v>
                </c:pt>
                <c:pt idx="37">
                  <c:v>1911</c:v>
                </c:pt>
                <c:pt idx="38">
                  <c:v>1912</c:v>
                </c:pt>
                <c:pt idx="39">
                  <c:v>1913</c:v>
                </c:pt>
                <c:pt idx="40">
                  <c:v>1914</c:v>
                </c:pt>
                <c:pt idx="41">
                  <c:v>1915</c:v>
                </c:pt>
                <c:pt idx="42">
                  <c:v>1916</c:v>
                </c:pt>
                <c:pt idx="43">
                  <c:v>1917</c:v>
                </c:pt>
              </c:numCache>
            </c:numRef>
          </c:xVal>
          <c:yVal>
            <c:numRef>
              <c:f>'Japan and South Korea'!$G$9:$G$52</c:f>
              <c:numCache>
                <c:formatCode>0.00</c:formatCode>
                <c:ptCount val="44"/>
                <c:pt idx="0">
                  <c:v>-3.8615795289073862</c:v>
                </c:pt>
                <c:pt idx="1">
                  <c:v>-3.5273426637431622</c:v>
                </c:pt>
                <c:pt idx="2">
                  <c:v>-3.3837870158846228</c:v>
                </c:pt>
                <c:pt idx="3">
                  <c:v>-3.2947190499992471</c:v>
                </c:pt>
                <c:pt idx="4">
                  <c:v>-3.2043877027668257</c:v>
                </c:pt>
                <c:pt idx="5">
                  <c:v>-3.1184243452003062</c:v>
                </c:pt>
                <c:pt idx="6">
                  <c:v>-3.0490170765939841</c:v>
                </c:pt>
                <c:pt idx="7">
                  <c:v>-2.989160477125691</c:v>
                </c:pt>
                <c:pt idx="8">
                  <c:v>-2.9382587964549822</c:v>
                </c:pt>
                <c:pt idx="9">
                  <c:v>-2.8906994293248474</c:v>
                </c:pt>
                <c:pt idx="10">
                  <c:v>-2.8435572821793449</c:v>
                </c:pt>
                <c:pt idx="11">
                  <c:v>-2.7967371393051099</c:v>
                </c:pt>
                <c:pt idx="12">
                  <c:v>-2.7529366180359931</c:v>
                </c:pt>
                <c:pt idx="13">
                  <c:v>-2.7039530879653735</c:v>
                </c:pt>
                <c:pt idx="14">
                  <c:v>-2.6542841330481948</c:v>
                </c:pt>
                <c:pt idx="15">
                  <c:v>-2.6029846088453539</c:v>
                </c:pt>
                <c:pt idx="16">
                  <c:v>-2.5538423842646596</c:v>
                </c:pt>
                <c:pt idx="17">
                  <c:v>-2.5012859287314657</c:v>
                </c:pt>
                <c:pt idx="18">
                  <c:v>-2.4548459281913271</c:v>
                </c:pt>
                <c:pt idx="19">
                  <c:v>-2.411408430300011</c:v>
                </c:pt>
                <c:pt idx="20">
                  <c:v>-2.3614696277055969</c:v>
                </c:pt>
                <c:pt idx="21">
                  <c:v>-2.3118164470611773</c:v>
                </c:pt>
                <c:pt idx="22">
                  <c:v>-2.2650971609411288</c:v>
                </c:pt>
                <c:pt idx="23">
                  <c:v>-2.2215072142780339</c:v>
                </c:pt>
                <c:pt idx="24">
                  <c:v>-2.1708396733873125</c:v>
                </c:pt>
                <c:pt idx="25">
                  <c:v>-2.1250307991671669</c:v>
                </c:pt>
                <c:pt idx="26">
                  <c:v>-2.0791048387906423</c:v>
                </c:pt>
                <c:pt idx="27">
                  <c:v>-2.0290517384107942</c:v>
                </c:pt>
                <c:pt idx="28">
                  <c:v>-1.9799620905452755</c:v>
                </c:pt>
                <c:pt idx="29">
                  <c:v>-1.9335244790838608</c:v>
                </c:pt>
                <c:pt idx="30">
                  <c:v>-1.8883429800456319</c:v>
                </c:pt>
                <c:pt idx="31">
                  <c:v>-1.8436698891735543</c:v>
                </c:pt>
                <c:pt idx="32">
                  <c:v>-1.7974673812890434</c:v>
                </c:pt>
                <c:pt idx="33">
                  <c:v>-1.7522086747662389</c:v>
                </c:pt>
                <c:pt idx="34">
                  <c:v>-1.7072940900560576</c:v>
                </c:pt>
                <c:pt idx="35">
                  <c:v>-1.6649754386272138</c:v>
                </c:pt>
                <c:pt idx="36">
                  <c:v>-1.6238362945318656</c:v>
                </c:pt>
                <c:pt idx="37">
                  <c:v>-1.5806369000949048</c:v>
                </c:pt>
                <c:pt idx="38">
                  <c:v>-1.5357551606125155</c:v>
                </c:pt>
                <c:pt idx="39">
                  <c:v>-1.4903069422440842</c:v>
                </c:pt>
                <c:pt idx="40">
                  <c:v>-1.4458552170942724</c:v>
                </c:pt>
                <c:pt idx="41">
                  <c:v>-1.4073754462107038</c:v>
                </c:pt>
                <c:pt idx="42">
                  <c:v>-1.36669731503661</c:v>
                </c:pt>
                <c:pt idx="43">
                  <c:v>-1.3225118543944645</c:v>
                </c:pt>
              </c:numCache>
            </c:numRef>
          </c:yVal>
          <c:smooth val="1"/>
          <c:extLst>
            <c:ext xmlns:c16="http://schemas.microsoft.com/office/drawing/2014/chart" uri="{C3380CC4-5D6E-409C-BE32-E72D297353CC}">
              <c16:uniqueId val="{00000002-ED00-1341-87D5-227C73E20FB8}"/>
            </c:ext>
          </c:extLst>
        </c:ser>
        <c:dLbls>
          <c:showLegendKey val="0"/>
          <c:showVal val="0"/>
          <c:showCatName val="0"/>
          <c:showSerName val="0"/>
          <c:showPercent val="0"/>
          <c:showBubbleSize val="0"/>
        </c:dLbls>
        <c:axId val="131857408"/>
        <c:axId val="131638016"/>
      </c:scatterChart>
      <c:valAx>
        <c:axId val="131857408"/>
        <c:scaling>
          <c:orientation val="minMax"/>
          <c:max val="2020"/>
          <c:min val="188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638016"/>
        <c:crossesAt val="-100"/>
        <c:crossBetween val="midCat"/>
        <c:majorUnit val="70"/>
        <c:minorUnit val="10"/>
      </c:valAx>
      <c:valAx>
        <c:axId val="131638016"/>
        <c:scaling>
          <c:orientation val="minMax"/>
          <c:max val="6"/>
          <c:min val="-6"/>
        </c:scaling>
        <c:delete val="0"/>
        <c:axPos val="r"/>
        <c:title>
          <c:tx>
            <c:rich>
              <a:bodyPr rot="-5400000" vert="horz"/>
              <a:lstStyle/>
              <a:p>
                <a:pPr>
                  <a:defRPr sz="1200" b="0">
                    <a:solidFill>
                      <a:srgbClr val="333399"/>
                    </a:solidFill>
                  </a:defRPr>
                </a:pPr>
                <a:r>
                  <a:rPr lang="en-US" sz="1200" b="0">
                    <a:solidFill>
                      <a:srgbClr val="333399"/>
                    </a:solidFill>
                  </a:rPr>
                  <a:t>probit (q/Q)</a:t>
                </a:r>
              </a:p>
            </c:rich>
          </c:tx>
          <c:layout>
            <c:manualLayout>
              <c:xMode val="edge"/>
              <c:yMode val="edge"/>
              <c:x val="0.96240681576144838"/>
              <c:y val="0.3026655001458238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1857408"/>
        <c:crosses val="max"/>
        <c:crossBetween val="midCat"/>
        <c:majorUnit val="6"/>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328360712099483"/>
          <c:h val="0.77264654418197765"/>
        </c:manualLayout>
      </c:layout>
      <c:scatterChart>
        <c:scatterStyle val="smoothMarker"/>
        <c:varyColors val="0"/>
        <c:ser>
          <c:idx val="0"/>
          <c:order val="0"/>
          <c:tx>
            <c:strRef>
              <c:f>'Japan and South Korea'!$I$7</c:f>
              <c:strCache>
                <c:ptCount val="1"/>
                <c:pt idx="0">
                  <c:v>r y</c:v>
                </c:pt>
              </c:strCache>
            </c:strRef>
          </c:tx>
          <c:spPr>
            <a:ln w="15875">
              <a:solidFill>
                <a:srgbClr val="008000"/>
              </a:solidFill>
            </a:ln>
          </c:spPr>
          <c:marker>
            <c:symbol val="none"/>
          </c:marker>
          <c:xVal>
            <c:numRef>
              <c:f>'Japan and South Korea'!$D$43:$D$219</c:f>
              <c:numCache>
                <c:formatCode>General</c:formatCode>
                <c:ptCount val="177"/>
                <c:pt idx="0">
                  <c:v>1908</c:v>
                </c:pt>
                <c:pt idx="1">
                  <c:v>1909</c:v>
                </c:pt>
                <c:pt idx="2">
                  <c:v>1910</c:v>
                </c:pt>
                <c:pt idx="3">
                  <c:v>1911</c:v>
                </c:pt>
                <c:pt idx="4">
                  <c:v>1912</c:v>
                </c:pt>
                <c:pt idx="5">
                  <c:v>1913</c:v>
                </c:pt>
                <c:pt idx="6">
                  <c:v>1914</c:v>
                </c:pt>
                <c:pt idx="7">
                  <c:v>1915</c:v>
                </c:pt>
                <c:pt idx="8">
                  <c:v>1916</c:v>
                </c:pt>
                <c:pt idx="9">
                  <c:v>1917</c:v>
                </c:pt>
                <c:pt idx="10">
                  <c:v>1918</c:v>
                </c:pt>
                <c:pt idx="11">
                  <c:v>1919</c:v>
                </c:pt>
                <c:pt idx="12">
                  <c:v>1920</c:v>
                </c:pt>
                <c:pt idx="13">
                  <c:v>1921</c:v>
                </c:pt>
                <c:pt idx="14">
                  <c:v>1922</c:v>
                </c:pt>
                <c:pt idx="15">
                  <c:v>1923</c:v>
                </c:pt>
                <c:pt idx="16">
                  <c:v>1924</c:v>
                </c:pt>
                <c:pt idx="17">
                  <c:v>1925</c:v>
                </c:pt>
                <c:pt idx="18">
                  <c:v>1926</c:v>
                </c:pt>
                <c:pt idx="19">
                  <c:v>1927</c:v>
                </c:pt>
                <c:pt idx="20">
                  <c:v>1928</c:v>
                </c:pt>
                <c:pt idx="21">
                  <c:v>1929</c:v>
                </c:pt>
                <c:pt idx="22">
                  <c:v>1930</c:v>
                </c:pt>
                <c:pt idx="23">
                  <c:v>1931</c:v>
                </c:pt>
                <c:pt idx="24">
                  <c:v>1932</c:v>
                </c:pt>
                <c:pt idx="25">
                  <c:v>1933</c:v>
                </c:pt>
                <c:pt idx="26">
                  <c:v>1934</c:v>
                </c:pt>
                <c:pt idx="27">
                  <c:v>1935</c:v>
                </c:pt>
                <c:pt idx="28">
                  <c:v>1936</c:v>
                </c:pt>
                <c:pt idx="29">
                  <c:v>1937</c:v>
                </c:pt>
                <c:pt idx="30">
                  <c:v>1938</c:v>
                </c:pt>
                <c:pt idx="31">
                  <c:v>1939</c:v>
                </c:pt>
                <c:pt idx="32">
                  <c:v>1940</c:v>
                </c:pt>
                <c:pt idx="33">
                  <c:v>1941</c:v>
                </c:pt>
                <c:pt idx="34">
                  <c:v>1942</c:v>
                </c:pt>
                <c:pt idx="35">
                  <c:v>1943</c:v>
                </c:pt>
                <c:pt idx="36">
                  <c:v>1944</c:v>
                </c:pt>
                <c:pt idx="37">
                  <c:v>1945</c:v>
                </c:pt>
                <c:pt idx="38">
                  <c:v>1946</c:v>
                </c:pt>
                <c:pt idx="39">
                  <c:v>1947</c:v>
                </c:pt>
                <c:pt idx="40">
                  <c:v>1948</c:v>
                </c:pt>
                <c:pt idx="41">
                  <c:v>1949</c:v>
                </c:pt>
                <c:pt idx="42">
                  <c:v>1950</c:v>
                </c:pt>
                <c:pt idx="43">
                  <c:v>1951</c:v>
                </c:pt>
                <c:pt idx="44">
                  <c:v>1952</c:v>
                </c:pt>
                <c:pt idx="45">
                  <c:v>1953</c:v>
                </c:pt>
                <c:pt idx="46">
                  <c:v>1954</c:v>
                </c:pt>
                <c:pt idx="47">
                  <c:v>1955</c:v>
                </c:pt>
                <c:pt idx="48">
                  <c:v>1956</c:v>
                </c:pt>
                <c:pt idx="49">
                  <c:v>1957</c:v>
                </c:pt>
                <c:pt idx="50">
                  <c:v>1958</c:v>
                </c:pt>
                <c:pt idx="51">
                  <c:v>1959</c:v>
                </c:pt>
                <c:pt idx="52">
                  <c:v>1960</c:v>
                </c:pt>
                <c:pt idx="53">
                  <c:v>1961</c:v>
                </c:pt>
                <c:pt idx="54">
                  <c:v>1962</c:v>
                </c:pt>
                <c:pt idx="55">
                  <c:v>1963</c:v>
                </c:pt>
                <c:pt idx="56">
                  <c:v>1964</c:v>
                </c:pt>
                <c:pt idx="57">
                  <c:v>1965</c:v>
                </c:pt>
                <c:pt idx="58">
                  <c:v>1966</c:v>
                </c:pt>
                <c:pt idx="59">
                  <c:v>1967</c:v>
                </c:pt>
                <c:pt idx="60">
                  <c:v>1968</c:v>
                </c:pt>
                <c:pt idx="61">
                  <c:v>1969</c:v>
                </c:pt>
                <c:pt idx="62">
                  <c:v>1970</c:v>
                </c:pt>
                <c:pt idx="63">
                  <c:v>1971</c:v>
                </c:pt>
                <c:pt idx="64">
                  <c:v>1972</c:v>
                </c:pt>
                <c:pt idx="65">
                  <c:v>1973</c:v>
                </c:pt>
                <c:pt idx="66">
                  <c:v>1974</c:v>
                </c:pt>
                <c:pt idx="67">
                  <c:v>1975</c:v>
                </c:pt>
                <c:pt idx="68">
                  <c:v>1976</c:v>
                </c:pt>
                <c:pt idx="69">
                  <c:v>1977</c:v>
                </c:pt>
                <c:pt idx="70">
                  <c:v>1978</c:v>
                </c:pt>
                <c:pt idx="71">
                  <c:v>1979</c:v>
                </c:pt>
                <c:pt idx="72">
                  <c:v>1980</c:v>
                </c:pt>
                <c:pt idx="73">
                  <c:v>1981</c:v>
                </c:pt>
                <c:pt idx="74">
                  <c:v>1982</c:v>
                </c:pt>
                <c:pt idx="75">
                  <c:v>1983</c:v>
                </c:pt>
                <c:pt idx="76">
                  <c:v>1984</c:v>
                </c:pt>
                <c:pt idx="77">
                  <c:v>1985</c:v>
                </c:pt>
                <c:pt idx="78">
                  <c:v>1986</c:v>
                </c:pt>
                <c:pt idx="79">
                  <c:v>1987</c:v>
                </c:pt>
                <c:pt idx="80">
                  <c:v>1988</c:v>
                </c:pt>
                <c:pt idx="81">
                  <c:v>1989</c:v>
                </c:pt>
                <c:pt idx="82">
                  <c:v>1990</c:v>
                </c:pt>
                <c:pt idx="83">
                  <c:v>1991</c:v>
                </c:pt>
                <c:pt idx="84">
                  <c:v>1992</c:v>
                </c:pt>
                <c:pt idx="85">
                  <c:v>1993</c:v>
                </c:pt>
                <c:pt idx="86">
                  <c:v>1994</c:v>
                </c:pt>
                <c:pt idx="87">
                  <c:v>1995</c:v>
                </c:pt>
                <c:pt idx="88">
                  <c:v>1996</c:v>
                </c:pt>
                <c:pt idx="89">
                  <c:v>1997</c:v>
                </c:pt>
                <c:pt idx="90">
                  <c:v>1998</c:v>
                </c:pt>
                <c:pt idx="91">
                  <c:v>1999</c:v>
                </c:pt>
                <c:pt idx="92">
                  <c:v>2000</c:v>
                </c:pt>
                <c:pt idx="93">
                  <c:v>2001</c:v>
                </c:pt>
                <c:pt idx="94">
                  <c:v>2002</c:v>
                </c:pt>
                <c:pt idx="95">
                  <c:v>2003</c:v>
                </c:pt>
                <c:pt idx="96">
                  <c:v>2004</c:v>
                </c:pt>
                <c:pt idx="97">
                  <c:v>2005</c:v>
                </c:pt>
                <c:pt idx="98">
                  <c:v>2006</c:v>
                </c:pt>
                <c:pt idx="99">
                  <c:v>2007</c:v>
                </c:pt>
                <c:pt idx="100">
                  <c:v>2008</c:v>
                </c:pt>
                <c:pt idx="101">
                  <c:v>2009</c:v>
                </c:pt>
                <c:pt idx="102">
                  <c:v>2010</c:v>
                </c:pt>
                <c:pt idx="103">
                  <c:v>2011</c:v>
                </c:pt>
                <c:pt idx="104">
                  <c:v>2012</c:v>
                </c:pt>
                <c:pt idx="105">
                  <c:v>2013</c:v>
                </c:pt>
                <c:pt idx="106">
                  <c:v>2014</c:v>
                </c:pt>
                <c:pt idx="107">
                  <c:v>2015</c:v>
                </c:pt>
                <c:pt idx="108">
                  <c:v>2016</c:v>
                </c:pt>
                <c:pt idx="109">
                  <c:v>2017</c:v>
                </c:pt>
                <c:pt idx="110">
                  <c:v>2018</c:v>
                </c:pt>
                <c:pt idx="111">
                  <c:v>2019</c:v>
                </c:pt>
                <c:pt idx="112">
                  <c:v>2020</c:v>
                </c:pt>
                <c:pt idx="113">
                  <c:v>2021</c:v>
                </c:pt>
                <c:pt idx="114">
                  <c:v>2022</c:v>
                </c:pt>
                <c:pt idx="115">
                  <c:v>2023</c:v>
                </c:pt>
                <c:pt idx="116">
                  <c:v>2024</c:v>
                </c:pt>
                <c:pt idx="117">
                  <c:v>2025</c:v>
                </c:pt>
                <c:pt idx="118">
                  <c:v>2026</c:v>
                </c:pt>
                <c:pt idx="119">
                  <c:v>2027</c:v>
                </c:pt>
                <c:pt idx="120">
                  <c:v>2028</c:v>
                </c:pt>
                <c:pt idx="121">
                  <c:v>2029</c:v>
                </c:pt>
                <c:pt idx="122">
                  <c:v>2030</c:v>
                </c:pt>
                <c:pt idx="123">
                  <c:v>2031</c:v>
                </c:pt>
                <c:pt idx="124">
                  <c:v>2032</c:v>
                </c:pt>
                <c:pt idx="125">
                  <c:v>2033</c:v>
                </c:pt>
                <c:pt idx="126">
                  <c:v>2034</c:v>
                </c:pt>
                <c:pt idx="127">
                  <c:v>2035</c:v>
                </c:pt>
                <c:pt idx="128">
                  <c:v>2036</c:v>
                </c:pt>
                <c:pt idx="129">
                  <c:v>2037</c:v>
                </c:pt>
                <c:pt idx="130">
                  <c:v>2038</c:v>
                </c:pt>
                <c:pt idx="131">
                  <c:v>2039</c:v>
                </c:pt>
                <c:pt idx="132">
                  <c:v>2040</c:v>
                </c:pt>
                <c:pt idx="133">
                  <c:v>2041</c:v>
                </c:pt>
                <c:pt idx="134">
                  <c:v>2042</c:v>
                </c:pt>
                <c:pt idx="135">
                  <c:v>2043</c:v>
                </c:pt>
                <c:pt idx="136">
                  <c:v>2044</c:v>
                </c:pt>
                <c:pt idx="137">
                  <c:v>2045</c:v>
                </c:pt>
                <c:pt idx="138">
                  <c:v>2046</c:v>
                </c:pt>
                <c:pt idx="139">
                  <c:v>2047</c:v>
                </c:pt>
                <c:pt idx="140">
                  <c:v>2048</c:v>
                </c:pt>
                <c:pt idx="141">
                  <c:v>2049</c:v>
                </c:pt>
                <c:pt idx="142">
                  <c:v>2050</c:v>
                </c:pt>
                <c:pt idx="143">
                  <c:v>2051</c:v>
                </c:pt>
                <c:pt idx="144">
                  <c:v>2052</c:v>
                </c:pt>
                <c:pt idx="145">
                  <c:v>2053</c:v>
                </c:pt>
                <c:pt idx="146">
                  <c:v>2054</c:v>
                </c:pt>
                <c:pt idx="147">
                  <c:v>2055</c:v>
                </c:pt>
                <c:pt idx="148">
                  <c:v>2056</c:v>
                </c:pt>
                <c:pt idx="149">
                  <c:v>2057</c:v>
                </c:pt>
                <c:pt idx="150">
                  <c:v>2058</c:v>
                </c:pt>
                <c:pt idx="151">
                  <c:v>2059</c:v>
                </c:pt>
                <c:pt idx="152">
                  <c:v>2060</c:v>
                </c:pt>
                <c:pt idx="153">
                  <c:v>2061</c:v>
                </c:pt>
                <c:pt idx="154">
                  <c:v>2062</c:v>
                </c:pt>
                <c:pt idx="155">
                  <c:v>2063</c:v>
                </c:pt>
                <c:pt idx="156">
                  <c:v>2064</c:v>
                </c:pt>
                <c:pt idx="157">
                  <c:v>2065</c:v>
                </c:pt>
                <c:pt idx="158">
                  <c:v>2066</c:v>
                </c:pt>
                <c:pt idx="159">
                  <c:v>2067</c:v>
                </c:pt>
                <c:pt idx="160">
                  <c:v>2068</c:v>
                </c:pt>
                <c:pt idx="161">
                  <c:v>2069</c:v>
                </c:pt>
                <c:pt idx="162">
                  <c:v>2070</c:v>
                </c:pt>
                <c:pt idx="163">
                  <c:v>2071</c:v>
                </c:pt>
                <c:pt idx="164">
                  <c:v>2072</c:v>
                </c:pt>
                <c:pt idx="165">
                  <c:v>2073</c:v>
                </c:pt>
                <c:pt idx="166">
                  <c:v>2074</c:v>
                </c:pt>
                <c:pt idx="167">
                  <c:v>2075</c:v>
                </c:pt>
                <c:pt idx="168">
                  <c:v>2076</c:v>
                </c:pt>
                <c:pt idx="169">
                  <c:v>2077</c:v>
                </c:pt>
                <c:pt idx="170">
                  <c:v>2078</c:v>
                </c:pt>
                <c:pt idx="171">
                  <c:v>2079</c:v>
                </c:pt>
                <c:pt idx="172">
                  <c:v>2080</c:v>
                </c:pt>
                <c:pt idx="173">
                  <c:v>2081</c:v>
                </c:pt>
                <c:pt idx="174">
                  <c:v>2082</c:v>
                </c:pt>
                <c:pt idx="175">
                  <c:v>2083</c:v>
                </c:pt>
                <c:pt idx="176">
                  <c:v>2084</c:v>
                </c:pt>
              </c:numCache>
            </c:numRef>
          </c:xVal>
          <c:yVal>
            <c:numRef>
              <c:f>'Japan and South Korea'!$I$43:$I$219</c:f>
              <c:numCache>
                <c:formatCode>0.0</c:formatCode>
                <c:ptCount val="177"/>
                <c:pt idx="0">
                  <c:v>-0.99094761326500702</c:v>
                </c:pt>
                <c:pt idx="1">
                  <c:v>-0.83243985062085812</c:v>
                </c:pt>
                <c:pt idx="2">
                  <c:v>-0.70622206782763897</c:v>
                </c:pt>
                <c:pt idx="3">
                  <c:v>-0.52360324357482568</c:v>
                </c:pt>
                <c:pt idx="4">
                  <c:v>-0.29492884503588357</c:v>
                </c:pt>
                <c:pt idx="5">
                  <c:v>-5.074662276683739E-2</c:v>
                </c:pt>
                <c:pt idx="6">
                  <c:v>0.16615578102482687</c:v>
                </c:pt>
                <c:pt idx="7">
                  <c:v>0.21957104281159445</c:v>
                </c:pt>
                <c:pt idx="8">
                  <c:v>0.33316821908920247</c:v>
                </c:pt>
                <c:pt idx="9">
                  <c:v>0.54278141378199507</c:v>
                </c:pt>
                <c:pt idx="10">
                  <c:v>0.75584156056493157</c:v>
                </c:pt>
                <c:pt idx="11">
                  <c:v>1.0328211583907887</c:v>
                </c:pt>
                <c:pt idx="12">
                  <c:v>1.1640521855624684</c:v>
                </c:pt>
                <c:pt idx="13">
                  <c:v>1.1330042424208386</c:v>
                </c:pt>
                <c:pt idx="14">
                  <c:v>1.1211825984707957</c:v>
                </c:pt>
                <c:pt idx="15">
                  <c:v>1.1123561625927323</c:v>
                </c:pt>
                <c:pt idx="16">
                  <c:v>1.1041299942462501</c:v>
                </c:pt>
                <c:pt idx="17">
                  <c:v>1.1011650523496428</c:v>
                </c:pt>
                <c:pt idx="18">
                  <c:v>1.0616197332876709</c:v>
                </c:pt>
                <c:pt idx="19">
                  <c:v>1.0516260497240637</c:v>
                </c:pt>
                <c:pt idx="20">
                  <c:v>1.0174466408598164</c:v>
                </c:pt>
                <c:pt idx="21">
                  <c:v>0.96397048937819818</c:v>
                </c:pt>
                <c:pt idx="22">
                  <c:v>0.80662075275154166</c:v>
                </c:pt>
                <c:pt idx="23">
                  <c:v>0.54039067388680451</c:v>
                </c:pt>
                <c:pt idx="24">
                  <c:v>0.25995856308645671</c:v>
                </c:pt>
                <c:pt idx="25">
                  <c:v>7.5839634018848301E-2</c:v>
                </c:pt>
                <c:pt idx="26">
                  <c:v>-4.3856989447021988E-2</c:v>
                </c:pt>
                <c:pt idx="27">
                  <c:v>-0.14062565765561885</c:v>
                </c:pt>
                <c:pt idx="28">
                  <c:v>-0.16433567079957356</c:v>
                </c:pt>
                <c:pt idx="29">
                  <c:v>-0.1323516292536624</c:v>
                </c:pt>
                <c:pt idx="30">
                  <c:v>-4.8100722078515901E-2</c:v>
                </c:pt>
                <c:pt idx="31">
                  <c:v>6.5115543919091579E-2</c:v>
                </c:pt>
                <c:pt idx="32">
                  <c:v>0.26550434659679922</c:v>
                </c:pt>
                <c:pt idx="33">
                  <c:v>0.44500878927215126</c:v>
                </c:pt>
                <c:pt idx="34">
                  <c:v>0.56859639038316345</c:v>
                </c:pt>
                <c:pt idx="35">
                  <c:v>0.73783583557224119</c:v>
                </c:pt>
                <c:pt idx="36">
                  <c:v>0.82783276562690844</c:v>
                </c:pt>
                <c:pt idx="37">
                  <c:v>0.44335658037016401</c:v>
                </c:pt>
                <c:pt idx="38">
                  <c:v>-0.11036748623973835</c:v>
                </c:pt>
                <c:pt idx="39">
                  <c:v>-0.51876750056771925</c:v>
                </c:pt>
                <c:pt idx="40">
                  <c:v>-0.80565567080566325</c:v>
                </c:pt>
                <c:pt idx="41">
                  <c:v>-1.0278374176234593</c:v>
                </c:pt>
                <c:pt idx="42">
                  <c:v>-1.2627235201173335</c:v>
                </c:pt>
                <c:pt idx="43">
                  <c:v>-1.413972847044306</c:v>
                </c:pt>
                <c:pt idx="44">
                  <c:v>-1.5609679359959046</c:v>
                </c:pt>
                <c:pt idx="45">
                  <c:v>-1.6475646062278884</c:v>
                </c:pt>
                <c:pt idx="46">
                  <c:v>-1.8081598183061942</c:v>
                </c:pt>
                <c:pt idx="47">
                  <c:v>-1.9693232427073326</c:v>
                </c:pt>
                <c:pt idx="48">
                  <c:v>-2.0415312123443528</c:v>
                </c:pt>
                <c:pt idx="49">
                  <c:v>-2.0035100995139601</c:v>
                </c:pt>
                <c:pt idx="50">
                  <c:v>-1.9992685484965023</c:v>
                </c:pt>
                <c:pt idx="51">
                  <c:v>-2.0118971615174814</c:v>
                </c:pt>
                <c:pt idx="52">
                  <c:v>-1.926929300863776</c:v>
                </c:pt>
                <c:pt idx="53">
                  <c:v>-1.7621237994524108</c:v>
                </c:pt>
                <c:pt idx="54">
                  <c:v>-1.5628413755773636</c:v>
                </c:pt>
                <c:pt idx="55">
                  <c:v>-1.37246499838011</c:v>
                </c:pt>
                <c:pt idx="56">
                  <c:v>-1.1784202386402285</c:v>
                </c:pt>
                <c:pt idx="57">
                  <c:v>-0.984537421338473</c:v>
                </c:pt>
                <c:pt idx="58">
                  <c:v>-0.7087302827142139</c:v>
                </c:pt>
                <c:pt idx="59">
                  <c:v>-0.47219013907124463</c:v>
                </c:pt>
                <c:pt idx="60">
                  <c:v>-0.2754925637859742</c:v>
                </c:pt>
                <c:pt idx="61">
                  <c:v>-9.3309672021405277E-2</c:v>
                </c:pt>
                <c:pt idx="62">
                  <c:v>5.2810506952027936E-2</c:v>
                </c:pt>
                <c:pt idx="63">
                  <c:v>9.3259139399606283E-2</c:v>
                </c:pt>
                <c:pt idx="64">
                  <c:v>2.568747176155739E-2</c:v>
                </c:pt>
                <c:pt idx="65">
                  <c:v>-0.12782068563228677</c:v>
                </c:pt>
                <c:pt idx="66">
                  <c:v>-0.27168245848565675</c:v>
                </c:pt>
                <c:pt idx="67">
                  <c:v>-0.37200821759483915</c:v>
                </c:pt>
                <c:pt idx="68">
                  <c:v>-0.49428243458260113</c:v>
                </c:pt>
                <c:pt idx="69">
                  <c:v>-0.57634381537400259</c:v>
                </c:pt>
                <c:pt idx="70">
                  <c:v>-0.59037823179232873</c:v>
                </c:pt>
                <c:pt idx="71">
                  <c:v>-0.60620885164144056</c:v>
                </c:pt>
                <c:pt idx="72">
                  <c:v>-0.56625853354648825</c:v>
                </c:pt>
                <c:pt idx="73">
                  <c:v>-0.46134629628795665</c:v>
                </c:pt>
                <c:pt idx="74">
                  <c:v>-0.30565134007156303</c:v>
                </c:pt>
                <c:pt idx="75">
                  <c:v>-0.12439832305926757</c:v>
                </c:pt>
                <c:pt idx="76">
                  <c:v>0.15158339455592795</c:v>
                </c:pt>
                <c:pt idx="77">
                  <c:v>0.53007218488437502</c:v>
                </c:pt>
                <c:pt idx="78">
                  <c:v>1.0463581924225309</c:v>
                </c:pt>
                <c:pt idx="79">
                  <c:v>1.5493974647877167</c:v>
                </c:pt>
                <c:pt idx="80">
                  <c:v>2.0849404321691054</c:v>
                </c:pt>
                <c:pt idx="81">
                  <c:v>2.5238788888373165</c:v>
                </c:pt>
                <c:pt idx="82">
                  <c:v>2.7907946452901342</c:v>
                </c:pt>
                <c:pt idx="83">
                  <c:v>3.0169393558751381</c:v>
                </c:pt>
                <c:pt idx="84">
                  <c:v>3.122341603043651</c:v>
                </c:pt>
                <c:pt idx="85">
                  <c:v>3.1195798118369567</c:v>
                </c:pt>
                <c:pt idx="86">
                  <c:v>3.0273154897877248</c:v>
                </c:pt>
                <c:pt idx="87">
                  <c:v>2.8221960681369183</c:v>
                </c:pt>
                <c:pt idx="88">
                  <c:v>2.6168705828265502</c:v>
                </c:pt>
                <c:pt idx="89">
                  <c:v>2.2540242330712772</c:v>
                </c:pt>
                <c:pt idx="90">
                  <c:v>1.8583788753282988</c:v>
                </c:pt>
                <c:pt idx="91">
                  <c:v>1.4932645913058877</c:v>
                </c:pt>
                <c:pt idx="92">
                  <c:v>1.0854031888927693</c:v>
                </c:pt>
                <c:pt idx="93">
                  <c:v>0.67816553024272253</c:v>
                </c:pt>
                <c:pt idx="94">
                  <c:v>8.7070771033722849E-2</c:v>
                </c:pt>
                <c:pt idx="95">
                  <c:v>-0.49748400994326403</c:v>
                </c:pt>
                <c:pt idx="96">
                  <c:v>-1.0807590311949298</c:v>
                </c:pt>
                <c:pt idx="97">
                  <c:v>-1.7107214706431932</c:v>
                </c:pt>
                <c:pt idx="98">
                  <c:v>-2.3055244169754587</c:v>
                </c:pt>
                <c:pt idx="99">
                  <c:v>-2.876411122968193</c:v>
                </c:pt>
                <c:pt idx="100">
                  <c:v>-3.4666336588602462</c:v>
                </c:pt>
                <c:pt idx="101">
                  <c:v>-4.0666259521633492</c:v>
                </c:pt>
              </c:numCache>
            </c:numRef>
          </c:yVal>
          <c:smooth val="1"/>
          <c:extLst>
            <c:ext xmlns:c16="http://schemas.microsoft.com/office/drawing/2014/chart" uri="{C3380CC4-5D6E-409C-BE32-E72D297353CC}">
              <c16:uniqueId val="{00000000-5F91-BF40-983B-85C4DA964DCF}"/>
            </c:ext>
          </c:extLst>
        </c:ser>
        <c:ser>
          <c:idx val="1"/>
          <c:order val="1"/>
          <c:tx>
            <c:v>zero</c:v>
          </c:tx>
          <c:spPr>
            <a:ln w="15875">
              <a:solidFill>
                <a:srgbClr val="808080"/>
              </a:solidFill>
            </a:ln>
          </c:spPr>
          <c:marker>
            <c:symbol val="none"/>
          </c:marker>
          <c:xVal>
            <c:numLit>
              <c:formatCode>General</c:formatCode>
              <c:ptCount val="2"/>
              <c:pt idx="0">
                <c:v>1873</c:v>
              </c:pt>
              <c:pt idx="1">
                <c:v>2008</c:v>
              </c:pt>
            </c:numLit>
          </c:xVal>
          <c:yVal>
            <c:numLit>
              <c:formatCode>General</c:formatCode>
              <c:ptCount val="2"/>
              <c:pt idx="0">
                <c:v>0</c:v>
              </c:pt>
              <c:pt idx="1">
                <c:v>0</c:v>
              </c:pt>
            </c:numLit>
          </c:yVal>
          <c:smooth val="1"/>
          <c:extLst>
            <c:ext xmlns:c16="http://schemas.microsoft.com/office/drawing/2014/chart" uri="{C3380CC4-5D6E-409C-BE32-E72D297353CC}">
              <c16:uniqueId val="{00000001-5F91-BF40-983B-85C4DA964DCF}"/>
            </c:ext>
          </c:extLst>
        </c:ser>
        <c:ser>
          <c:idx val="2"/>
          <c:order val="2"/>
          <c:tx>
            <c:v>early r y</c:v>
          </c:tx>
          <c:spPr>
            <a:ln w="15875">
              <a:solidFill>
                <a:srgbClr val="008000"/>
              </a:solidFill>
              <a:prstDash val="lgDash"/>
            </a:ln>
          </c:spPr>
          <c:marker>
            <c:symbol val="none"/>
          </c:marker>
          <c:xVal>
            <c:numRef>
              <c:f>'Japan and South Korea'!$D$9:$D$42</c:f>
              <c:numCache>
                <c:formatCode>General</c:formatCode>
                <c:ptCount val="34"/>
                <c:pt idx="0">
                  <c:v>1874</c:v>
                </c:pt>
                <c:pt idx="1">
                  <c:v>1875</c:v>
                </c:pt>
                <c:pt idx="2">
                  <c:v>1876</c:v>
                </c:pt>
                <c:pt idx="3">
                  <c:v>1877</c:v>
                </c:pt>
                <c:pt idx="4">
                  <c:v>1878</c:v>
                </c:pt>
                <c:pt idx="5">
                  <c:v>1879</c:v>
                </c:pt>
                <c:pt idx="6">
                  <c:v>1880</c:v>
                </c:pt>
                <c:pt idx="7">
                  <c:v>1881</c:v>
                </c:pt>
                <c:pt idx="8">
                  <c:v>1882</c:v>
                </c:pt>
                <c:pt idx="9">
                  <c:v>1883</c:v>
                </c:pt>
                <c:pt idx="10">
                  <c:v>1884</c:v>
                </c:pt>
                <c:pt idx="11">
                  <c:v>1885</c:v>
                </c:pt>
                <c:pt idx="12">
                  <c:v>1886</c:v>
                </c:pt>
                <c:pt idx="13">
                  <c:v>1887</c:v>
                </c:pt>
                <c:pt idx="14">
                  <c:v>1888</c:v>
                </c:pt>
                <c:pt idx="15">
                  <c:v>1889</c:v>
                </c:pt>
                <c:pt idx="16">
                  <c:v>1890</c:v>
                </c:pt>
                <c:pt idx="17">
                  <c:v>1891</c:v>
                </c:pt>
                <c:pt idx="18">
                  <c:v>1892</c:v>
                </c:pt>
                <c:pt idx="19">
                  <c:v>1893</c:v>
                </c:pt>
                <c:pt idx="20">
                  <c:v>1894</c:v>
                </c:pt>
                <c:pt idx="21">
                  <c:v>1895</c:v>
                </c:pt>
                <c:pt idx="22">
                  <c:v>1896</c:v>
                </c:pt>
                <c:pt idx="23">
                  <c:v>1897</c:v>
                </c:pt>
                <c:pt idx="24">
                  <c:v>1898</c:v>
                </c:pt>
                <c:pt idx="25">
                  <c:v>1899</c:v>
                </c:pt>
                <c:pt idx="26">
                  <c:v>1900</c:v>
                </c:pt>
                <c:pt idx="27">
                  <c:v>1901</c:v>
                </c:pt>
                <c:pt idx="28">
                  <c:v>1902</c:v>
                </c:pt>
                <c:pt idx="29">
                  <c:v>1903</c:v>
                </c:pt>
                <c:pt idx="30">
                  <c:v>1904</c:v>
                </c:pt>
                <c:pt idx="31">
                  <c:v>1905</c:v>
                </c:pt>
                <c:pt idx="32">
                  <c:v>1906</c:v>
                </c:pt>
                <c:pt idx="33">
                  <c:v>1907</c:v>
                </c:pt>
              </c:numCache>
            </c:numRef>
          </c:xVal>
          <c:yVal>
            <c:numRef>
              <c:f>'Japan and South Korea'!$I$9:$I$42</c:f>
              <c:numCache>
                <c:formatCode>0.0</c:formatCode>
                <c:ptCount val="34"/>
                <c:pt idx="0">
                  <c:v>-25.966276920646351</c:v>
                </c:pt>
                <c:pt idx="1">
                  <c:v>-17.816268832471451</c:v>
                </c:pt>
                <c:pt idx="2">
                  <c:v>-14.886315329696117</c:v>
                </c:pt>
                <c:pt idx="3">
                  <c:v>-13.448006773133784</c:v>
                </c:pt>
                <c:pt idx="4">
                  <c:v>-11.97511211686583</c:v>
                </c:pt>
                <c:pt idx="5">
                  <c:v>-10.621794757232692</c:v>
                </c:pt>
                <c:pt idx="6">
                  <c:v>-9.7217139004608271</c:v>
                </c:pt>
                <c:pt idx="7">
                  <c:v>-9.0830904380356969</c:v>
                </c:pt>
                <c:pt idx="8">
                  <c:v>-8.689615216175298</c:v>
                </c:pt>
                <c:pt idx="9">
                  <c:v>-8.3876385664859754</c:v>
                </c:pt>
                <c:pt idx="10">
                  <c:v>-8.0970836557839903</c:v>
                </c:pt>
                <c:pt idx="11">
                  <c:v>-7.8153438758879474</c:v>
                </c:pt>
                <c:pt idx="12">
                  <c:v>-7.6162687119865495</c:v>
                </c:pt>
                <c:pt idx="13">
                  <c:v>-7.2753044347116429</c:v>
                </c:pt>
                <c:pt idx="14">
                  <c:v>-6.9155760905625812</c:v>
                </c:pt>
                <c:pt idx="15">
                  <c:v>-6.5112095759805015</c:v>
                </c:pt>
                <c:pt idx="16">
                  <c:v>-6.1659009064435395</c:v>
                </c:pt>
                <c:pt idx="17">
                  <c:v>-5.7271248666484098</c:v>
                </c:pt>
                <c:pt idx="18">
                  <c:v>-5.455791794671768</c:v>
                </c:pt>
                <c:pt idx="19">
                  <c:v>-5.2666546932321125</c:v>
                </c:pt>
                <c:pt idx="20">
                  <c:v>-4.8995390477807632</c:v>
                </c:pt>
                <c:pt idx="21">
                  <c:v>-4.5402425372751622</c:v>
                </c:pt>
                <c:pt idx="22">
                  <c:v>-4.2612637936761075</c:v>
                </c:pt>
                <c:pt idx="23">
                  <c:v>-4.0679532821786779</c:v>
                </c:pt>
                <c:pt idx="24">
                  <c:v>-3.6808878286708477</c:v>
                </c:pt>
                <c:pt idx="25">
                  <c:v>-3.4268323569067434</c:v>
                </c:pt>
                <c:pt idx="26">
                  <c:v>-3.1695715556604682</c:v>
                </c:pt>
                <c:pt idx="27">
                  <c:v>-2.7993269146668354</c:v>
                </c:pt>
                <c:pt idx="28">
                  <c:v>-2.4554575757940711</c:v>
                </c:pt>
                <c:pt idx="29">
                  <c:v>-2.1841899068051589</c:v>
                </c:pt>
                <c:pt idx="30">
                  <c:v>-1.9473093447745669</c:v>
                </c:pt>
                <c:pt idx="31">
                  <c:v>-1.7243468729286633</c:v>
                </c:pt>
                <c:pt idx="32">
                  <c:v>-1.4595153570228376</c:v>
                </c:pt>
                <c:pt idx="33">
                  <c:v>-1.2205211768311983</c:v>
                </c:pt>
              </c:numCache>
            </c:numRef>
          </c:yVal>
          <c:smooth val="1"/>
          <c:extLst>
            <c:ext xmlns:c16="http://schemas.microsoft.com/office/drawing/2014/chart" uri="{C3380CC4-5D6E-409C-BE32-E72D297353CC}">
              <c16:uniqueId val="{00000002-5F91-BF40-983B-85C4DA964DCF}"/>
            </c:ext>
          </c:extLst>
        </c:ser>
        <c:ser>
          <c:idx val="3"/>
          <c:order val="3"/>
          <c:tx>
            <c:v>End of World War I</c:v>
          </c:tx>
          <c:spPr>
            <a:ln w="15875">
              <a:solidFill>
                <a:srgbClr val="808080"/>
              </a:solidFill>
            </a:ln>
          </c:spPr>
          <c:marker>
            <c:symbol val="none"/>
          </c:marker>
          <c:xVal>
            <c:numLit>
              <c:formatCode>General</c:formatCode>
              <c:ptCount val="2"/>
              <c:pt idx="0">
                <c:v>1918</c:v>
              </c:pt>
              <c:pt idx="1">
                <c:v>1918</c:v>
              </c:pt>
            </c:numLit>
          </c:xVal>
          <c:yVal>
            <c:numLit>
              <c:formatCode>General</c:formatCode>
              <c:ptCount val="2"/>
              <c:pt idx="0">
                <c:v>-0.5</c:v>
              </c:pt>
              <c:pt idx="1">
                <c:v>0.5</c:v>
              </c:pt>
            </c:numLit>
          </c:yVal>
          <c:smooth val="1"/>
          <c:extLst>
            <c:ext xmlns:c16="http://schemas.microsoft.com/office/drawing/2014/chart" uri="{C3380CC4-5D6E-409C-BE32-E72D297353CC}">
              <c16:uniqueId val="{00000003-5F91-BF40-983B-85C4DA964DCF}"/>
            </c:ext>
          </c:extLst>
        </c:ser>
        <c:ser>
          <c:idx val="5"/>
          <c:order val="4"/>
          <c:tx>
            <c:v>End of World War II</c:v>
          </c:tx>
          <c:spPr>
            <a:ln w="15875">
              <a:solidFill>
                <a:srgbClr val="808080"/>
              </a:solidFill>
            </a:ln>
          </c:spPr>
          <c:marker>
            <c:symbol val="none"/>
          </c:marker>
          <c:xVal>
            <c:numLit>
              <c:formatCode>General</c:formatCode>
              <c:ptCount val="2"/>
              <c:pt idx="0">
                <c:v>1945</c:v>
              </c:pt>
              <c:pt idx="1">
                <c:v>1945</c:v>
              </c:pt>
            </c:numLit>
          </c:xVal>
          <c:yVal>
            <c:numLit>
              <c:formatCode>General</c:formatCode>
              <c:ptCount val="2"/>
              <c:pt idx="0">
                <c:v>-0.5</c:v>
              </c:pt>
              <c:pt idx="1">
                <c:v>0.5</c:v>
              </c:pt>
            </c:numLit>
          </c:yVal>
          <c:smooth val="1"/>
          <c:extLst>
            <c:ext xmlns:c16="http://schemas.microsoft.com/office/drawing/2014/chart" uri="{C3380CC4-5D6E-409C-BE32-E72D297353CC}">
              <c16:uniqueId val="{00000004-5F91-BF40-983B-85C4DA964DCF}"/>
            </c:ext>
          </c:extLst>
        </c:ser>
        <c:ser>
          <c:idx val="6"/>
          <c:order val="5"/>
          <c:tx>
            <c:v>Lost decade</c:v>
          </c:tx>
          <c:spPr>
            <a:ln w="15875">
              <a:solidFill>
                <a:srgbClr val="808080"/>
              </a:solidFill>
            </a:ln>
          </c:spPr>
          <c:marker>
            <c:symbol val="none"/>
          </c:marker>
          <c:xVal>
            <c:numLit>
              <c:formatCode>General</c:formatCode>
              <c:ptCount val="2"/>
              <c:pt idx="0">
                <c:v>1991</c:v>
              </c:pt>
              <c:pt idx="1">
                <c:v>1991</c:v>
              </c:pt>
            </c:numLit>
          </c:xVal>
          <c:yVal>
            <c:numLit>
              <c:formatCode>General</c:formatCode>
              <c:ptCount val="2"/>
              <c:pt idx="0">
                <c:v>-0.5</c:v>
              </c:pt>
              <c:pt idx="1">
                <c:v>0.5</c:v>
              </c:pt>
            </c:numLit>
          </c:yVal>
          <c:smooth val="1"/>
          <c:extLst>
            <c:ext xmlns:c16="http://schemas.microsoft.com/office/drawing/2014/chart" uri="{C3380CC4-5D6E-409C-BE32-E72D297353CC}">
              <c16:uniqueId val="{00000005-5F91-BF40-983B-85C4DA964DCF}"/>
            </c:ext>
          </c:extLst>
        </c:ser>
        <c:dLbls>
          <c:showLegendKey val="0"/>
          <c:showVal val="0"/>
          <c:showCatName val="0"/>
          <c:showSerName val="0"/>
          <c:showPercent val="0"/>
          <c:showBubbleSize val="0"/>
        </c:dLbls>
        <c:axId val="131966848"/>
        <c:axId val="131968384"/>
      </c:scatterChart>
      <c:valAx>
        <c:axId val="131966848"/>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968384"/>
        <c:crossesAt val="-100"/>
        <c:crossBetween val="midCat"/>
        <c:majorUnit val="60"/>
        <c:minorUnit val="10"/>
      </c:valAx>
      <c:valAx>
        <c:axId val="131968384"/>
        <c:scaling>
          <c:orientation val="minMax"/>
          <c:max val="6"/>
          <c:min val="-6"/>
        </c:scaling>
        <c:delete val="0"/>
        <c:axPos val="r"/>
        <c:title>
          <c:tx>
            <c:rich>
              <a:bodyPr rot="-5400000" vert="horz"/>
              <a:lstStyle/>
              <a:p>
                <a:pPr>
                  <a:defRPr sz="1200" b="0">
                    <a:solidFill>
                      <a:srgbClr val="333399"/>
                    </a:solidFill>
                  </a:defRPr>
                </a:pPr>
                <a:r>
                  <a:rPr lang="en-US" sz="1200" b="0">
                    <a:solidFill>
                      <a:srgbClr val="333399"/>
                    </a:solidFill>
                  </a:rPr>
                  <a:t>Residual, years</a:t>
                </a:r>
              </a:p>
            </c:rich>
          </c:tx>
          <c:layout>
            <c:manualLayout>
              <c:xMode val="edge"/>
              <c:yMode val="edge"/>
              <c:x val="0.96240681576144838"/>
              <c:y val="0.27488772236803732"/>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1966848"/>
        <c:crosses val="max"/>
        <c:crossBetween val="midCat"/>
        <c:majorUnit val="6"/>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7180330893143154"/>
          <c:h val="0.77264654418197765"/>
        </c:manualLayout>
      </c:layout>
      <c:scatterChart>
        <c:scatterStyle val="smoothMarker"/>
        <c:varyColors val="0"/>
        <c:ser>
          <c:idx val="3"/>
          <c:order val="0"/>
          <c:tx>
            <c:v>Current long-term fit</c:v>
          </c:tx>
          <c:spPr>
            <a:ln w="15875">
              <a:solidFill>
                <a:srgbClr val="808080"/>
              </a:solidFill>
              <a:prstDash val="solid"/>
            </a:ln>
          </c:spPr>
          <c:marker>
            <c:symbol val="none"/>
          </c:marker>
          <c:xVal>
            <c:numLit>
              <c:formatCode>General</c:formatCode>
              <c:ptCount val="2"/>
              <c:pt idx="0">
                <c:v>1950</c:v>
              </c:pt>
              <c:pt idx="1">
                <c:v>2009</c:v>
              </c:pt>
            </c:numLit>
          </c:xVal>
          <c:yVal>
            <c:numRef>
              <c:f>('Japan and South Korea'!$F$1,'Japan and South Korea'!$F$1)</c:f>
              <c:numCache>
                <c:formatCode>0.0</c:formatCode>
                <c:ptCount val="2"/>
                <c:pt idx="0">
                  <c:v>3.6926465303903417</c:v>
                </c:pt>
                <c:pt idx="1">
                  <c:v>3.6926465303903417</c:v>
                </c:pt>
              </c:numCache>
            </c:numRef>
          </c:yVal>
          <c:smooth val="1"/>
          <c:extLst>
            <c:ext xmlns:c16="http://schemas.microsoft.com/office/drawing/2014/chart" uri="{C3380CC4-5D6E-409C-BE32-E72D297353CC}">
              <c16:uniqueId val="{00000000-D1FD-A04A-B465-4FB357078D7A}"/>
            </c:ext>
          </c:extLst>
        </c:ser>
        <c:ser>
          <c:idx val="0"/>
          <c:order val="1"/>
          <c:tx>
            <c:strRef>
              <c:f>'Japan and South Korea'!$F$7</c:f>
              <c:strCache>
                <c:ptCount val="1"/>
                <c:pt idx="0">
                  <c:v>q Gt</c:v>
                </c:pt>
              </c:strCache>
            </c:strRef>
          </c:tx>
          <c:spPr>
            <a:ln w="15875">
              <a:solidFill>
                <a:srgbClr val="008000"/>
              </a:solidFill>
            </a:ln>
          </c:spPr>
          <c:marker>
            <c:symbol val="none"/>
          </c:marker>
          <c:xVal>
            <c:numRef>
              <c:f>'Japan and South Korea'!$D$8:$D$285</c:f>
              <c:numCache>
                <c:formatCode>General</c:formatCode>
                <c:ptCount val="278"/>
                <c:pt idx="0">
                  <c:v>1873</c:v>
                </c:pt>
                <c:pt idx="1">
                  <c:v>1874</c:v>
                </c:pt>
                <c:pt idx="2">
                  <c:v>1875</c:v>
                </c:pt>
                <c:pt idx="3">
                  <c:v>1876</c:v>
                </c:pt>
                <c:pt idx="4">
                  <c:v>1877</c:v>
                </c:pt>
                <c:pt idx="5">
                  <c:v>1878</c:v>
                </c:pt>
                <c:pt idx="6">
                  <c:v>1879</c:v>
                </c:pt>
                <c:pt idx="7">
                  <c:v>1880</c:v>
                </c:pt>
                <c:pt idx="8">
                  <c:v>1881</c:v>
                </c:pt>
                <c:pt idx="9">
                  <c:v>1882</c:v>
                </c:pt>
                <c:pt idx="10">
                  <c:v>1883</c:v>
                </c:pt>
                <c:pt idx="11">
                  <c:v>1884</c:v>
                </c:pt>
                <c:pt idx="12">
                  <c:v>1885</c:v>
                </c:pt>
                <c:pt idx="13">
                  <c:v>1886</c:v>
                </c:pt>
                <c:pt idx="14">
                  <c:v>1887</c:v>
                </c:pt>
                <c:pt idx="15">
                  <c:v>1888</c:v>
                </c:pt>
                <c:pt idx="16">
                  <c:v>1889</c:v>
                </c:pt>
                <c:pt idx="17">
                  <c:v>1890</c:v>
                </c:pt>
                <c:pt idx="18">
                  <c:v>1891</c:v>
                </c:pt>
                <c:pt idx="19">
                  <c:v>1892</c:v>
                </c:pt>
                <c:pt idx="20">
                  <c:v>1893</c:v>
                </c:pt>
                <c:pt idx="21">
                  <c:v>1894</c:v>
                </c:pt>
                <c:pt idx="22">
                  <c:v>1895</c:v>
                </c:pt>
                <c:pt idx="23">
                  <c:v>1896</c:v>
                </c:pt>
                <c:pt idx="24">
                  <c:v>1897</c:v>
                </c:pt>
                <c:pt idx="25">
                  <c:v>1898</c:v>
                </c:pt>
                <c:pt idx="26">
                  <c:v>1899</c:v>
                </c:pt>
                <c:pt idx="27">
                  <c:v>1900</c:v>
                </c:pt>
                <c:pt idx="28">
                  <c:v>1901</c:v>
                </c:pt>
                <c:pt idx="29">
                  <c:v>1902</c:v>
                </c:pt>
                <c:pt idx="30">
                  <c:v>1903</c:v>
                </c:pt>
                <c:pt idx="31">
                  <c:v>1904</c:v>
                </c:pt>
                <c:pt idx="32">
                  <c:v>1905</c:v>
                </c:pt>
                <c:pt idx="33">
                  <c:v>1906</c:v>
                </c:pt>
                <c:pt idx="34">
                  <c:v>1907</c:v>
                </c:pt>
                <c:pt idx="35">
                  <c:v>1908</c:v>
                </c:pt>
                <c:pt idx="36">
                  <c:v>1909</c:v>
                </c:pt>
                <c:pt idx="37">
                  <c:v>1910</c:v>
                </c:pt>
                <c:pt idx="38">
                  <c:v>1911</c:v>
                </c:pt>
                <c:pt idx="39">
                  <c:v>1912</c:v>
                </c:pt>
                <c:pt idx="40">
                  <c:v>1913</c:v>
                </c:pt>
                <c:pt idx="41">
                  <c:v>1914</c:v>
                </c:pt>
                <c:pt idx="42">
                  <c:v>1915</c:v>
                </c:pt>
                <c:pt idx="43">
                  <c:v>1916</c:v>
                </c:pt>
                <c:pt idx="44">
                  <c:v>1917</c:v>
                </c:pt>
                <c:pt idx="45">
                  <c:v>1918</c:v>
                </c:pt>
                <c:pt idx="46">
                  <c:v>1919</c:v>
                </c:pt>
                <c:pt idx="47">
                  <c:v>1920</c:v>
                </c:pt>
                <c:pt idx="48">
                  <c:v>1921</c:v>
                </c:pt>
                <c:pt idx="49">
                  <c:v>1922</c:v>
                </c:pt>
                <c:pt idx="50">
                  <c:v>1923</c:v>
                </c:pt>
                <c:pt idx="51">
                  <c:v>1924</c:v>
                </c:pt>
                <c:pt idx="52">
                  <c:v>1925</c:v>
                </c:pt>
                <c:pt idx="53">
                  <c:v>1926</c:v>
                </c:pt>
                <c:pt idx="54">
                  <c:v>1927</c:v>
                </c:pt>
                <c:pt idx="55">
                  <c:v>1928</c:v>
                </c:pt>
                <c:pt idx="56">
                  <c:v>1929</c:v>
                </c:pt>
                <c:pt idx="57">
                  <c:v>1930</c:v>
                </c:pt>
                <c:pt idx="58">
                  <c:v>1931</c:v>
                </c:pt>
                <c:pt idx="59">
                  <c:v>1932</c:v>
                </c:pt>
                <c:pt idx="60">
                  <c:v>1933</c:v>
                </c:pt>
                <c:pt idx="61">
                  <c:v>1934</c:v>
                </c:pt>
                <c:pt idx="62">
                  <c:v>1935</c:v>
                </c:pt>
                <c:pt idx="63">
                  <c:v>1936</c:v>
                </c:pt>
                <c:pt idx="64">
                  <c:v>1937</c:v>
                </c:pt>
                <c:pt idx="65">
                  <c:v>1938</c:v>
                </c:pt>
                <c:pt idx="66">
                  <c:v>1939</c:v>
                </c:pt>
                <c:pt idx="67">
                  <c:v>1940</c:v>
                </c:pt>
                <c:pt idx="68">
                  <c:v>1941</c:v>
                </c:pt>
                <c:pt idx="69">
                  <c:v>1942</c:v>
                </c:pt>
                <c:pt idx="70">
                  <c:v>1943</c:v>
                </c:pt>
                <c:pt idx="71">
                  <c:v>1944</c:v>
                </c:pt>
                <c:pt idx="72">
                  <c:v>1945</c:v>
                </c:pt>
                <c:pt idx="73">
                  <c:v>1946</c:v>
                </c:pt>
                <c:pt idx="74">
                  <c:v>1947</c:v>
                </c:pt>
                <c:pt idx="75">
                  <c:v>1948</c:v>
                </c:pt>
                <c:pt idx="76">
                  <c:v>1949</c:v>
                </c:pt>
                <c:pt idx="77">
                  <c:v>1950</c:v>
                </c:pt>
                <c:pt idx="78">
                  <c:v>1951</c:v>
                </c:pt>
                <c:pt idx="79">
                  <c:v>1952</c:v>
                </c:pt>
                <c:pt idx="80">
                  <c:v>1953</c:v>
                </c:pt>
                <c:pt idx="81">
                  <c:v>1954</c:v>
                </c:pt>
                <c:pt idx="82">
                  <c:v>1955</c:v>
                </c:pt>
                <c:pt idx="83">
                  <c:v>1956</c:v>
                </c:pt>
                <c:pt idx="84">
                  <c:v>1957</c:v>
                </c:pt>
                <c:pt idx="85">
                  <c:v>1958</c:v>
                </c:pt>
                <c:pt idx="86">
                  <c:v>1959</c:v>
                </c:pt>
                <c:pt idx="87">
                  <c:v>1960</c:v>
                </c:pt>
                <c:pt idx="88">
                  <c:v>1961</c:v>
                </c:pt>
                <c:pt idx="89">
                  <c:v>1962</c:v>
                </c:pt>
                <c:pt idx="90">
                  <c:v>1963</c:v>
                </c:pt>
                <c:pt idx="91">
                  <c:v>1964</c:v>
                </c:pt>
                <c:pt idx="92">
                  <c:v>1965</c:v>
                </c:pt>
                <c:pt idx="93">
                  <c:v>1966</c:v>
                </c:pt>
                <c:pt idx="94">
                  <c:v>1967</c:v>
                </c:pt>
                <c:pt idx="95">
                  <c:v>1968</c:v>
                </c:pt>
                <c:pt idx="96">
                  <c:v>1969</c:v>
                </c:pt>
                <c:pt idx="97">
                  <c:v>1970</c:v>
                </c:pt>
                <c:pt idx="98">
                  <c:v>1971</c:v>
                </c:pt>
                <c:pt idx="99">
                  <c:v>1972</c:v>
                </c:pt>
                <c:pt idx="100">
                  <c:v>1973</c:v>
                </c:pt>
                <c:pt idx="101">
                  <c:v>1974</c:v>
                </c:pt>
                <c:pt idx="102">
                  <c:v>1975</c:v>
                </c:pt>
                <c:pt idx="103">
                  <c:v>1976</c:v>
                </c:pt>
                <c:pt idx="104">
                  <c:v>1977</c:v>
                </c:pt>
                <c:pt idx="105">
                  <c:v>1978</c:v>
                </c:pt>
                <c:pt idx="106">
                  <c:v>1979</c:v>
                </c:pt>
                <c:pt idx="107">
                  <c:v>1980</c:v>
                </c:pt>
                <c:pt idx="108">
                  <c:v>1981</c:v>
                </c:pt>
                <c:pt idx="109">
                  <c:v>1982</c:v>
                </c:pt>
                <c:pt idx="110">
                  <c:v>1983</c:v>
                </c:pt>
                <c:pt idx="111">
                  <c:v>1984</c:v>
                </c:pt>
                <c:pt idx="112">
                  <c:v>1985</c:v>
                </c:pt>
                <c:pt idx="113">
                  <c:v>1986</c:v>
                </c:pt>
                <c:pt idx="114">
                  <c:v>1987</c:v>
                </c:pt>
                <c:pt idx="115">
                  <c:v>1988</c:v>
                </c:pt>
                <c:pt idx="116">
                  <c:v>1989</c:v>
                </c:pt>
                <c:pt idx="117">
                  <c:v>1990</c:v>
                </c:pt>
                <c:pt idx="118">
                  <c:v>1991</c:v>
                </c:pt>
                <c:pt idx="119">
                  <c:v>1992</c:v>
                </c:pt>
                <c:pt idx="120">
                  <c:v>1993</c:v>
                </c:pt>
                <c:pt idx="121">
                  <c:v>1994</c:v>
                </c:pt>
                <c:pt idx="122">
                  <c:v>1995</c:v>
                </c:pt>
                <c:pt idx="123">
                  <c:v>1996</c:v>
                </c:pt>
                <c:pt idx="124">
                  <c:v>1997</c:v>
                </c:pt>
                <c:pt idx="125">
                  <c:v>1998</c:v>
                </c:pt>
                <c:pt idx="126">
                  <c:v>1999</c:v>
                </c:pt>
                <c:pt idx="127">
                  <c:v>2000</c:v>
                </c:pt>
                <c:pt idx="128">
                  <c:v>2001</c:v>
                </c:pt>
                <c:pt idx="129">
                  <c:v>2002</c:v>
                </c:pt>
                <c:pt idx="130">
                  <c:v>2003</c:v>
                </c:pt>
                <c:pt idx="131">
                  <c:v>2004</c:v>
                </c:pt>
                <c:pt idx="132">
                  <c:v>2005</c:v>
                </c:pt>
                <c:pt idx="133">
                  <c:v>2006</c:v>
                </c:pt>
                <c:pt idx="134">
                  <c:v>2007</c:v>
                </c:pt>
                <c:pt idx="135">
                  <c:v>2008</c:v>
                </c:pt>
                <c:pt idx="136">
                  <c:v>2009</c:v>
                </c:pt>
                <c:pt idx="137">
                  <c:v>2010</c:v>
                </c:pt>
                <c:pt idx="138">
                  <c:v>2011</c:v>
                </c:pt>
                <c:pt idx="139">
                  <c:v>2012</c:v>
                </c:pt>
                <c:pt idx="140">
                  <c:v>2013</c:v>
                </c:pt>
                <c:pt idx="141">
                  <c:v>2014</c:v>
                </c:pt>
                <c:pt idx="142">
                  <c:v>2015</c:v>
                </c:pt>
                <c:pt idx="143">
                  <c:v>2016</c:v>
                </c:pt>
                <c:pt idx="144">
                  <c:v>2017</c:v>
                </c:pt>
                <c:pt idx="145">
                  <c:v>2018</c:v>
                </c:pt>
                <c:pt idx="146">
                  <c:v>2019</c:v>
                </c:pt>
                <c:pt idx="147">
                  <c:v>2020</c:v>
                </c:pt>
                <c:pt idx="148">
                  <c:v>2021</c:v>
                </c:pt>
                <c:pt idx="149">
                  <c:v>2022</c:v>
                </c:pt>
                <c:pt idx="150">
                  <c:v>2023</c:v>
                </c:pt>
                <c:pt idx="151">
                  <c:v>2024</c:v>
                </c:pt>
                <c:pt idx="152">
                  <c:v>2025</c:v>
                </c:pt>
                <c:pt idx="153">
                  <c:v>2026</c:v>
                </c:pt>
                <c:pt idx="154">
                  <c:v>2027</c:v>
                </c:pt>
                <c:pt idx="155">
                  <c:v>2028</c:v>
                </c:pt>
                <c:pt idx="156">
                  <c:v>2029</c:v>
                </c:pt>
                <c:pt idx="157">
                  <c:v>2030</c:v>
                </c:pt>
                <c:pt idx="158">
                  <c:v>2031</c:v>
                </c:pt>
                <c:pt idx="159">
                  <c:v>2032</c:v>
                </c:pt>
                <c:pt idx="160">
                  <c:v>2033</c:v>
                </c:pt>
                <c:pt idx="161">
                  <c:v>2034</c:v>
                </c:pt>
                <c:pt idx="162">
                  <c:v>2035</c:v>
                </c:pt>
                <c:pt idx="163">
                  <c:v>2036</c:v>
                </c:pt>
                <c:pt idx="164">
                  <c:v>2037</c:v>
                </c:pt>
                <c:pt idx="165">
                  <c:v>2038</c:v>
                </c:pt>
                <c:pt idx="166">
                  <c:v>2039</c:v>
                </c:pt>
                <c:pt idx="167">
                  <c:v>2040</c:v>
                </c:pt>
                <c:pt idx="168">
                  <c:v>2041</c:v>
                </c:pt>
                <c:pt idx="169">
                  <c:v>2042</c:v>
                </c:pt>
                <c:pt idx="170">
                  <c:v>2043</c:v>
                </c:pt>
                <c:pt idx="171">
                  <c:v>2044</c:v>
                </c:pt>
                <c:pt idx="172">
                  <c:v>2045</c:v>
                </c:pt>
                <c:pt idx="173">
                  <c:v>2046</c:v>
                </c:pt>
                <c:pt idx="174">
                  <c:v>2047</c:v>
                </c:pt>
                <c:pt idx="175">
                  <c:v>2048</c:v>
                </c:pt>
                <c:pt idx="176">
                  <c:v>2049</c:v>
                </c:pt>
                <c:pt idx="177">
                  <c:v>2050</c:v>
                </c:pt>
                <c:pt idx="178">
                  <c:v>2051</c:v>
                </c:pt>
                <c:pt idx="179">
                  <c:v>2052</c:v>
                </c:pt>
                <c:pt idx="180">
                  <c:v>2053</c:v>
                </c:pt>
                <c:pt idx="181">
                  <c:v>2054</c:v>
                </c:pt>
                <c:pt idx="182">
                  <c:v>2055</c:v>
                </c:pt>
                <c:pt idx="183">
                  <c:v>2056</c:v>
                </c:pt>
                <c:pt idx="184">
                  <c:v>2057</c:v>
                </c:pt>
                <c:pt idx="185">
                  <c:v>2058</c:v>
                </c:pt>
                <c:pt idx="186">
                  <c:v>2059</c:v>
                </c:pt>
                <c:pt idx="187">
                  <c:v>2060</c:v>
                </c:pt>
                <c:pt idx="188">
                  <c:v>2061</c:v>
                </c:pt>
                <c:pt idx="189">
                  <c:v>2062</c:v>
                </c:pt>
                <c:pt idx="190">
                  <c:v>2063</c:v>
                </c:pt>
                <c:pt idx="191">
                  <c:v>2064</c:v>
                </c:pt>
                <c:pt idx="192">
                  <c:v>2065</c:v>
                </c:pt>
                <c:pt idx="193">
                  <c:v>2066</c:v>
                </c:pt>
                <c:pt idx="194">
                  <c:v>2067</c:v>
                </c:pt>
                <c:pt idx="195">
                  <c:v>2068</c:v>
                </c:pt>
                <c:pt idx="196">
                  <c:v>2069</c:v>
                </c:pt>
                <c:pt idx="197">
                  <c:v>2070</c:v>
                </c:pt>
                <c:pt idx="198">
                  <c:v>2071</c:v>
                </c:pt>
                <c:pt idx="199">
                  <c:v>2072</c:v>
                </c:pt>
                <c:pt idx="200">
                  <c:v>2073</c:v>
                </c:pt>
                <c:pt idx="201">
                  <c:v>2074</c:v>
                </c:pt>
                <c:pt idx="202">
                  <c:v>2075</c:v>
                </c:pt>
                <c:pt idx="203">
                  <c:v>2076</c:v>
                </c:pt>
                <c:pt idx="204">
                  <c:v>2077</c:v>
                </c:pt>
                <c:pt idx="205">
                  <c:v>2078</c:v>
                </c:pt>
                <c:pt idx="206">
                  <c:v>2079</c:v>
                </c:pt>
                <c:pt idx="207">
                  <c:v>2080</c:v>
                </c:pt>
                <c:pt idx="208">
                  <c:v>2081</c:v>
                </c:pt>
                <c:pt idx="209">
                  <c:v>2082</c:v>
                </c:pt>
                <c:pt idx="210">
                  <c:v>2083</c:v>
                </c:pt>
                <c:pt idx="211">
                  <c:v>2084</c:v>
                </c:pt>
                <c:pt idx="212">
                  <c:v>2085</c:v>
                </c:pt>
                <c:pt idx="213">
                  <c:v>2086</c:v>
                </c:pt>
                <c:pt idx="214">
                  <c:v>2087</c:v>
                </c:pt>
                <c:pt idx="215">
                  <c:v>2088</c:v>
                </c:pt>
                <c:pt idx="216">
                  <c:v>2089</c:v>
                </c:pt>
                <c:pt idx="217">
                  <c:v>2090</c:v>
                </c:pt>
                <c:pt idx="218">
                  <c:v>2091</c:v>
                </c:pt>
                <c:pt idx="219">
                  <c:v>2092</c:v>
                </c:pt>
                <c:pt idx="220">
                  <c:v>2093</c:v>
                </c:pt>
                <c:pt idx="221">
                  <c:v>2094</c:v>
                </c:pt>
                <c:pt idx="222">
                  <c:v>2095</c:v>
                </c:pt>
                <c:pt idx="223">
                  <c:v>2096</c:v>
                </c:pt>
                <c:pt idx="224">
                  <c:v>2097</c:v>
                </c:pt>
                <c:pt idx="225">
                  <c:v>2098</c:v>
                </c:pt>
                <c:pt idx="226">
                  <c:v>2099</c:v>
                </c:pt>
                <c:pt idx="227">
                  <c:v>2100</c:v>
                </c:pt>
                <c:pt idx="228">
                  <c:v>2101</c:v>
                </c:pt>
                <c:pt idx="229">
                  <c:v>2102</c:v>
                </c:pt>
                <c:pt idx="230">
                  <c:v>2103</c:v>
                </c:pt>
                <c:pt idx="231">
                  <c:v>2104</c:v>
                </c:pt>
                <c:pt idx="232">
                  <c:v>2105</c:v>
                </c:pt>
                <c:pt idx="233">
                  <c:v>2106</c:v>
                </c:pt>
                <c:pt idx="234">
                  <c:v>2107</c:v>
                </c:pt>
                <c:pt idx="235">
                  <c:v>2108</c:v>
                </c:pt>
                <c:pt idx="236">
                  <c:v>2109</c:v>
                </c:pt>
                <c:pt idx="237">
                  <c:v>2110</c:v>
                </c:pt>
                <c:pt idx="238">
                  <c:v>2111</c:v>
                </c:pt>
                <c:pt idx="239">
                  <c:v>2112</c:v>
                </c:pt>
                <c:pt idx="240">
                  <c:v>2113</c:v>
                </c:pt>
                <c:pt idx="241">
                  <c:v>2114</c:v>
                </c:pt>
                <c:pt idx="242">
                  <c:v>2115</c:v>
                </c:pt>
                <c:pt idx="243">
                  <c:v>2116</c:v>
                </c:pt>
                <c:pt idx="244">
                  <c:v>2117</c:v>
                </c:pt>
                <c:pt idx="245">
                  <c:v>2118</c:v>
                </c:pt>
                <c:pt idx="246">
                  <c:v>2119</c:v>
                </c:pt>
                <c:pt idx="247">
                  <c:v>2120</c:v>
                </c:pt>
                <c:pt idx="248">
                  <c:v>2121</c:v>
                </c:pt>
                <c:pt idx="249">
                  <c:v>2122</c:v>
                </c:pt>
                <c:pt idx="250">
                  <c:v>2123</c:v>
                </c:pt>
                <c:pt idx="251">
                  <c:v>2124</c:v>
                </c:pt>
                <c:pt idx="252">
                  <c:v>2125</c:v>
                </c:pt>
                <c:pt idx="253">
                  <c:v>2126</c:v>
                </c:pt>
                <c:pt idx="254">
                  <c:v>2127</c:v>
                </c:pt>
                <c:pt idx="255">
                  <c:v>2128</c:v>
                </c:pt>
                <c:pt idx="256">
                  <c:v>2129</c:v>
                </c:pt>
                <c:pt idx="257">
                  <c:v>2130</c:v>
                </c:pt>
                <c:pt idx="258">
                  <c:v>2131</c:v>
                </c:pt>
                <c:pt idx="259">
                  <c:v>2132</c:v>
                </c:pt>
                <c:pt idx="260">
                  <c:v>2133</c:v>
                </c:pt>
                <c:pt idx="261">
                  <c:v>2134</c:v>
                </c:pt>
                <c:pt idx="262">
                  <c:v>2135</c:v>
                </c:pt>
                <c:pt idx="263">
                  <c:v>2136</c:v>
                </c:pt>
                <c:pt idx="264">
                  <c:v>2137</c:v>
                </c:pt>
                <c:pt idx="265">
                  <c:v>2138</c:v>
                </c:pt>
                <c:pt idx="266">
                  <c:v>2139</c:v>
                </c:pt>
                <c:pt idx="267">
                  <c:v>2140</c:v>
                </c:pt>
                <c:pt idx="268">
                  <c:v>2141</c:v>
                </c:pt>
                <c:pt idx="269">
                  <c:v>2142</c:v>
                </c:pt>
                <c:pt idx="270">
                  <c:v>2143</c:v>
                </c:pt>
                <c:pt idx="271">
                  <c:v>2144</c:v>
                </c:pt>
                <c:pt idx="272">
                  <c:v>2145</c:v>
                </c:pt>
                <c:pt idx="273">
                  <c:v>2146</c:v>
                </c:pt>
                <c:pt idx="274">
                  <c:v>2147</c:v>
                </c:pt>
                <c:pt idx="275">
                  <c:v>2148</c:v>
                </c:pt>
                <c:pt idx="276">
                  <c:v>2149</c:v>
                </c:pt>
                <c:pt idx="277">
                  <c:v>2150</c:v>
                </c:pt>
              </c:numCache>
            </c:numRef>
          </c:xVal>
          <c:yVal>
            <c:numRef>
              <c:f>'Japan and South Korea'!$F$8:$F$285</c:f>
              <c:numCache>
                <c:formatCode>#,##0.0</c:formatCode>
                <c:ptCount val="278"/>
                <c:pt idx="0" formatCode="General">
                  <c:v>0</c:v>
                </c:pt>
                <c:pt idx="1">
                  <c:v>2.0799999999999999E-4</c:v>
                </c:pt>
                <c:pt idx="2">
                  <c:v>7.7499999999999986E-4</c:v>
                </c:pt>
                <c:pt idx="3">
                  <c:v>1.32E-3</c:v>
                </c:pt>
                <c:pt idx="4">
                  <c:v>1.8189999999999999E-3</c:v>
                </c:pt>
                <c:pt idx="5">
                  <c:v>2.4989999999999999E-3</c:v>
                </c:pt>
                <c:pt idx="6">
                  <c:v>3.3569999999999997E-3</c:v>
                </c:pt>
                <c:pt idx="7">
                  <c:v>4.2389999999999997E-3</c:v>
                </c:pt>
                <c:pt idx="8">
                  <c:v>5.1649999999999995E-3</c:v>
                </c:pt>
                <c:pt idx="9">
                  <c:v>6.0939999999999996E-3</c:v>
                </c:pt>
                <c:pt idx="10">
                  <c:v>7.0969999999999991E-3</c:v>
                </c:pt>
                <c:pt idx="11">
                  <c:v>8.2369999999999995E-3</c:v>
                </c:pt>
                <c:pt idx="12">
                  <c:v>9.5309999999999995E-3</c:v>
                </c:pt>
                <c:pt idx="13">
                  <c:v>1.0905E-2</c:v>
                </c:pt>
                <c:pt idx="14">
                  <c:v>1.2650999999999999E-2</c:v>
                </c:pt>
                <c:pt idx="15">
                  <c:v>1.4674E-2</c:v>
                </c:pt>
                <c:pt idx="16">
                  <c:v>1.7062999999999998E-2</c:v>
                </c:pt>
                <c:pt idx="17">
                  <c:v>1.9670999999999998E-2</c:v>
                </c:pt>
                <c:pt idx="18">
                  <c:v>2.2846999999999999E-2</c:v>
                </c:pt>
                <c:pt idx="19">
                  <c:v>2.6022999999999998E-2</c:v>
                </c:pt>
                <c:pt idx="20">
                  <c:v>2.9339999999999998E-2</c:v>
                </c:pt>
                <c:pt idx="21">
                  <c:v>3.3607999999999999E-2</c:v>
                </c:pt>
                <c:pt idx="22">
                  <c:v>3.8380999999999998E-2</c:v>
                </c:pt>
                <c:pt idx="23">
                  <c:v>4.3400999999999995E-2</c:v>
                </c:pt>
                <c:pt idx="24">
                  <c:v>4.8588999999999993E-2</c:v>
                </c:pt>
                <c:pt idx="25">
                  <c:v>5.5284999999999994E-2</c:v>
                </c:pt>
                <c:pt idx="26">
                  <c:v>6.2006999999999993E-2</c:v>
                </c:pt>
                <c:pt idx="27">
                  <c:v>6.9435999999999998E-2</c:v>
                </c:pt>
                <c:pt idx="28">
                  <c:v>7.8381999999999993E-2</c:v>
                </c:pt>
                <c:pt idx="29">
                  <c:v>8.8083999999999996E-2</c:v>
                </c:pt>
                <c:pt idx="30">
                  <c:v>9.8171999999999995E-2</c:v>
                </c:pt>
                <c:pt idx="31">
                  <c:v>0.10889599999999999</c:v>
                </c:pt>
                <c:pt idx="32">
                  <c:v>0.12043799999999999</c:v>
                </c:pt>
                <c:pt idx="33">
                  <c:v>0.13341799999999998</c:v>
                </c:pt>
                <c:pt idx="34">
                  <c:v>0.14722199999999999</c:v>
                </c:pt>
                <c:pt idx="35">
                  <c:v>0.162047</c:v>
                </c:pt>
                <c:pt idx="36">
                  <c:v>0.177095</c:v>
                </c:pt>
                <c:pt idx="37">
                  <c:v>0.192776</c:v>
                </c:pt>
                <c:pt idx="38">
                  <c:v>0.21040900000000001</c:v>
                </c:pt>
                <c:pt idx="39">
                  <c:v>0.230049</c:v>
                </c:pt>
                <c:pt idx="40">
                  <c:v>0.25136500000000001</c:v>
                </c:pt>
                <c:pt idx="41">
                  <c:v>0.27365800000000001</c:v>
                </c:pt>
                <c:pt idx="42">
                  <c:v>0.29414899999999999</c:v>
                </c:pt>
                <c:pt idx="43">
                  <c:v>0.31705099999999997</c:v>
                </c:pt>
                <c:pt idx="44">
                  <c:v>0.343412</c:v>
                </c:pt>
                <c:pt idx="45">
                  <c:v>0.37144100000000002</c:v>
                </c:pt>
                <c:pt idx="46">
                  <c:v>0.40271200000000001</c:v>
                </c:pt>
                <c:pt idx="47">
                  <c:v>0.43195700000000004</c:v>
                </c:pt>
                <c:pt idx="48">
                  <c:v>0.45817800000000003</c:v>
                </c:pt>
                <c:pt idx="49">
                  <c:v>0.48604600000000003</c:v>
                </c:pt>
                <c:pt idx="50">
                  <c:v>0.51515200000000005</c:v>
                </c:pt>
                <c:pt idx="51">
                  <c:v>0.54544000000000004</c:v>
                </c:pt>
                <c:pt idx="52">
                  <c:v>0.57706800000000003</c:v>
                </c:pt>
                <c:pt idx="53">
                  <c:v>0.60865599999999997</c:v>
                </c:pt>
                <c:pt idx="54">
                  <c:v>0.64236599999999999</c:v>
                </c:pt>
                <c:pt idx="55">
                  <c:v>0.67637400000000003</c:v>
                </c:pt>
                <c:pt idx="56">
                  <c:v>0.71077100000000004</c:v>
                </c:pt>
                <c:pt idx="57">
                  <c:v>0.74227600000000005</c:v>
                </c:pt>
                <c:pt idx="58">
                  <c:v>0.77038100000000009</c:v>
                </c:pt>
                <c:pt idx="59">
                  <c:v>0.79854200000000009</c:v>
                </c:pt>
                <c:pt idx="60">
                  <c:v>0.83118200000000009</c:v>
                </c:pt>
                <c:pt idx="61">
                  <c:v>0.86723200000000011</c:v>
                </c:pt>
                <c:pt idx="62">
                  <c:v>0.90510200000000007</c:v>
                </c:pt>
                <c:pt idx="63">
                  <c:v>0.94701500000000005</c:v>
                </c:pt>
                <c:pt idx="64">
                  <c:v>0.992394</c:v>
                </c:pt>
                <c:pt idx="65">
                  <c:v>1.04122</c:v>
                </c:pt>
                <c:pt idx="66">
                  <c:v>1.0925240000000001</c:v>
                </c:pt>
                <c:pt idx="67">
                  <c:v>1.149111</c:v>
                </c:pt>
                <c:pt idx="68">
                  <c:v>1.2059169999999999</c:v>
                </c:pt>
                <c:pt idx="69">
                  <c:v>1.261064</c:v>
                </c:pt>
                <c:pt idx="70">
                  <c:v>1.3194399999999999</c:v>
                </c:pt>
                <c:pt idx="71">
                  <c:v>1.374689</c:v>
                </c:pt>
                <c:pt idx="72">
                  <c:v>1.406212</c:v>
                </c:pt>
                <c:pt idx="73">
                  <c:v>1.429203</c:v>
                </c:pt>
                <c:pt idx="74">
                  <c:v>1.459846</c:v>
                </c:pt>
                <c:pt idx="75">
                  <c:v>1.4970159999999999</c:v>
                </c:pt>
                <c:pt idx="76">
                  <c:v>1.5378229999999999</c:v>
                </c:pt>
                <c:pt idx="77">
                  <c:v>1.578203</c:v>
                </c:pt>
                <c:pt idx="78">
                  <c:v>1.623238</c:v>
                </c:pt>
                <c:pt idx="79">
                  <c:v>1.6687129999999999</c:v>
                </c:pt>
                <c:pt idx="80">
                  <c:v>1.7175969999999998</c:v>
                </c:pt>
                <c:pt idx="81">
                  <c:v>1.7626479999999998</c:v>
                </c:pt>
                <c:pt idx="82">
                  <c:v>1.8077469999999998</c:v>
                </c:pt>
                <c:pt idx="83">
                  <c:v>1.8576689999999998</c:v>
                </c:pt>
                <c:pt idx="84">
                  <c:v>1.9135039999999999</c:v>
                </c:pt>
                <c:pt idx="85">
                  <c:v>1.9674309999999999</c:v>
                </c:pt>
                <c:pt idx="86">
                  <c:v>2.0202939999999998</c:v>
                </c:pt>
                <c:pt idx="87">
                  <c:v>2.0781199999999997</c:v>
                </c:pt>
                <c:pt idx="88">
                  <c:v>2.1397969999999997</c:v>
                </c:pt>
                <c:pt idx="89">
                  <c:v>2.2027509999999997</c:v>
                </c:pt>
                <c:pt idx="90">
                  <c:v>2.2645749999999998</c:v>
                </c:pt>
                <c:pt idx="91">
                  <c:v>2.3258169999999998</c:v>
                </c:pt>
                <c:pt idx="92">
                  <c:v>2.3861719999999997</c:v>
                </c:pt>
                <c:pt idx="93">
                  <c:v>2.4495839999999998</c:v>
                </c:pt>
                <c:pt idx="94">
                  <c:v>2.5098679999999995</c:v>
                </c:pt>
                <c:pt idx="95">
                  <c:v>2.5670129999999993</c:v>
                </c:pt>
                <c:pt idx="96">
                  <c:v>2.6222269999999992</c:v>
                </c:pt>
                <c:pt idx="97">
                  <c:v>2.6745119999999991</c:v>
                </c:pt>
                <c:pt idx="98">
                  <c:v>2.7208629999999991</c:v>
                </c:pt>
                <c:pt idx="99">
                  <c:v>2.7614659999999991</c:v>
                </c:pt>
                <c:pt idx="100">
                  <c:v>2.7975369999999993</c:v>
                </c:pt>
                <c:pt idx="101">
                  <c:v>2.8332349999999993</c:v>
                </c:pt>
                <c:pt idx="102">
                  <c:v>2.8698799999999993</c:v>
                </c:pt>
                <c:pt idx="103">
                  <c:v>2.9047569999999991</c:v>
                </c:pt>
                <c:pt idx="104">
                  <c:v>2.9402929999999992</c:v>
                </c:pt>
                <c:pt idx="105">
                  <c:v>2.977377999999999</c:v>
                </c:pt>
                <c:pt idx="106">
                  <c:v>3.0132619999999988</c:v>
                </c:pt>
                <c:pt idx="107">
                  <c:v>3.0499379999999987</c:v>
                </c:pt>
                <c:pt idx="108">
                  <c:v>3.0874979999999987</c:v>
                </c:pt>
                <c:pt idx="109">
                  <c:v>3.1252279999999986</c:v>
                </c:pt>
                <c:pt idx="110">
                  <c:v>3.1621479999999984</c:v>
                </c:pt>
                <c:pt idx="111">
                  <c:v>3.2001679999999983</c:v>
                </c:pt>
                <c:pt idx="112">
                  <c:v>3.2390879999999984</c:v>
                </c:pt>
                <c:pt idx="113">
                  <c:v>3.2793479999999984</c:v>
                </c:pt>
                <c:pt idx="114">
                  <c:v>3.3166679999999982</c:v>
                </c:pt>
                <c:pt idx="115">
                  <c:v>3.3521979999999982</c:v>
                </c:pt>
                <c:pt idx="116">
                  <c:v>3.3831779999999982</c:v>
                </c:pt>
                <c:pt idx="117">
                  <c:v>3.4086579999999982</c:v>
                </c:pt>
                <c:pt idx="118">
                  <c:v>3.4317679999999982</c:v>
                </c:pt>
                <c:pt idx="119">
                  <c:v>3.451337999999998</c:v>
                </c:pt>
                <c:pt idx="120">
                  <c:v>3.4679979999999979</c:v>
                </c:pt>
                <c:pt idx="121">
                  <c:v>3.4823679999999979</c:v>
                </c:pt>
                <c:pt idx="122">
                  <c:v>3.4943479999999978</c:v>
                </c:pt>
                <c:pt idx="123">
                  <c:v>3.5057779999999976</c:v>
                </c:pt>
                <c:pt idx="124">
                  <c:v>3.5145579999999974</c:v>
                </c:pt>
                <c:pt idx="125">
                  <c:v>3.5225779999999975</c:v>
                </c:pt>
                <c:pt idx="126">
                  <c:v>3.5306879999999974</c:v>
                </c:pt>
                <c:pt idx="127">
                  <c:v>3.5379679999999976</c:v>
                </c:pt>
                <c:pt idx="128">
                  <c:v>3.5449879999999974</c:v>
                </c:pt>
                <c:pt idx="129">
                  <c:v>3.5496779999999974</c:v>
                </c:pt>
                <c:pt idx="130">
                  <c:v>3.5543179999999976</c:v>
                </c:pt>
                <c:pt idx="131">
                  <c:v>3.5588479999999976</c:v>
                </c:pt>
                <c:pt idx="132">
                  <c:v>3.5627679999999975</c:v>
                </c:pt>
                <c:pt idx="133">
                  <c:v>3.5669518689999973</c:v>
                </c:pt>
                <c:pt idx="134">
                  <c:v>3.5712611969999974</c:v>
                </c:pt>
                <c:pt idx="135">
                  <c:v>3.5752619469999973</c:v>
                </c:pt>
                <c:pt idx="136">
                  <c:v>3.5790616179999972</c:v>
                </c:pt>
              </c:numCache>
            </c:numRef>
          </c:yVal>
          <c:smooth val="1"/>
          <c:extLst>
            <c:ext xmlns:c16="http://schemas.microsoft.com/office/drawing/2014/chart" uri="{C3380CC4-5D6E-409C-BE32-E72D297353CC}">
              <c16:uniqueId val="{00000001-D1FD-A04A-B465-4FB357078D7A}"/>
            </c:ext>
          </c:extLst>
        </c:ser>
        <c:ser>
          <c:idx val="1"/>
          <c:order val="2"/>
          <c:tx>
            <c:strRef>
              <c:f>'Japan and South Korea'!$J$7</c:f>
              <c:strCache>
                <c:ptCount val="1"/>
                <c:pt idx="0">
                  <c:v>q l</c:v>
                </c:pt>
              </c:strCache>
            </c:strRef>
          </c:tx>
          <c:spPr>
            <a:ln w="15875">
              <a:solidFill>
                <a:srgbClr val="808080"/>
              </a:solidFill>
              <a:prstDash val="dash"/>
            </a:ln>
          </c:spPr>
          <c:marker>
            <c:symbol val="none"/>
          </c:marker>
          <c:xVal>
            <c:numRef>
              <c:f>'Japan and South Korea'!$D$9:$D$285</c:f>
              <c:numCache>
                <c:formatCode>General</c:formatCode>
                <c:ptCount val="277"/>
                <c:pt idx="0">
                  <c:v>1874</c:v>
                </c:pt>
                <c:pt idx="1">
                  <c:v>1875</c:v>
                </c:pt>
                <c:pt idx="2">
                  <c:v>1876</c:v>
                </c:pt>
                <c:pt idx="3">
                  <c:v>1877</c:v>
                </c:pt>
                <c:pt idx="4">
                  <c:v>1878</c:v>
                </c:pt>
                <c:pt idx="5">
                  <c:v>1879</c:v>
                </c:pt>
                <c:pt idx="6">
                  <c:v>1880</c:v>
                </c:pt>
                <c:pt idx="7">
                  <c:v>1881</c:v>
                </c:pt>
                <c:pt idx="8">
                  <c:v>1882</c:v>
                </c:pt>
                <c:pt idx="9">
                  <c:v>1883</c:v>
                </c:pt>
                <c:pt idx="10">
                  <c:v>1884</c:v>
                </c:pt>
                <c:pt idx="11">
                  <c:v>1885</c:v>
                </c:pt>
                <c:pt idx="12">
                  <c:v>1886</c:v>
                </c:pt>
                <c:pt idx="13">
                  <c:v>1887</c:v>
                </c:pt>
                <c:pt idx="14">
                  <c:v>1888</c:v>
                </c:pt>
                <c:pt idx="15">
                  <c:v>1889</c:v>
                </c:pt>
                <c:pt idx="16">
                  <c:v>1890</c:v>
                </c:pt>
                <c:pt idx="17">
                  <c:v>1891</c:v>
                </c:pt>
                <c:pt idx="18">
                  <c:v>1892</c:v>
                </c:pt>
                <c:pt idx="19">
                  <c:v>1893</c:v>
                </c:pt>
                <c:pt idx="20">
                  <c:v>1894</c:v>
                </c:pt>
                <c:pt idx="21">
                  <c:v>1895</c:v>
                </c:pt>
                <c:pt idx="22">
                  <c:v>1896</c:v>
                </c:pt>
                <c:pt idx="23">
                  <c:v>1897</c:v>
                </c:pt>
                <c:pt idx="24">
                  <c:v>1898</c:v>
                </c:pt>
                <c:pt idx="25">
                  <c:v>1899</c:v>
                </c:pt>
                <c:pt idx="26">
                  <c:v>1900</c:v>
                </c:pt>
                <c:pt idx="27">
                  <c:v>1901</c:v>
                </c:pt>
                <c:pt idx="28">
                  <c:v>1902</c:v>
                </c:pt>
                <c:pt idx="29">
                  <c:v>1903</c:v>
                </c:pt>
                <c:pt idx="30">
                  <c:v>1904</c:v>
                </c:pt>
                <c:pt idx="31">
                  <c:v>1905</c:v>
                </c:pt>
                <c:pt idx="32">
                  <c:v>1906</c:v>
                </c:pt>
                <c:pt idx="33">
                  <c:v>1907</c:v>
                </c:pt>
                <c:pt idx="34">
                  <c:v>1908</c:v>
                </c:pt>
                <c:pt idx="35">
                  <c:v>1909</c:v>
                </c:pt>
                <c:pt idx="36">
                  <c:v>1910</c:v>
                </c:pt>
                <c:pt idx="37">
                  <c:v>1911</c:v>
                </c:pt>
                <c:pt idx="38">
                  <c:v>1912</c:v>
                </c:pt>
                <c:pt idx="39">
                  <c:v>1913</c:v>
                </c:pt>
                <c:pt idx="40">
                  <c:v>1914</c:v>
                </c:pt>
                <c:pt idx="41">
                  <c:v>1915</c:v>
                </c:pt>
                <c:pt idx="42">
                  <c:v>1916</c:v>
                </c:pt>
                <c:pt idx="43">
                  <c:v>1917</c:v>
                </c:pt>
                <c:pt idx="44">
                  <c:v>1918</c:v>
                </c:pt>
                <c:pt idx="45">
                  <c:v>1919</c:v>
                </c:pt>
                <c:pt idx="46">
                  <c:v>1920</c:v>
                </c:pt>
                <c:pt idx="47">
                  <c:v>1921</c:v>
                </c:pt>
                <c:pt idx="48">
                  <c:v>1922</c:v>
                </c:pt>
                <c:pt idx="49">
                  <c:v>1923</c:v>
                </c:pt>
                <c:pt idx="50">
                  <c:v>1924</c:v>
                </c:pt>
                <c:pt idx="51">
                  <c:v>1925</c:v>
                </c:pt>
                <c:pt idx="52">
                  <c:v>1926</c:v>
                </c:pt>
                <c:pt idx="53">
                  <c:v>1927</c:v>
                </c:pt>
                <c:pt idx="54">
                  <c:v>1928</c:v>
                </c:pt>
                <c:pt idx="55">
                  <c:v>1929</c:v>
                </c:pt>
                <c:pt idx="56">
                  <c:v>1930</c:v>
                </c:pt>
                <c:pt idx="57">
                  <c:v>1931</c:v>
                </c:pt>
                <c:pt idx="58">
                  <c:v>1932</c:v>
                </c:pt>
                <c:pt idx="59">
                  <c:v>1933</c:v>
                </c:pt>
                <c:pt idx="60">
                  <c:v>1934</c:v>
                </c:pt>
                <c:pt idx="61">
                  <c:v>1935</c:v>
                </c:pt>
                <c:pt idx="62">
                  <c:v>1936</c:v>
                </c:pt>
                <c:pt idx="63">
                  <c:v>1937</c:v>
                </c:pt>
                <c:pt idx="64">
                  <c:v>1938</c:v>
                </c:pt>
                <c:pt idx="65">
                  <c:v>1939</c:v>
                </c:pt>
                <c:pt idx="66">
                  <c:v>1940</c:v>
                </c:pt>
                <c:pt idx="67">
                  <c:v>1941</c:v>
                </c:pt>
                <c:pt idx="68">
                  <c:v>1942</c:v>
                </c:pt>
                <c:pt idx="69">
                  <c:v>1943</c:v>
                </c:pt>
                <c:pt idx="70">
                  <c:v>1944</c:v>
                </c:pt>
                <c:pt idx="71">
                  <c:v>1945</c:v>
                </c:pt>
                <c:pt idx="72">
                  <c:v>1946</c:v>
                </c:pt>
                <c:pt idx="73">
                  <c:v>1947</c:v>
                </c:pt>
                <c:pt idx="74">
                  <c:v>1948</c:v>
                </c:pt>
                <c:pt idx="75">
                  <c:v>1949</c:v>
                </c:pt>
                <c:pt idx="76">
                  <c:v>1950</c:v>
                </c:pt>
                <c:pt idx="77">
                  <c:v>1951</c:v>
                </c:pt>
                <c:pt idx="78">
                  <c:v>1952</c:v>
                </c:pt>
                <c:pt idx="79">
                  <c:v>1953</c:v>
                </c:pt>
                <c:pt idx="80">
                  <c:v>1954</c:v>
                </c:pt>
                <c:pt idx="81">
                  <c:v>1955</c:v>
                </c:pt>
                <c:pt idx="82">
                  <c:v>1956</c:v>
                </c:pt>
                <c:pt idx="83">
                  <c:v>1957</c:v>
                </c:pt>
                <c:pt idx="84">
                  <c:v>1958</c:v>
                </c:pt>
                <c:pt idx="85">
                  <c:v>1959</c:v>
                </c:pt>
                <c:pt idx="86">
                  <c:v>1960</c:v>
                </c:pt>
                <c:pt idx="87">
                  <c:v>1961</c:v>
                </c:pt>
                <c:pt idx="88">
                  <c:v>1962</c:v>
                </c:pt>
                <c:pt idx="89">
                  <c:v>1963</c:v>
                </c:pt>
                <c:pt idx="90">
                  <c:v>1964</c:v>
                </c:pt>
                <c:pt idx="91">
                  <c:v>1965</c:v>
                </c:pt>
                <c:pt idx="92">
                  <c:v>1966</c:v>
                </c:pt>
                <c:pt idx="93">
                  <c:v>1967</c:v>
                </c:pt>
                <c:pt idx="94">
                  <c:v>1968</c:v>
                </c:pt>
                <c:pt idx="95">
                  <c:v>1969</c:v>
                </c:pt>
                <c:pt idx="96">
                  <c:v>1970</c:v>
                </c:pt>
                <c:pt idx="97">
                  <c:v>1971</c:v>
                </c:pt>
                <c:pt idx="98">
                  <c:v>1972</c:v>
                </c:pt>
                <c:pt idx="99">
                  <c:v>1973</c:v>
                </c:pt>
                <c:pt idx="100">
                  <c:v>1974</c:v>
                </c:pt>
                <c:pt idx="101">
                  <c:v>1975</c:v>
                </c:pt>
                <c:pt idx="102">
                  <c:v>1976</c:v>
                </c:pt>
                <c:pt idx="103">
                  <c:v>1977</c:v>
                </c:pt>
                <c:pt idx="104">
                  <c:v>1978</c:v>
                </c:pt>
                <c:pt idx="105">
                  <c:v>1979</c:v>
                </c:pt>
                <c:pt idx="106">
                  <c:v>1980</c:v>
                </c:pt>
                <c:pt idx="107">
                  <c:v>1981</c:v>
                </c:pt>
                <c:pt idx="108">
                  <c:v>1982</c:v>
                </c:pt>
                <c:pt idx="109">
                  <c:v>1983</c:v>
                </c:pt>
                <c:pt idx="110">
                  <c:v>1984</c:v>
                </c:pt>
                <c:pt idx="111">
                  <c:v>1985</c:v>
                </c:pt>
                <c:pt idx="112">
                  <c:v>1986</c:v>
                </c:pt>
                <c:pt idx="113">
                  <c:v>1987</c:v>
                </c:pt>
                <c:pt idx="114">
                  <c:v>1988</c:v>
                </c:pt>
                <c:pt idx="115">
                  <c:v>1989</c:v>
                </c:pt>
                <c:pt idx="116">
                  <c:v>1990</c:v>
                </c:pt>
                <c:pt idx="117">
                  <c:v>1991</c:v>
                </c:pt>
                <c:pt idx="118">
                  <c:v>1992</c:v>
                </c:pt>
                <c:pt idx="119">
                  <c:v>1993</c:v>
                </c:pt>
                <c:pt idx="120">
                  <c:v>1994</c:v>
                </c:pt>
                <c:pt idx="121">
                  <c:v>1995</c:v>
                </c:pt>
                <c:pt idx="122">
                  <c:v>1996</c:v>
                </c:pt>
                <c:pt idx="123">
                  <c:v>1997</c:v>
                </c:pt>
                <c:pt idx="124">
                  <c:v>1998</c:v>
                </c:pt>
                <c:pt idx="125">
                  <c:v>1999</c:v>
                </c:pt>
                <c:pt idx="126">
                  <c:v>2000</c:v>
                </c:pt>
                <c:pt idx="127">
                  <c:v>2001</c:v>
                </c:pt>
                <c:pt idx="128">
                  <c:v>2002</c:v>
                </c:pt>
                <c:pt idx="129">
                  <c:v>2003</c:v>
                </c:pt>
                <c:pt idx="130">
                  <c:v>2004</c:v>
                </c:pt>
                <c:pt idx="131">
                  <c:v>2005</c:v>
                </c:pt>
                <c:pt idx="132">
                  <c:v>2006</c:v>
                </c:pt>
                <c:pt idx="133">
                  <c:v>2007</c:v>
                </c:pt>
                <c:pt idx="134">
                  <c:v>2008</c:v>
                </c:pt>
                <c:pt idx="135">
                  <c:v>2009</c:v>
                </c:pt>
                <c:pt idx="136">
                  <c:v>2010</c:v>
                </c:pt>
                <c:pt idx="137">
                  <c:v>2011</c:v>
                </c:pt>
                <c:pt idx="138">
                  <c:v>2012</c:v>
                </c:pt>
                <c:pt idx="139">
                  <c:v>2013</c:v>
                </c:pt>
                <c:pt idx="140">
                  <c:v>2014</c:v>
                </c:pt>
                <c:pt idx="141">
                  <c:v>2015</c:v>
                </c:pt>
                <c:pt idx="142">
                  <c:v>2016</c:v>
                </c:pt>
                <c:pt idx="143">
                  <c:v>2017</c:v>
                </c:pt>
                <c:pt idx="144">
                  <c:v>2018</c:v>
                </c:pt>
                <c:pt idx="145">
                  <c:v>2019</c:v>
                </c:pt>
                <c:pt idx="146">
                  <c:v>2020</c:v>
                </c:pt>
                <c:pt idx="147">
                  <c:v>2021</c:v>
                </c:pt>
                <c:pt idx="148">
                  <c:v>2022</c:v>
                </c:pt>
                <c:pt idx="149">
                  <c:v>2023</c:v>
                </c:pt>
                <c:pt idx="150">
                  <c:v>2024</c:v>
                </c:pt>
                <c:pt idx="151">
                  <c:v>2025</c:v>
                </c:pt>
                <c:pt idx="152">
                  <c:v>2026</c:v>
                </c:pt>
                <c:pt idx="153">
                  <c:v>2027</c:v>
                </c:pt>
                <c:pt idx="154">
                  <c:v>2028</c:v>
                </c:pt>
                <c:pt idx="155">
                  <c:v>2029</c:v>
                </c:pt>
                <c:pt idx="156">
                  <c:v>2030</c:v>
                </c:pt>
                <c:pt idx="157">
                  <c:v>2031</c:v>
                </c:pt>
                <c:pt idx="158">
                  <c:v>2032</c:v>
                </c:pt>
                <c:pt idx="159">
                  <c:v>2033</c:v>
                </c:pt>
                <c:pt idx="160">
                  <c:v>2034</c:v>
                </c:pt>
                <c:pt idx="161">
                  <c:v>2035</c:v>
                </c:pt>
                <c:pt idx="162">
                  <c:v>2036</c:v>
                </c:pt>
                <c:pt idx="163">
                  <c:v>2037</c:v>
                </c:pt>
                <c:pt idx="164">
                  <c:v>2038</c:v>
                </c:pt>
                <c:pt idx="165">
                  <c:v>2039</c:v>
                </c:pt>
                <c:pt idx="166">
                  <c:v>2040</c:v>
                </c:pt>
                <c:pt idx="167">
                  <c:v>2041</c:v>
                </c:pt>
                <c:pt idx="168">
                  <c:v>2042</c:v>
                </c:pt>
                <c:pt idx="169">
                  <c:v>2043</c:v>
                </c:pt>
                <c:pt idx="170">
                  <c:v>2044</c:v>
                </c:pt>
                <c:pt idx="171">
                  <c:v>2045</c:v>
                </c:pt>
                <c:pt idx="172">
                  <c:v>2046</c:v>
                </c:pt>
                <c:pt idx="173">
                  <c:v>2047</c:v>
                </c:pt>
                <c:pt idx="174">
                  <c:v>2048</c:v>
                </c:pt>
                <c:pt idx="175">
                  <c:v>2049</c:v>
                </c:pt>
                <c:pt idx="176">
                  <c:v>2050</c:v>
                </c:pt>
                <c:pt idx="177">
                  <c:v>2051</c:v>
                </c:pt>
                <c:pt idx="178">
                  <c:v>2052</c:v>
                </c:pt>
                <c:pt idx="179">
                  <c:v>2053</c:v>
                </c:pt>
                <c:pt idx="180">
                  <c:v>2054</c:v>
                </c:pt>
                <c:pt idx="181">
                  <c:v>2055</c:v>
                </c:pt>
                <c:pt idx="182">
                  <c:v>2056</c:v>
                </c:pt>
                <c:pt idx="183">
                  <c:v>2057</c:v>
                </c:pt>
                <c:pt idx="184">
                  <c:v>2058</c:v>
                </c:pt>
                <c:pt idx="185">
                  <c:v>2059</c:v>
                </c:pt>
                <c:pt idx="186">
                  <c:v>2060</c:v>
                </c:pt>
                <c:pt idx="187">
                  <c:v>2061</c:v>
                </c:pt>
                <c:pt idx="188">
                  <c:v>2062</c:v>
                </c:pt>
                <c:pt idx="189">
                  <c:v>2063</c:v>
                </c:pt>
                <c:pt idx="190">
                  <c:v>2064</c:v>
                </c:pt>
                <c:pt idx="191">
                  <c:v>2065</c:v>
                </c:pt>
                <c:pt idx="192">
                  <c:v>2066</c:v>
                </c:pt>
                <c:pt idx="193">
                  <c:v>2067</c:v>
                </c:pt>
                <c:pt idx="194">
                  <c:v>2068</c:v>
                </c:pt>
                <c:pt idx="195">
                  <c:v>2069</c:v>
                </c:pt>
                <c:pt idx="196">
                  <c:v>2070</c:v>
                </c:pt>
                <c:pt idx="197">
                  <c:v>2071</c:v>
                </c:pt>
                <c:pt idx="198">
                  <c:v>2072</c:v>
                </c:pt>
                <c:pt idx="199">
                  <c:v>2073</c:v>
                </c:pt>
                <c:pt idx="200">
                  <c:v>2074</c:v>
                </c:pt>
                <c:pt idx="201">
                  <c:v>2075</c:v>
                </c:pt>
                <c:pt idx="202">
                  <c:v>2076</c:v>
                </c:pt>
                <c:pt idx="203">
                  <c:v>2077</c:v>
                </c:pt>
                <c:pt idx="204">
                  <c:v>2078</c:v>
                </c:pt>
                <c:pt idx="205">
                  <c:v>2079</c:v>
                </c:pt>
                <c:pt idx="206">
                  <c:v>2080</c:v>
                </c:pt>
                <c:pt idx="207">
                  <c:v>2081</c:v>
                </c:pt>
                <c:pt idx="208">
                  <c:v>2082</c:v>
                </c:pt>
                <c:pt idx="209">
                  <c:v>2083</c:v>
                </c:pt>
                <c:pt idx="210">
                  <c:v>2084</c:v>
                </c:pt>
                <c:pt idx="211">
                  <c:v>2085</c:v>
                </c:pt>
                <c:pt idx="212">
                  <c:v>2086</c:v>
                </c:pt>
                <c:pt idx="213">
                  <c:v>2087</c:v>
                </c:pt>
                <c:pt idx="214">
                  <c:v>2088</c:v>
                </c:pt>
                <c:pt idx="215">
                  <c:v>2089</c:v>
                </c:pt>
                <c:pt idx="216">
                  <c:v>2090</c:v>
                </c:pt>
                <c:pt idx="217">
                  <c:v>2091</c:v>
                </c:pt>
                <c:pt idx="218">
                  <c:v>2092</c:v>
                </c:pt>
                <c:pt idx="219">
                  <c:v>2093</c:v>
                </c:pt>
                <c:pt idx="220">
                  <c:v>2094</c:v>
                </c:pt>
                <c:pt idx="221">
                  <c:v>2095</c:v>
                </c:pt>
                <c:pt idx="222">
                  <c:v>2096</c:v>
                </c:pt>
                <c:pt idx="223">
                  <c:v>2097</c:v>
                </c:pt>
                <c:pt idx="224">
                  <c:v>2098</c:v>
                </c:pt>
                <c:pt idx="225">
                  <c:v>2099</c:v>
                </c:pt>
                <c:pt idx="226">
                  <c:v>2100</c:v>
                </c:pt>
                <c:pt idx="227">
                  <c:v>2101</c:v>
                </c:pt>
                <c:pt idx="228">
                  <c:v>2102</c:v>
                </c:pt>
                <c:pt idx="229">
                  <c:v>2103</c:v>
                </c:pt>
                <c:pt idx="230">
                  <c:v>2104</c:v>
                </c:pt>
                <c:pt idx="231">
                  <c:v>2105</c:v>
                </c:pt>
                <c:pt idx="232">
                  <c:v>2106</c:v>
                </c:pt>
                <c:pt idx="233">
                  <c:v>2107</c:v>
                </c:pt>
                <c:pt idx="234">
                  <c:v>2108</c:v>
                </c:pt>
                <c:pt idx="235">
                  <c:v>2109</c:v>
                </c:pt>
                <c:pt idx="236">
                  <c:v>2110</c:v>
                </c:pt>
                <c:pt idx="237">
                  <c:v>2111</c:v>
                </c:pt>
                <c:pt idx="238">
                  <c:v>2112</c:v>
                </c:pt>
                <c:pt idx="239">
                  <c:v>2113</c:v>
                </c:pt>
                <c:pt idx="240">
                  <c:v>2114</c:v>
                </c:pt>
                <c:pt idx="241">
                  <c:v>2115</c:v>
                </c:pt>
                <c:pt idx="242">
                  <c:v>2116</c:v>
                </c:pt>
                <c:pt idx="243">
                  <c:v>2117</c:v>
                </c:pt>
                <c:pt idx="244">
                  <c:v>2118</c:v>
                </c:pt>
                <c:pt idx="245">
                  <c:v>2119</c:v>
                </c:pt>
                <c:pt idx="246">
                  <c:v>2120</c:v>
                </c:pt>
                <c:pt idx="247">
                  <c:v>2121</c:v>
                </c:pt>
                <c:pt idx="248">
                  <c:v>2122</c:v>
                </c:pt>
                <c:pt idx="249">
                  <c:v>2123</c:v>
                </c:pt>
                <c:pt idx="250">
                  <c:v>2124</c:v>
                </c:pt>
                <c:pt idx="251">
                  <c:v>2125</c:v>
                </c:pt>
                <c:pt idx="252">
                  <c:v>2126</c:v>
                </c:pt>
                <c:pt idx="253">
                  <c:v>2127</c:v>
                </c:pt>
                <c:pt idx="254">
                  <c:v>2128</c:v>
                </c:pt>
                <c:pt idx="255">
                  <c:v>2129</c:v>
                </c:pt>
                <c:pt idx="256">
                  <c:v>2130</c:v>
                </c:pt>
                <c:pt idx="257">
                  <c:v>2131</c:v>
                </c:pt>
                <c:pt idx="258">
                  <c:v>2132</c:v>
                </c:pt>
                <c:pt idx="259">
                  <c:v>2133</c:v>
                </c:pt>
                <c:pt idx="260">
                  <c:v>2134</c:v>
                </c:pt>
                <c:pt idx="261">
                  <c:v>2135</c:v>
                </c:pt>
                <c:pt idx="262">
                  <c:v>2136</c:v>
                </c:pt>
                <c:pt idx="263">
                  <c:v>2137</c:v>
                </c:pt>
                <c:pt idx="264">
                  <c:v>2138</c:v>
                </c:pt>
                <c:pt idx="265">
                  <c:v>2139</c:v>
                </c:pt>
                <c:pt idx="266">
                  <c:v>2140</c:v>
                </c:pt>
                <c:pt idx="267">
                  <c:v>2141</c:v>
                </c:pt>
                <c:pt idx="268">
                  <c:v>2142</c:v>
                </c:pt>
                <c:pt idx="269">
                  <c:v>2143</c:v>
                </c:pt>
                <c:pt idx="270">
                  <c:v>2144</c:v>
                </c:pt>
                <c:pt idx="271">
                  <c:v>2145</c:v>
                </c:pt>
                <c:pt idx="272">
                  <c:v>2146</c:v>
                </c:pt>
                <c:pt idx="273">
                  <c:v>2147</c:v>
                </c:pt>
                <c:pt idx="274">
                  <c:v>2148</c:v>
                </c:pt>
                <c:pt idx="275">
                  <c:v>2149</c:v>
                </c:pt>
                <c:pt idx="276">
                  <c:v>2150</c:v>
                </c:pt>
              </c:numCache>
            </c:numRef>
          </c:xVal>
          <c:yVal>
            <c:numRef>
              <c:f>'Japan and South Korea'!$J$9:$J$285</c:f>
              <c:numCache>
                <c:formatCode>0.0</c:formatCode>
                <c:ptCount val="277"/>
                <c:pt idx="34">
                  <c:v>0.19905580183690502</c:v>
                </c:pt>
                <c:pt idx="35">
                  <c:v>0.21118523383926929</c:v>
                </c:pt>
                <c:pt idx="36">
                  <c:v>0.22400637990798078</c:v>
                </c:pt>
                <c:pt idx="37">
                  <c:v>0.23755279173216809</c:v>
                </c:pt>
                <c:pt idx="38">
                  <c:v>0.2518589181005037</c:v>
                </c:pt>
                <c:pt idx="39">
                  <c:v>0.26696003264143425</c:v>
                </c:pt>
                <c:pt idx="40">
                  <c:v>0.28289214628274478</c:v>
                </c:pt>
                <c:pt idx="41">
                  <c:v>0.29969190309136123</c:v>
                </c:pt>
                <c:pt idx="42">
                  <c:v>0.31739645816378736</c:v>
                </c:pt>
                <c:pt idx="43">
                  <c:v>0.33604333627367994</c:v>
                </c:pt>
                <c:pt idx="44">
                  <c:v>0.35567027005062751</c:v>
                </c:pt>
                <c:pt idx="45">
                  <c:v>0.37631501656831956</c:v>
                </c:pt>
                <c:pt idx="46">
                  <c:v>0.39801515136612192</c:v>
                </c:pt>
                <c:pt idx="47">
                  <c:v>0.42080783912078312</c:v>
                </c:pt>
                <c:pt idx="48">
                  <c:v>0.44472958042937699</c:v>
                </c:pt>
                <c:pt idx="49">
                  <c:v>0.46981593446501013</c:v>
                </c:pt>
                <c:pt idx="50">
                  <c:v>0.49610121762674758</c:v>
                </c:pt>
                <c:pt idx="51">
                  <c:v>0.52361817872699667</c:v>
                </c:pt>
                <c:pt idx="52">
                  <c:v>0.55239765174396793</c:v>
                </c:pt>
                <c:pt idx="53">
                  <c:v>0.5824681877126614</c:v>
                </c:pt>
                <c:pt idx="54">
                  <c:v>0.61385566793149537</c:v>
                </c:pt>
                <c:pt idx="55">
                  <c:v>0.64658290131685636</c:v>
                </c:pt>
                <c:pt idx="56">
                  <c:v>0.68066920943497222</c:v>
                </c:pt>
                <c:pt idx="57">
                  <c:v>0.71613000346656996</c:v>
                </c:pt>
                <c:pt idx="58">
                  <c:v>0.75297635809811092</c:v>
                </c:pt>
                <c:pt idx="59">
                  <c:v>0.79121458806357781</c:v>
                </c:pt>
                <c:pt idx="60">
                  <c:v>0.83084583375882071</c:v>
                </c:pt>
                <c:pt idx="61">
                  <c:v>0.87186566298912083</c:v>
                </c:pt>
                <c:pt idx="62">
                  <c:v>0.91426369646005534</c:v>
                </c:pt>
                <c:pt idx="63">
                  <c:v>0.9580232650503735</c:v>
                </c:pt>
                <c:pt idx="64">
                  <c:v>1.0031211071813506</c:v>
                </c:pt>
                <c:pt idx="65">
                  <c:v>1.0495271146887868</c:v>
                </c:pt>
                <c:pt idx="66">
                  <c:v>1.0972041354829076</c:v>
                </c:pt>
                <c:pt idx="67">
                  <c:v>1.1461078409237868</c:v>
                </c:pt>
                <c:pt idx="68">
                  <c:v>1.1961866652278024</c:v>
                </c:pt>
                <c:pt idx="69">
                  <c:v>1.2473818233445215</c:v>
                </c:pt>
                <c:pt idx="70">
                  <c:v>1.2996274126036775</c:v>
                </c:pt>
                <c:pt idx="71">
                  <c:v>1.3528506020401307</c:v>
                </c:pt>
                <c:pt idx="72">
                  <c:v>1.4069719116846036</c:v>
                </c:pt>
                <c:pt idx="73">
                  <c:v>1.4619055822954903</c:v>
                </c:pt>
                <c:pt idx="74">
                  <c:v>1.5175600340499391</c:v>
                </c:pt>
                <c:pt idx="75">
                  <c:v>1.5738384106689742</c:v>
                </c:pt>
                <c:pt idx="76">
                  <c:v>1.6306392033883474</c:v>
                </c:pt>
                <c:pt idx="77">
                  <c:v>1.6878569471764802</c:v>
                </c:pt>
                <c:pt idx="78">
                  <c:v>1.7453829797178799</c:v>
                </c:pt>
                <c:pt idx="79">
                  <c:v>1.8031062519979886</c:v>
                </c:pt>
                <c:pt idx="80">
                  <c:v>1.8609141779112217</c:v>
                </c:pt>
                <c:pt idx="81">
                  <c:v>1.9186935092265835</c:v>
                </c:pt>
                <c:pt idx="82">
                  <c:v>1.9763312215305806</c:v>
                </c:pt>
                <c:pt idx="83">
                  <c:v>2.0337153964558583</c:v>
                </c:pt>
                <c:pt idx="84">
                  <c:v>2.090736085609433</c:v>
                </c:pt>
                <c:pt idx="85">
                  <c:v>2.1472861421320895</c:v>
                </c:pt>
                <c:pt idx="86">
                  <c:v>2.2032620067281421</c:v>
                </c:pt>
                <c:pt idx="87">
                  <c:v>2.2585644362636881</c:v>
                </c:pt>
                <c:pt idx="88">
                  <c:v>2.313099164589056</c:v>
                </c:pt>
                <c:pt idx="89">
                  <c:v>2.3667774870336955</c:v>
                </c:pt>
                <c:pt idx="90">
                  <c:v>2.4195167619783522</c:v>
                </c:pt>
                <c:pt idx="91">
                  <c:v>2.4712408249555815</c:v>
                </c:pt>
                <c:pt idx="92">
                  <c:v>2.5218803127915814</c:v>
                </c:pt>
                <c:pt idx="93">
                  <c:v>2.5713728973100647</c:v>
                </c:pt>
                <c:pt idx="94">
                  <c:v>2.6196634300096395</c:v>
                </c:pt>
                <c:pt idx="95">
                  <c:v>2.6667040008468148</c:v>
                </c:pt>
                <c:pt idx="96">
                  <c:v>2.7124539157653391</c:v>
                </c:pt>
                <c:pt idx="97">
                  <c:v>2.7568795988792956</c:v>
                </c:pt>
                <c:pt idx="98">
                  <c:v>2.7999544262248035</c:v>
                </c:pt>
                <c:pt idx="99">
                  <c:v>2.8416584987373983</c:v>
                </c:pt>
                <c:pt idx="100">
                  <c:v>2.8819783625941047</c:v>
                </c:pt>
                <c:pt idx="101">
                  <c:v>2.9209066852946783</c:v>
                </c:pt>
                <c:pt idx="102">
                  <c:v>2.9584418958667671</c:v>
                </c:pt>
                <c:pt idx="103">
                  <c:v>2.9945877973913682</c:v>
                </c:pt>
                <c:pt idx="104">
                  <c:v>3.0293531596880392</c:v>
                </c:pt>
                <c:pt idx="105">
                  <c:v>3.0627512995057127</c:v>
                </c:pt>
                <c:pt idx="106">
                  <c:v>3.0947996549666557</c:v>
                </c:pt>
                <c:pt idx="107">
                  <c:v>3.1255193603388891</c:v>
                </c:pt>
                <c:pt idx="108">
                  <c:v>3.1549348264949284</c:v>
                </c:pt>
                <c:pt idx="109">
                  <c:v>3.1830733316776003</c:v>
                </c:pt>
                <c:pt idx="110">
                  <c:v>3.2099646264592834</c:v>
                </c:pt>
                <c:pt idx="111">
                  <c:v>3.235640556067561</c:v>
                </c:pt>
                <c:pt idx="112">
                  <c:v>3.2601347025729739</c:v>
                </c:pt>
                <c:pt idx="113">
                  <c:v>3.2834820488043732</c:v>
                </c:pt>
                <c:pt idx="114">
                  <c:v>3.3057186652823094</c:v>
                </c:pt>
                <c:pt idx="115">
                  <c:v>3.3268814209457798</c:v>
                </c:pt>
                <c:pt idx="116">
                  <c:v>3.3470077179948654</c:v>
                </c:pt>
                <c:pt idx="117">
                  <c:v>3.3661352507814168</c:v>
                </c:pt>
                <c:pt idx="118">
                  <c:v>3.38430178835045</c:v>
                </c:pt>
                <c:pt idx="119">
                  <c:v>3.4015449799632465</c:v>
                </c:pt>
                <c:pt idx="120">
                  <c:v>3.4179021827154519</c:v>
                </c:pt>
                <c:pt idx="121">
                  <c:v>3.4334103101950531</c:v>
                </c:pt>
                <c:pt idx="122">
                  <c:v>3.4481057010009581</c:v>
                </c:pt>
                <c:pt idx="123">
                  <c:v>3.4620240058579119</c:v>
                </c:pt>
                <c:pt idx="124">
                  <c:v>3.4752000920124004</c:v>
                </c:pt>
                <c:pt idx="125">
                  <c:v>3.4876679635721124</c:v>
                </c:pt>
                <c:pt idx="126">
                  <c:v>3.4994606964537192</c:v>
                </c:pt>
                <c:pt idx="127">
                  <c:v>3.5106103866258191</c:v>
                </c:pt>
                <c:pt idx="128">
                  <c:v>3.521148110371922</c:v>
                </c:pt>
                <c:pt idx="129">
                  <c:v>3.5311038953488052</c:v>
                </c:pt>
                <c:pt idx="130">
                  <c:v>3.5405067012752385</c:v>
                </c:pt>
                <c:pt idx="131">
                  <c:v>3.5493844091523639</c:v>
                </c:pt>
                <c:pt idx="132">
                  <c:v>3.5577638179875133</c:v>
                </c:pt>
                <c:pt idx="133">
                  <c:v>3.5656706480660136</c:v>
                </c:pt>
                <c:pt idx="134">
                  <c:v>3.5731295498890194</c:v>
                </c:pt>
                <c:pt idx="135">
                  <c:v>3.58016411796824</c:v>
                </c:pt>
                <c:pt idx="136">
                  <c:v>3.5867969087395695</c:v>
                </c:pt>
                <c:pt idx="137">
                  <c:v>3.5930494619263342</c:v>
                </c:pt>
                <c:pt idx="138">
                  <c:v>3.5989423247484624</c:v>
                </c:pt>
                <c:pt idx="139">
                  <c:v>3.6044950784359728</c:v>
                </c:pt>
                <c:pt idx="140">
                  <c:v>3.6097263665635269</c:v>
                </c:pt>
                <c:pt idx="141">
                  <c:v>3.6146539247771243</c:v>
                </c:pt>
                <c:pt idx="142">
                  <c:v>3.6192946115344227</c:v>
                </c:pt>
                <c:pt idx="143">
                  <c:v>3.6236644395265492</c:v>
                </c:pt>
                <c:pt idx="144">
                  <c:v>3.6277786074917486</c:v>
                </c:pt>
                <c:pt idx="145">
                  <c:v>3.6316515321699359</c:v>
                </c:pt>
                <c:pt idx="146">
                  <c:v>3.6352968801823264</c:v>
                </c:pt>
                <c:pt idx="147">
                  <c:v>3.6387275996520234</c:v>
                </c:pt>
                <c:pt idx="148">
                  <c:v>3.6419559514098734</c:v>
                </c:pt>
                <c:pt idx="149">
                  <c:v>3.6449935396554305</c:v>
                </c:pt>
                <c:pt idx="150">
                  <c:v>3.6478513419655023</c:v>
                </c:pt>
                <c:pt idx="151">
                  <c:v>3.6505397385629319</c:v>
                </c:pt>
                <c:pt idx="152">
                  <c:v>3.6530685407759749</c:v>
                </c:pt>
                <c:pt idx="153">
                  <c:v>3.6554470186343164</c:v>
                </c:pt>
                <c:pt idx="154">
                  <c:v>3.6576839275613624</c:v>
                </c:pt>
                <c:pt idx="155">
                  <c:v>3.6597875341344057</c:v>
                </c:pt>
                <c:pt idx="156">
                  <c:v>3.6617656408944961</c:v>
                </c:pt>
                <c:pt idx="157">
                  <c:v>3.6636256101967564</c:v>
                </c:pt>
                <c:pt idx="158">
                  <c:v>3.6653743870994342</c:v>
                </c:pt>
                <c:pt idx="159">
                  <c:v>3.6670185212964257</c:v>
                </c:pt>
                <c:pt idx="160">
                  <c:v>3.6685641881034328</c:v>
                </c:pt>
                <c:pt idx="161">
                  <c:v>3.6700172085124101</c:v>
                </c:pt>
                <c:pt idx="162">
                  <c:v>3.6713830683326987</c:v>
                </c:pt>
                <c:pt idx="163">
                  <c:v>3.6726669364402569</c:v>
                </c:pt>
                <c:pt idx="164">
                  <c:v>3.6738736821588156</c:v>
                </c:pt>
                <c:pt idx="165">
                  <c:v>3.6750078917986508</c:v>
                </c:pt>
                <c:pt idx="166">
                  <c:v>3.676073884380096</c:v>
                </c:pt>
                <c:pt idx="167">
                  <c:v>3.6770757265699041</c:v>
                </c:pt>
                <c:pt idx="168">
                  <c:v>3.6780172468592576</c:v>
                </c:pt>
                <c:pt idx="169">
                  <c:v>3.6789020490125801</c:v>
                </c:pt>
                <c:pt idx="170">
                  <c:v>3.6797335248164309</c:v>
                </c:pt>
                <c:pt idx="171">
                  <c:v>3.6805148661576488</c:v>
                </c:pt>
                <c:pt idx="172">
                  <c:v>3.681249076459673</c:v>
                </c:pt>
                <c:pt idx="173">
                  <c:v>3.6819389815055099</c:v>
                </c:pt>
                <c:pt idx="174">
                  <c:v>3.6825872396752946</c:v>
                </c:pt>
                <c:pt idx="175">
                  <c:v>3.6831963516257495</c:v>
                </c:pt>
                <c:pt idx="176">
                  <c:v>3.6837686694381153</c:v>
                </c:pt>
                <c:pt idx="177">
                  <c:v>3.6843064052603585</c:v>
                </c:pt>
                <c:pt idx="178">
                  <c:v>3.6848116394686183</c:v>
                </c:pt>
                <c:pt idx="179">
                  <c:v>3.6852863283720114</c:v>
                </c:pt>
                <c:pt idx="180">
                  <c:v>3.6857323114840255</c:v>
                </c:pt>
                <c:pt idx="181">
                  <c:v>3.6861513183828203</c:v>
                </c:pt>
                <c:pt idx="182">
                  <c:v>3.6865449751818975</c:v>
                </c:pt>
                <c:pt idx="183">
                  <c:v>3.6869148106316514</c:v>
                </c:pt>
                <c:pt idx="184">
                  <c:v>3.6872622618714792</c:v>
                </c:pt>
                <c:pt idx="185">
                  <c:v>3.6875886798512054</c:v>
                </c:pt>
                <c:pt idx="186">
                  <c:v>3.6878953344397609</c:v>
                </c:pt>
                <c:pt idx="187">
                  <c:v>3.6881834192381744</c:v>
                </c:pt>
                <c:pt idx="188">
                  <c:v>3.688454056113164</c:v>
                </c:pt>
                <c:pt idx="189">
                  <c:v>3.6887082994667839</c:v>
                </c:pt>
                <c:pt idx="190">
                  <c:v>3.6889471402568446</c:v>
                </c:pt>
                <c:pt idx="191">
                  <c:v>3.689171509782065</c:v>
                </c:pt>
                <c:pt idx="192">
                  <c:v>3.6893822832452128</c:v>
                </c:pt>
                <c:pt idx="193">
                  <c:v>3.6895802831068059</c:v>
                </c:pt>
                <c:pt idx="194">
                  <c:v>3.689766282241282</c:v>
                </c:pt>
                <c:pt idx="195">
                  <c:v>3.6899410069069214</c:v>
                </c:pt>
                <c:pt idx="196">
                  <c:v>3.6901051395402007</c:v>
                </c:pt>
                <c:pt idx="197">
                  <c:v>3.6902593213846813</c:v>
                </c:pt>
                <c:pt idx="198">
                  <c:v>3.6904041549639981</c:v>
                </c:pt>
                <c:pt idx="199">
                  <c:v>3.6905402064079667</c:v>
                </c:pt>
                <c:pt idx="200">
                  <c:v>3.6906680076403555</c:v>
                </c:pt>
                <c:pt idx="201">
                  <c:v>3.6907880584363753</c:v>
                </c:pt>
                <c:pt idx="202">
                  <c:v>3.6909008283575138</c:v>
                </c:pt>
                <c:pt idx="203">
                  <c:v>3.6910067585708717</c:v>
                </c:pt>
                <c:pt idx="204">
                  <c:v>3.6911062635598126</c:v>
                </c:pt>
                <c:pt idx="205">
                  <c:v>3.6911997327322901</c:v>
                </c:pt>
                <c:pt idx="206">
                  <c:v>3.6912875319329066</c:v>
                </c:pt>
                <c:pt idx="207">
                  <c:v>3.6913700048643716</c:v>
                </c:pt>
                <c:pt idx="208">
                  <c:v>3.6914474744237324</c:v>
                </c:pt>
                <c:pt idx="209">
                  <c:v>3.6915202439584101</c:v>
                </c:pt>
                <c:pt idx="210">
                  <c:v>3.6915885984468231</c:v>
                </c:pt>
                <c:pt idx="211">
                  <c:v>3.6916528056080535</c:v>
                </c:pt>
                <c:pt idx="212">
                  <c:v>3.6917131169447988</c:v>
                </c:pt>
                <c:pt idx="213">
                  <c:v>3.6917697687235713</c:v>
                </c:pt>
                <c:pt idx="214">
                  <c:v>3.6918229828958955</c:v>
                </c:pt>
                <c:pt idx="215">
                  <c:v>3.6918729679640196</c:v>
                </c:pt>
                <c:pt idx="216">
                  <c:v>3.6919199197944672</c:v>
                </c:pt>
                <c:pt idx="217">
                  <c:v>3.6919640223825385</c:v>
                </c:pt>
                <c:pt idx="218">
                  <c:v>3.6920054485707046</c:v>
                </c:pt>
                <c:pt idx="219">
                  <c:v>3.6920443607236644</c:v>
                </c:pt>
                <c:pt idx="220">
                  <c:v>3.6920809113626465</c:v>
                </c:pt>
                <c:pt idx="221">
                  <c:v>3.6921152437614206</c:v>
                </c:pt>
                <c:pt idx="222">
                  <c:v>3.6921474925063089</c:v>
                </c:pt>
                <c:pt idx="223">
                  <c:v>3.6921777840223573</c:v>
                </c:pt>
                <c:pt idx="224">
                  <c:v>3.6922062370677171</c:v>
                </c:pt>
                <c:pt idx="225">
                  <c:v>3.6922329631981317</c:v>
                </c:pt>
                <c:pt idx="226">
                  <c:v>3.6922580672033427</c:v>
                </c:pt>
                <c:pt idx="227">
                  <c:v>3.6922816475170972</c:v>
                </c:pt>
                <c:pt idx="228">
                  <c:v>3.6923037966023551</c:v>
                </c:pt>
                <c:pt idx="229">
                  <c:v>3.6923246013131852</c:v>
                </c:pt>
                <c:pt idx="230">
                  <c:v>3.692344143234759</c:v>
                </c:pt>
                <c:pt idx="231">
                  <c:v>3.6923624990027695</c:v>
                </c:pt>
                <c:pt idx="232">
                  <c:v>3.6923797406035015</c:v>
                </c:pt>
                <c:pt idx="233">
                  <c:v>3.6923959356557416</c:v>
                </c:pt>
                <c:pt idx="234">
                  <c:v>3.692411147675609</c:v>
                </c:pt>
                <c:pt idx="235">
                  <c:v>3.6924254363253475</c:v>
                </c:pt>
                <c:pt idx="236">
                  <c:v>3.6924388576470464</c:v>
                </c:pt>
                <c:pt idx="237">
                  <c:v>3.6924514642822008</c:v>
                </c:pt>
                <c:pt idx="238">
                  <c:v>3.6924633056779634</c:v>
                </c:pt>
                <c:pt idx="239">
                  <c:v>3.6924744282809052</c:v>
                </c:pt>
                <c:pt idx="240">
                  <c:v>3.6924848757190265</c:v>
                </c:pt>
                <c:pt idx="241">
                  <c:v>3.6924946889727361</c:v>
                </c:pt>
                <c:pt idx="242">
                  <c:v>3.692503906535471</c:v>
                </c:pt>
                <c:pt idx="243">
                  <c:v>3.6925125645645718</c:v>
                </c:pt>
                <c:pt idx="244">
                  <c:v>3.6925206970230136</c:v>
                </c:pt>
                <c:pt idx="245">
                  <c:v>3.6925283358125438</c:v>
                </c:pt>
                <c:pt idx="246">
                  <c:v>3.6925355108987481</c:v>
                </c:pt>
                <c:pt idx="247">
                  <c:v>3.6925422504285237</c:v>
                </c:pt>
                <c:pt idx="248">
                  <c:v>3.6925485808404392</c:v>
                </c:pt>
                <c:pt idx="249">
                  <c:v>3.6925545269683968</c:v>
                </c:pt>
                <c:pt idx="250">
                  <c:v>3.6925601121390024</c:v>
                </c:pt>
                <c:pt idx="251">
                  <c:v>3.6925653582630336</c:v>
                </c:pt>
                <c:pt idx="252">
                  <c:v>3.6925702859213629</c:v>
                </c:pt>
                <c:pt idx="253">
                  <c:v>3.692574914445661</c:v>
                </c:pt>
                <c:pt idx="254">
                  <c:v>3.6925792619942079</c:v>
                </c:pt>
                <c:pt idx="255">
                  <c:v>3.692583345623107</c:v>
                </c:pt>
                <c:pt idx="256">
                  <c:v>3.6925871813531717</c:v>
                </c:pt>
                <c:pt idx="257">
                  <c:v>3.6925907842327632</c:v>
                </c:pt>
                <c:pt idx="258">
                  <c:v>3.6925941683968038</c:v>
                </c:pt>
                <c:pt idx="259">
                  <c:v>3.6925973471222244</c:v>
                </c:pt>
                <c:pt idx="260">
                  <c:v>3.6926003328800325</c:v>
                </c:pt>
                <c:pt idx="261">
                  <c:v>3.6926031373842303</c:v>
                </c:pt>
                <c:pt idx="262">
                  <c:v>3.6926057716377598</c:v>
                </c:pt>
                <c:pt idx="263">
                  <c:v>3.6926082459756642</c:v>
                </c:pt>
                <c:pt idx="264">
                  <c:v>3.6926105701056238</c:v>
                </c:pt>
                <c:pt idx="265">
                  <c:v>3.6926127531460384</c:v>
                </c:pt>
                <c:pt idx="266">
                  <c:v>3.6926148036617934</c:v>
                </c:pt>
                <c:pt idx="267">
                  <c:v>3.6926167296978565</c:v>
                </c:pt>
                <c:pt idx="268">
                  <c:v>3.6926185388108412</c:v>
                </c:pt>
                <c:pt idx="269">
                  <c:v>3.6926202380986428</c:v>
                </c:pt>
                <c:pt idx="270">
                  <c:v>3.692621834228289</c:v>
                </c:pt>
                <c:pt idx="271">
                  <c:v>3.6926233334620897</c:v>
                </c:pt>
                <c:pt idx="272">
                  <c:v>3.6926247416822049</c:v>
                </c:pt>
                <c:pt idx="273">
                  <c:v>3.6926260644137199</c:v>
                </c:pt>
                <c:pt idx="274">
                  <c:v>3.6926273068463233</c:v>
                </c:pt>
                <c:pt idx="275">
                  <c:v>3.6926284738546635</c:v>
                </c:pt>
                <c:pt idx="276">
                  <c:v>3.6926295700174707</c:v>
                </c:pt>
              </c:numCache>
            </c:numRef>
          </c:yVal>
          <c:smooth val="1"/>
          <c:extLst>
            <c:ext xmlns:c16="http://schemas.microsoft.com/office/drawing/2014/chart" uri="{C3380CC4-5D6E-409C-BE32-E72D297353CC}">
              <c16:uniqueId val="{00000002-D1FD-A04A-B465-4FB357078D7A}"/>
            </c:ext>
          </c:extLst>
        </c:ser>
        <c:ser>
          <c:idx val="2"/>
          <c:order val="3"/>
          <c:tx>
            <c:strRef>
              <c:f>'Japan and South Korea'!$H$7</c:f>
              <c:strCache>
                <c:ptCount val="1"/>
                <c:pt idx="0">
                  <c:v>Q historical</c:v>
                </c:pt>
              </c:strCache>
            </c:strRef>
          </c:tx>
          <c:spPr>
            <a:ln w="15875">
              <a:solidFill>
                <a:srgbClr val="333399"/>
              </a:solidFill>
            </a:ln>
          </c:spPr>
          <c:marker>
            <c:symbol val="none"/>
          </c:marker>
          <c:xVal>
            <c:numRef>
              <c:f>'Japan and South Korea'!$D$85:$D$220</c:f>
              <c:numCache>
                <c:formatCode>General</c:formatCode>
                <c:ptCount val="136"/>
                <c:pt idx="0">
                  <c:v>1950</c:v>
                </c:pt>
                <c:pt idx="1">
                  <c:v>1951</c:v>
                </c:pt>
                <c:pt idx="2">
                  <c:v>1952</c:v>
                </c:pt>
                <c:pt idx="3">
                  <c:v>1953</c:v>
                </c:pt>
                <c:pt idx="4">
                  <c:v>1954</c:v>
                </c:pt>
                <c:pt idx="5">
                  <c:v>1955</c:v>
                </c:pt>
                <c:pt idx="6">
                  <c:v>1956</c:v>
                </c:pt>
                <c:pt idx="7">
                  <c:v>1957</c:v>
                </c:pt>
                <c:pt idx="8">
                  <c:v>1958</c:v>
                </c:pt>
                <c:pt idx="9">
                  <c:v>1959</c:v>
                </c:pt>
                <c:pt idx="10">
                  <c:v>1960</c:v>
                </c:pt>
                <c:pt idx="11">
                  <c:v>1961</c:v>
                </c:pt>
                <c:pt idx="12">
                  <c:v>1962</c:v>
                </c:pt>
                <c:pt idx="13">
                  <c:v>1963</c:v>
                </c:pt>
                <c:pt idx="14">
                  <c:v>1964</c:v>
                </c:pt>
                <c:pt idx="15">
                  <c:v>1965</c:v>
                </c:pt>
                <c:pt idx="16">
                  <c:v>1966</c:v>
                </c:pt>
                <c:pt idx="17">
                  <c:v>1967</c:v>
                </c:pt>
                <c:pt idx="18">
                  <c:v>1968</c:v>
                </c:pt>
                <c:pt idx="19">
                  <c:v>1969</c:v>
                </c:pt>
                <c:pt idx="20">
                  <c:v>1970</c:v>
                </c:pt>
                <c:pt idx="21">
                  <c:v>1971</c:v>
                </c:pt>
                <c:pt idx="22">
                  <c:v>1972</c:v>
                </c:pt>
                <c:pt idx="23">
                  <c:v>1973</c:v>
                </c:pt>
                <c:pt idx="24">
                  <c:v>1974</c:v>
                </c:pt>
                <c:pt idx="25">
                  <c:v>1975</c:v>
                </c:pt>
                <c:pt idx="26">
                  <c:v>1976</c:v>
                </c:pt>
                <c:pt idx="27">
                  <c:v>1977</c:v>
                </c:pt>
                <c:pt idx="28">
                  <c:v>1978</c:v>
                </c:pt>
                <c:pt idx="29">
                  <c:v>1979</c:v>
                </c:pt>
                <c:pt idx="30">
                  <c:v>1980</c:v>
                </c:pt>
                <c:pt idx="31">
                  <c:v>1981</c:v>
                </c:pt>
                <c:pt idx="32">
                  <c:v>1982</c:v>
                </c:pt>
                <c:pt idx="33">
                  <c:v>1983</c:v>
                </c:pt>
                <c:pt idx="34">
                  <c:v>1984</c:v>
                </c:pt>
                <c:pt idx="35">
                  <c:v>1985</c:v>
                </c:pt>
                <c:pt idx="36">
                  <c:v>1986</c:v>
                </c:pt>
                <c:pt idx="37">
                  <c:v>1987</c:v>
                </c:pt>
                <c:pt idx="38">
                  <c:v>1988</c:v>
                </c:pt>
                <c:pt idx="39">
                  <c:v>1989</c:v>
                </c:pt>
                <c:pt idx="40">
                  <c:v>1990</c:v>
                </c:pt>
                <c:pt idx="41">
                  <c:v>1991</c:v>
                </c:pt>
                <c:pt idx="42">
                  <c:v>1992</c:v>
                </c:pt>
                <c:pt idx="43">
                  <c:v>1993</c:v>
                </c:pt>
                <c:pt idx="44">
                  <c:v>1994</c:v>
                </c:pt>
                <c:pt idx="45">
                  <c:v>1995</c:v>
                </c:pt>
                <c:pt idx="46">
                  <c:v>1996</c:v>
                </c:pt>
                <c:pt idx="47">
                  <c:v>1997</c:v>
                </c:pt>
                <c:pt idx="48">
                  <c:v>1998</c:v>
                </c:pt>
                <c:pt idx="49">
                  <c:v>1999</c:v>
                </c:pt>
                <c:pt idx="50">
                  <c:v>2000</c:v>
                </c:pt>
                <c:pt idx="51">
                  <c:v>2001</c:v>
                </c:pt>
                <c:pt idx="52">
                  <c:v>2002</c:v>
                </c:pt>
                <c:pt idx="53">
                  <c:v>2003</c:v>
                </c:pt>
                <c:pt idx="54">
                  <c:v>2004</c:v>
                </c:pt>
                <c:pt idx="55">
                  <c:v>2005</c:v>
                </c:pt>
                <c:pt idx="56">
                  <c:v>2006</c:v>
                </c:pt>
                <c:pt idx="57">
                  <c:v>2007</c:v>
                </c:pt>
                <c:pt idx="58">
                  <c:v>2008</c:v>
                </c:pt>
                <c:pt idx="59">
                  <c:v>2009</c:v>
                </c:pt>
                <c:pt idx="60">
                  <c:v>2010</c:v>
                </c:pt>
                <c:pt idx="61">
                  <c:v>2011</c:v>
                </c:pt>
                <c:pt idx="62">
                  <c:v>2012</c:v>
                </c:pt>
                <c:pt idx="63">
                  <c:v>2013</c:v>
                </c:pt>
                <c:pt idx="64">
                  <c:v>2014</c:v>
                </c:pt>
                <c:pt idx="65">
                  <c:v>2015</c:v>
                </c:pt>
                <c:pt idx="66">
                  <c:v>2016</c:v>
                </c:pt>
                <c:pt idx="67">
                  <c:v>2017</c:v>
                </c:pt>
                <c:pt idx="68">
                  <c:v>2018</c:v>
                </c:pt>
                <c:pt idx="69">
                  <c:v>2019</c:v>
                </c:pt>
                <c:pt idx="70">
                  <c:v>2020</c:v>
                </c:pt>
                <c:pt idx="71">
                  <c:v>2021</c:v>
                </c:pt>
                <c:pt idx="72">
                  <c:v>2022</c:v>
                </c:pt>
                <c:pt idx="73">
                  <c:v>2023</c:v>
                </c:pt>
                <c:pt idx="74">
                  <c:v>2024</c:v>
                </c:pt>
                <c:pt idx="75">
                  <c:v>2025</c:v>
                </c:pt>
                <c:pt idx="76">
                  <c:v>2026</c:v>
                </c:pt>
                <c:pt idx="77">
                  <c:v>2027</c:v>
                </c:pt>
                <c:pt idx="78">
                  <c:v>2028</c:v>
                </c:pt>
                <c:pt idx="79">
                  <c:v>2029</c:v>
                </c:pt>
                <c:pt idx="80">
                  <c:v>2030</c:v>
                </c:pt>
                <c:pt idx="81">
                  <c:v>2031</c:v>
                </c:pt>
                <c:pt idx="82">
                  <c:v>2032</c:v>
                </c:pt>
                <c:pt idx="83">
                  <c:v>2033</c:v>
                </c:pt>
                <c:pt idx="84">
                  <c:v>2034</c:v>
                </c:pt>
                <c:pt idx="85">
                  <c:v>2035</c:v>
                </c:pt>
                <c:pt idx="86">
                  <c:v>2036</c:v>
                </c:pt>
                <c:pt idx="87">
                  <c:v>2037</c:v>
                </c:pt>
                <c:pt idx="88">
                  <c:v>2038</c:v>
                </c:pt>
                <c:pt idx="89">
                  <c:v>2039</c:v>
                </c:pt>
                <c:pt idx="90">
                  <c:v>2040</c:v>
                </c:pt>
                <c:pt idx="91">
                  <c:v>2041</c:v>
                </c:pt>
                <c:pt idx="92">
                  <c:v>2042</c:v>
                </c:pt>
                <c:pt idx="93">
                  <c:v>2043</c:v>
                </c:pt>
                <c:pt idx="94">
                  <c:v>2044</c:v>
                </c:pt>
                <c:pt idx="95">
                  <c:v>2045</c:v>
                </c:pt>
                <c:pt idx="96">
                  <c:v>2046</c:v>
                </c:pt>
                <c:pt idx="97">
                  <c:v>2047</c:v>
                </c:pt>
                <c:pt idx="98">
                  <c:v>2048</c:v>
                </c:pt>
                <c:pt idx="99">
                  <c:v>2049</c:v>
                </c:pt>
                <c:pt idx="100">
                  <c:v>2050</c:v>
                </c:pt>
                <c:pt idx="101">
                  <c:v>2051</c:v>
                </c:pt>
                <c:pt idx="102">
                  <c:v>2052</c:v>
                </c:pt>
                <c:pt idx="103">
                  <c:v>2053</c:v>
                </c:pt>
                <c:pt idx="104">
                  <c:v>2054</c:v>
                </c:pt>
                <c:pt idx="105">
                  <c:v>2055</c:v>
                </c:pt>
                <c:pt idx="106">
                  <c:v>2056</c:v>
                </c:pt>
                <c:pt idx="107">
                  <c:v>2057</c:v>
                </c:pt>
                <c:pt idx="108">
                  <c:v>2058</c:v>
                </c:pt>
                <c:pt idx="109">
                  <c:v>2059</c:v>
                </c:pt>
                <c:pt idx="110">
                  <c:v>2060</c:v>
                </c:pt>
                <c:pt idx="111">
                  <c:v>2061</c:v>
                </c:pt>
                <c:pt idx="112">
                  <c:v>2062</c:v>
                </c:pt>
                <c:pt idx="113">
                  <c:v>2063</c:v>
                </c:pt>
                <c:pt idx="114">
                  <c:v>2064</c:v>
                </c:pt>
                <c:pt idx="115">
                  <c:v>2065</c:v>
                </c:pt>
                <c:pt idx="116">
                  <c:v>2066</c:v>
                </c:pt>
                <c:pt idx="117">
                  <c:v>2067</c:v>
                </c:pt>
                <c:pt idx="118">
                  <c:v>2068</c:v>
                </c:pt>
                <c:pt idx="119">
                  <c:v>2069</c:v>
                </c:pt>
                <c:pt idx="120">
                  <c:v>2070</c:v>
                </c:pt>
                <c:pt idx="121">
                  <c:v>2071</c:v>
                </c:pt>
                <c:pt idx="122">
                  <c:v>2072</c:v>
                </c:pt>
                <c:pt idx="123">
                  <c:v>2073</c:v>
                </c:pt>
                <c:pt idx="124">
                  <c:v>2074</c:v>
                </c:pt>
                <c:pt idx="125">
                  <c:v>2075</c:v>
                </c:pt>
                <c:pt idx="126">
                  <c:v>2076</c:v>
                </c:pt>
                <c:pt idx="127">
                  <c:v>2077</c:v>
                </c:pt>
                <c:pt idx="128">
                  <c:v>2078</c:v>
                </c:pt>
                <c:pt idx="129">
                  <c:v>2079</c:v>
                </c:pt>
                <c:pt idx="130">
                  <c:v>2080</c:v>
                </c:pt>
                <c:pt idx="131">
                  <c:v>2081</c:v>
                </c:pt>
                <c:pt idx="132">
                  <c:v>2082</c:v>
                </c:pt>
                <c:pt idx="133">
                  <c:v>2083</c:v>
                </c:pt>
                <c:pt idx="134">
                  <c:v>2084</c:v>
                </c:pt>
                <c:pt idx="135">
                  <c:v>2085</c:v>
                </c:pt>
              </c:numCache>
            </c:numRef>
          </c:xVal>
          <c:yVal>
            <c:numRef>
              <c:f>'Japan and South Korea'!$H$85:$H$220</c:f>
              <c:numCache>
                <c:formatCode>0.0</c:formatCode>
                <c:ptCount val="136"/>
                <c:pt idx="0">
                  <c:v>2.5594071643861711</c:v>
                </c:pt>
                <c:pt idx="1">
                  <c:v>2.5418420659455219</c:v>
                </c:pt>
                <c:pt idx="2">
                  <c:v>2.536677322457277</c:v>
                </c:pt>
                <c:pt idx="3">
                  <c:v>2.5468590729634908</c:v>
                </c:pt>
                <c:pt idx="4">
                  <c:v>2.5624518117554662</c:v>
                </c:pt>
                <c:pt idx="5">
                  <c:v>2.5823028001467483</c:v>
                </c:pt>
                <c:pt idx="6">
                  <c:v>2.6123860776126842</c:v>
                </c:pt>
                <c:pt idx="7">
                  <c:v>2.6582464084240573</c:v>
                </c:pt>
                <c:pt idx="8">
                  <c:v>2.712008182359646</c:v>
                </c:pt>
                <c:pt idx="9">
                  <c:v>2.7692120668621811</c:v>
                </c:pt>
                <c:pt idx="10">
                  <c:v>2.8351980557575396</c:v>
                </c:pt>
                <c:pt idx="11">
                  <c:v>2.9120091361913487</c:v>
                </c:pt>
                <c:pt idx="12">
                  <c:v>2.9973668132774041</c:v>
                </c:pt>
                <c:pt idx="13">
                  <c:v>3.0862910255003886</c:v>
                </c:pt>
                <c:pt idx="14">
                  <c:v>3.1761547247334168</c:v>
                </c:pt>
                <c:pt idx="15">
                  <c:v>3.2647937466995622</c:v>
                </c:pt>
                <c:pt idx="16">
                  <c:v>3.35573503019639</c:v>
                </c:pt>
                <c:pt idx="17">
                  <c:v>3.4436726824753525</c:v>
                </c:pt>
                <c:pt idx="18">
                  <c:v>3.5251043613518847</c:v>
                </c:pt>
                <c:pt idx="19">
                  <c:v>3.5991631893168363</c:v>
                </c:pt>
                <c:pt idx="20">
                  <c:v>3.6643224339179534</c:v>
                </c:pt>
                <c:pt idx="21">
                  <c:v>3.716809860851165</c:v>
                </c:pt>
                <c:pt idx="22">
                  <c:v>3.7548077659212411</c:v>
                </c:pt>
                <c:pt idx="23">
                  <c:v>3.7787086455051155</c:v>
                </c:pt>
                <c:pt idx="24">
                  <c:v>3.7923601073749231</c:v>
                </c:pt>
                <c:pt idx="25">
                  <c:v>3.7994643439507341</c:v>
                </c:pt>
                <c:pt idx="26">
                  <c:v>3.800961343684345</c:v>
                </c:pt>
                <c:pt idx="27">
                  <c:v>3.7991657096202203</c:v>
                </c:pt>
                <c:pt idx="28">
                  <c:v>3.7963585668197095</c:v>
                </c:pt>
                <c:pt idx="29">
                  <c:v>3.7927238265624656</c:v>
                </c:pt>
                <c:pt idx="30">
                  <c:v>3.7895399003784944</c:v>
                </c:pt>
                <c:pt idx="31">
                  <c:v>3.787863213519461</c:v>
                </c:pt>
                <c:pt idx="32">
                  <c:v>3.7881316589996046</c:v>
                </c:pt>
                <c:pt idx="33">
                  <c:v>3.7901255894088561</c:v>
                </c:pt>
                <c:pt idx="34">
                  <c:v>3.7946701888880998</c:v>
                </c:pt>
                <c:pt idx="35">
                  <c:v>3.8022843412880287</c:v>
                </c:pt>
                <c:pt idx="36">
                  <c:v>3.8135828123650319</c:v>
                </c:pt>
                <c:pt idx="37">
                  <c:v>3.8265648023139343</c:v>
                </c:pt>
                <c:pt idx="38">
                  <c:v>3.8402495740591704</c:v>
                </c:pt>
                <c:pt idx="39">
                  <c:v>3.8524108275863078</c:v>
                </c:pt>
                <c:pt idx="40">
                  <c:v>3.8610719214284459</c:v>
                </c:pt>
                <c:pt idx="41">
                  <c:v>3.8664730451948146</c:v>
                </c:pt>
                <c:pt idx="42">
                  <c:v>3.8683503695117896</c:v>
                </c:pt>
                <c:pt idx="43">
                  <c:v>3.866880064655263</c:v>
                </c:pt>
                <c:pt idx="44">
                  <c:v>3.8624903297740141</c:v>
                </c:pt>
                <c:pt idx="45">
                  <c:v>3.8555188898228301</c:v>
                </c:pt>
                <c:pt idx="46">
                  <c:v>3.8467803648226906</c:v>
                </c:pt>
                <c:pt idx="47">
                  <c:v>3.8363394119980838</c:v>
                </c:pt>
                <c:pt idx="48">
                  <c:v>3.8247284846988934</c:v>
                </c:pt>
                <c:pt idx="49">
                  <c:v>3.812508103899912</c:v>
                </c:pt>
                <c:pt idx="50">
                  <c:v>3.7999170379818925</c:v>
                </c:pt>
                <c:pt idx="51">
                  <c:v>3.7872321612784341</c:v>
                </c:pt>
                <c:pt idx="52">
                  <c:v>3.7743565146723914</c:v>
                </c:pt>
                <c:pt idx="53">
                  <c:v>3.7615384537916294</c:v>
                </c:pt>
                <c:pt idx="54">
                  <c:v>3.7489501313828577</c:v>
                </c:pt>
                <c:pt idx="55">
                  <c:v>3.7366673648551081</c:v>
                </c:pt>
                <c:pt idx="56">
                  <c:v>3.7248253130629956</c:v>
                </c:pt>
                <c:pt idx="57">
                  <c:v>3.7135145654791062</c:v>
                </c:pt>
                <c:pt idx="58">
                  <c:v>3.7027748257999673</c:v>
                </c:pt>
                <c:pt idx="59">
                  <c:v>3.6926465303903417</c:v>
                </c:pt>
              </c:numCache>
            </c:numRef>
          </c:yVal>
          <c:smooth val="1"/>
          <c:extLst>
            <c:ext xmlns:c16="http://schemas.microsoft.com/office/drawing/2014/chart" uri="{C3380CC4-5D6E-409C-BE32-E72D297353CC}">
              <c16:uniqueId val="{00000003-D1FD-A04A-B465-4FB357078D7A}"/>
            </c:ext>
          </c:extLst>
        </c:ser>
        <c:ser>
          <c:idx val="4"/>
          <c:order val="4"/>
          <c:tx>
            <c:v>Early Q</c:v>
          </c:tx>
          <c:spPr>
            <a:ln w="15875">
              <a:solidFill>
                <a:srgbClr val="333399"/>
              </a:solidFill>
              <a:prstDash val="lgDash"/>
            </a:ln>
          </c:spPr>
          <c:marker>
            <c:symbol val="none"/>
          </c:marker>
          <c:xVal>
            <c:numRef>
              <c:f>'Japan and South Korea'!$D$23:$D$84</c:f>
              <c:numCache>
                <c:formatCode>General</c:formatCode>
                <c:ptCount val="62"/>
                <c:pt idx="0">
                  <c:v>1888</c:v>
                </c:pt>
                <c:pt idx="1">
                  <c:v>1889</c:v>
                </c:pt>
                <c:pt idx="2">
                  <c:v>1890</c:v>
                </c:pt>
                <c:pt idx="3">
                  <c:v>1891</c:v>
                </c:pt>
                <c:pt idx="4">
                  <c:v>1892</c:v>
                </c:pt>
                <c:pt idx="5">
                  <c:v>1893</c:v>
                </c:pt>
                <c:pt idx="6">
                  <c:v>1894</c:v>
                </c:pt>
                <c:pt idx="7">
                  <c:v>1895</c:v>
                </c:pt>
                <c:pt idx="8">
                  <c:v>1896</c:v>
                </c:pt>
                <c:pt idx="9">
                  <c:v>1897</c:v>
                </c:pt>
                <c:pt idx="10">
                  <c:v>1898</c:v>
                </c:pt>
                <c:pt idx="11">
                  <c:v>1899</c:v>
                </c:pt>
                <c:pt idx="12">
                  <c:v>1900</c:v>
                </c:pt>
                <c:pt idx="13">
                  <c:v>1901</c:v>
                </c:pt>
                <c:pt idx="14">
                  <c:v>1902</c:v>
                </c:pt>
                <c:pt idx="15">
                  <c:v>1903</c:v>
                </c:pt>
                <c:pt idx="16">
                  <c:v>1904</c:v>
                </c:pt>
                <c:pt idx="17">
                  <c:v>1905</c:v>
                </c:pt>
                <c:pt idx="18">
                  <c:v>1906</c:v>
                </c:pt>
                <c:pt idx="19">
                  <c:v>1907</c:v>
                </c:pt>
                <c:pt idx="20">
                  <c:v>1908</c:v>
                </c:pt>
                <c:pt idx="21">
                  <c:v>1909</c:v>
                </c:pt>
                <c:pt idx="22">
                  <c:v>1910</c:v>
                </c:pt>
                <c:pt idx="23">
                  <c:v>1911</c:v>
                </c:pt>
                <c:pt idx="24">
                  <c:v>1912</c:v>
                </c:pt>
                <c:pt idx="25">
                  <c:v>1913</c:v>
                </c:pt>
                <c:pt idx="26">
                  <c:v>1914</c:v>
                </c:pt>
                <c:pt idx="27">
                  <c:v>1915</c:v>
                </c:pt>
                <c:pt idx="28">
                  <c:v>1916</c:v>
                </c:pt>
                <c:pt idx="29">
                  <c:v>1917</c:v>
                </c:pt>
                <c:pt idx="30">
                  <c:v>1918</c:v>
                </c:pt>
                <c:pt idx="31">
                  <c:v>1919</c:v>
                </c:pt>
                <c:pt idx="32">
                  <c:v>1920</c:v>
                </c:pt>
                <c:pt idx="33">
                  <c:v>1921</c:v>
                </c:pt>
                <c:pt idx="34">
                  <c:v>1922</c:v>
                </c:pt>
                <c:pt idx="35">
                  <c:v>1923</c:v>
                </c:pt>
                <c:pt idx="36">
                  <c:v>1924</c:v>
                </c:pt>
                <c:pt idx="37">
                  <c:v>1925</c:v>
                </c:pt>
                <c:pt idx="38">
                  <c:v>1926</c:v>
                </c:pt>
                <c:pt idx="39">
                  <c:v>1927</c:v>
                </c:pt>
                <c:pt idx="40">
                  <c:v>1928</c:v>
                </c:pt>
                <c:pt idx="41">
                  <c:v>1929</c:v>
                </c:pt>
                <c:pt idx="42">
                  <c:v>1930</c:v>
                </c:pt>
                <c:pt idx="43">
                  <c:v>1931</c:v>
                </c:pt>
                <c:pt idx="44">
                  <c:v>1932</c:v>
                </c:pt>
                <c:pt idx="45">
                  <c:v>1933</c:v>
                </c:pt>
                <c:pt idx="46">
                  <c:v>1934</c:v>
                </c:pt>
                <c:pt idx="47">
                  <c:v>1935</c:v>
                </c:pt>
                <c:pt idx="48">
                  <c:v>1936</c:v>
                </c:pt>
                <c:pt idx="49">
                  <c:v>1937</c:v>
                </c:pt>
                <c:pt idx="50">
                  <c:v>1938</c:v>
                </c:pt>
                <c:pt idx="51">
                  <c:v>1939</c:v>
                </c:pt>
                <c:pt idx="52">
                  <c:v>1940</c:v>
                </c:pt>
                <c:pt idx="53">
                  <c:v>1941</c:v>
                </c:pt>
                <c:pt idx="54">
                  <c:v>1942</c:v>
                </c:pt>
                <c:pt idx="55">
                  <c:v>1943</c:v>
                </c:pt>
                <c:pt idx="56">
                  <c:v>1944</c:v>
                </c:pt>
                <c:pt idx="57">
                  <c:v>1945</c:v>
                </c:pt>
                <c:pt idx="58">
                  <c:v>1946</c:v>
                </c:pt>
                <c:pt idx="59">
                  <c:v>1947</c:v>
                </c:pt>
                <c:pt idx="60">
                  <c:v>1948</c:v>
                </c:pt>
                <c:pt idx="61">
                  <c:v>1949</c:v>
                </c:pt>
              </c:numCache>
            </c:numRef>
          </c:xVal>
          <c:yVal>
            <c:numRef>
              <c:f>'Japan and South Korea'!$H$23:$H$84</c:f>
              <c:numCache>
                <c:formatCode>0.00</c:formatCode>
                <c:ptCount val="62"/>
                <c:pt idx="45" formatCode="0.0">
                  <c:v>1.3834415615156186</c:v>
                </c:pt>
                <c:pt idx="46" formatCode="0.0">
                  <c:v>1.3935956006314425</c:v>
                </c:pt>
                <c:pt idx="47" formatCode="0.0">
                  <c:v>1.424475420870035</c:v>
                </c:pt>
                <c:pt idx="48" formatCode="0.0">
                  <c:v>1.4798164409428827</c:v>
                </c:pt>
                <c:pt idx="49" formatCode="0.0">
                  <c:v>1.5591488929664465</c:v>
                </c:pt>
                <c:pt idx="50" formatCode="0.0">
                  <c:v>1.6622422350934019</c:v>
                </c:pt>
                <c:pt idx="51" formatCode="0.0">
                  <c:v>1.7859971261074485</c:v>
                </c:pt>
                <c:pt idx="52" formatCode="0.0">
                  <c:v>1.9400049472956664</c:v>
                </c:pt>
                <c:pt idx="53" formatCode="0.0">
                  <c:v>2.1120512904965647</c:v>
                </c:pt>
                <c:pt idx="54" formatCode="0.0">
                  <c:v>2.2863034330800143</c:v>
                </c:pt>
                <c:pt idx="55" formatCode="0.0">
                  <c:v>2.4707948978180134</c:v>
                </c:pt>
                <c:pt idx="56" formatCode="0.0">
                  <c:v>2.6450364257630485</c:v>
                </c:pt>
                <c:pt idx="57" formatCode="0.0">
                  <c:v>2.7215347600615951</c:v>
                </c:pt>
                <c:pt idx="58" formatCode="0.0">
                  <c:v>2.7130631557771805</c:v>
                </c:pt>
                <c:pt idx="59" formatCode="0.0">
                  <c:v>2.6731945696245822</c:v>
                </c:pt>
                <c:pt idx="60" formatCode="0.0">
                  <c:v>2.6289554148173084</c:v>
                </c:pt>
                <c:pt idx="61" formatCode="0.0">
                  <c:v>2.5911043847661204</c:v>
                </c:pt>
              </c:numCache>
            </c:numRef>
          </c:yVal>
          <c:smooth val="1"/>
          <c:extLst>
            <c:ext xmlns:c16="http://schemas.microsoft.com/office/drawing/2014/chart" uri="{C3380CC4-5D6E-409C-BE32-E72D297353CC}">
              <c16:uniqueId val="{00000004-D1FD-A04A-B465-4FB357078D7A}"/>
            </c:ext>
          </c:extLst>
        </c:ser>
        <c:dLbls>
          <c:showLegendKey val="0"/>
          <c:showVal val="0"/>
          <c:showCatName val="0"/>
          <c:showSerName val="0"/>
          <c:showPercent val="0"/>
          <c:showBubbleSize val="0"/>
        </c:dLbls>
        <c:axId val="131897216"/>
        <c:axId val="131898752"/>
      </c:scatterChart>
      <c:valAx>
        <c:axId val="131897216"/>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1898752"/>
        <c:crosses val="autoZero"/>
        <c:crossBetween val="midCat"/>
        <c:majorUnit val="60"/>
        <c:minorUnit val="10"/>
      </c:valAx>
      <c:valAx>
        <c:axId val="131898752"/>
        <c:scaling>
          <c:orientation val="minMax"/>
          <c:max val="4"/>
          <c:min val="0"/>
        </c:scaling>
        <c:delete val="0"/>
        <c:axPos val="r"/>
        <c:title>
          <c:tx>
            <c:rich>
              <a:bodyPr rot="-5400000" vert="horz"/>
              <a:lstStyle/>
              <a:p>
                <a:pPr>
                  <a:defRPr sz="1200" b="0">
                    <a:solidFill>
                      <a:srgbClr val="333399"/>
                    </a:solidFill>
                  </a:defRPr>
                </a:pPr>
                <a:r>
                  <a:rPr lang="en-US" sz="1200" b="0">
                    <a:solidFill>
                      <a:srgbClr val="333399"/>
                    </a:solidFill>
                  </a:rPr>
                  <a:t>Cumulative production, Gt</a:t>
                </a:r>
              </a:p>
            </c:rich>
          </c:tx>
          <c:layout>
            <c:manualLayout>
              <c:xMode val="edge"/>
              <c:yMode val="edge"/>
              <c:x val="0.96240681576144838"/>
              <c:y val="0.13136920384951883"/>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1897216"/>
        <c:crosses val="max"/>
        <c:crossBetween val="midCat"/>
        <c:majorUnit val="2"/>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967338347887901"/>
          <c:h val="0.77264654418197765"/>
        </c:manualLayout>
      </c:layout>
      <c:scatterChart>
        <c:scatterStyle val="smoothMarker"/>
        <c:varyColors val="0"/>
        <c:ser>
          <c:idx val="2"/>
          <c:order val="0"/>
          <c:tx>
            <c:strRef>
              <c:f>'Japan and South Korea'!$H$7</c:f>
              <c:strCache>
                <c:ptCount val="1"/>
                <c:pt idx="0">
                  <c:v>Q historical</c:v>
                </c:pt>
              </c:strCache>
            </c:strRef>
          </c:tx>
          <c:spPr>
            <a:ln w="15875">
              <a:solidFill>
                <a:srgbClr val="333399"/>
              </a:solidFill>
            </a:ln>
          </c:spPr>
          <c:marker>
            <c:symbol val="none"/>
          </c:marker>
          <c:xVal>
            <c:numRef>
              <c:f>'Japan and South Korea'!$D$85:$D$220</c:f>
              <c:numCache>
                <c:formatCode>General</c:formatCode>
                <c:ptCount val="136"/>
                <c:pt idx="0">
                  <c:v>1950</c:v>
                </c:pt>
                <c:pt idx="1">
                  <c:v>1951</c:v>
                </c:pt>
                <c:pt idx="2">
                  <c:v>1952</c:v>
                </c:pt>
                <c:pt idx="3">
                  <c:v>1953</c:v>
                </c:pt>
                <c:pt idx="4">
                  <c:v>1954</c:v>
                </c:pt>
                <c:pt idx="5">
                  <c:v>1955</c:v>
                </c:pt>
                <c:pt idx="6">
                  <c:v>1956</c:v>
                </c:pt>
                <c:pt idx="7">
                  <c:v>1957</c:v>
                </c:pt>
                <c:pt idx="8">
                  <c:v>1958</c:v>
                </c:pt>
                <c:pt idx="9">
                  <c:v>1959</c:v>
                </c:pt>
                <c:pt idx="10">
                  <c:v>1960</c:v>
                </c:pt>
                <c:pt idx="11">
                  <c:v>1961</c:v>
                </c:pt>
                <c:pt idx="12">
                  <c:v>1962</c:v>
                </c:pt>
                <c:pt idx="13">
                  <c:v>1963</c:v>
                </c:pt>
                <c:pt idx="14">
                  <c:v>1964</c:v>
                </c:pt>
                <c:pt idx="15">
                  <c:v>1965</c:v>
                </c:pt>
                <c:pt idx="16">
                  <c:v>1966</c:v>
                </c:pt>
                <c:pt idx="17">
                  <c:v>1967</c:v>
                </c:pt>
                <c:pt idx="18">
                  <c:v>1968</c:v>
                </c:pt>
                <c:pt idx="19">
                  <c:v>1969</c:v>
                </c:pt>
                <c:pt idx="20">
                  <c:v>1970</c:v>
                </c:pt>
                <c:pt idx="21">
                  <c:v>1971</c:v>
                </c:pt>
                <c:pt idx="22">
                  <c:v>1972</c:v>
                </c:pt>
                <c:pt idx="23">
                  <c:v>1973</c:v>
                </c:pt>
                <c:pt idx="24">
                  <c:v>1974</c:v>
                </c:pt>
                <c:pt idx="25">
                  <c:v>1975</c:v>
                </c:pt>
                <c:pt idx="26">
                  <c:v>1976</c:v>
                </c:pt>
                <c:pt idx="27">
                  <c:v>1977</c:v>
                </c:pt>
                <c:pt idx="28">
                  <c:v>1978</c:v>
                </c:pt>
                <c:pt idx="29">
                  <c:v>1979</c:v>
                </c:pt>
                <c:pt idx="30">
                  <c:v>1980</c:v>
                </c:pt>
                <c:pt idx="31">
                  <c:v>1981</c:v>
                </c:pt>
                <c:pt idx="32">
                  <c:v>1982</c:v>
                </c:pt>
                <c:pt idx="33">
                  <c:v>1983</c:v>
                </c:pt>
                <c:pt idx="34">
                  <c:v>1984</c:v>
                </c:pt>
                <c:pt idx="35">
                  <c:v>1985</c:v>
                </c:pt>
                <c:pt idx="36">
                  <c:v>1986</c:v>
                </c:pt>
                <c:pt idx="37">
                  <c:v>1987</c:v>
                </c:pt>
                <c:pt idx="38">
                  <c:v>1988</c:v>
                </c:pt>
                <c:pt idx="39">
                  <c:v>1989</c:v>
                </c:pt>
                <c:pt idx="40">
                  <c:v>1990</c:v>
                </c:pt>
                <c:pt idx="41">
                  <c:v>1991</c:v>
                </c:pt>
                <c:pt idx="42">
                  <c:v>1992</c:v>
                </c:pt>
                <c:pt idx="43">
                  <c:v>1993</c:v>
                </c:pt>
                <c:pt idx="44">
                  <c:v>1994</c:v>
                </c:pt>
                <c:pt idx="45">
                  <c:v>1995</c:v>
                </c:pt>
                <c:pt idx="46">
                  <c:v>1996</c:v>
                </c:pt>
                <c:pt idx="47">
                  <c:v>1997</c:v>
                </c:pt>
                <c:pt idx="48">
                  <c:v>1998</c:v>
                </c:pt>
                <c:pt idx="49">
                  <c:v>1999</c:v>
                </c:pt>
                <c:pt idx="50">
                  <c:v>2000</c:v>
                </c:pt>
                <c:pt idx="51">
                  <c:v>2001</c:v>
                </c:pt>
                <c:pt idx="52">
                  <c:v>2002</c:v>
                </c:pt>
                <c:pt idx="53">
                  <c:v>2003</c:v>
                </c:pt>
                <c:pt idx="54">
                  <c:v>2004</c:v>
                </c:pt>
                <c:pt idx="55">
                  <c:v>2005</c:v>
                </c:pt>
                <c:pt idx="56">
                  <c:v>2006</c:v>
                </c:pt>
                <c:pt idx="57">
                  <c:v>2007</c:v>
                </c:pt>
                <c:pt idx="58">
                  <c:v>2008</c:v>
                </c:pt>
                <c:pt idx="59">
                  <c:v>2009</c:v>
                </c:pt>
                <c:pt idx="60">
                  <c:v>2010</c:v>
                </c:pt>
                <c:pt idx="61">
                  <c:v>2011</c:v>
                </c:pt>
                <c:pt idx="62">
                  <c:v>2012</c:v>
                </c:pt>
                <c:pt idx="63">
                  <c:v>2013</c:v>
                </c:pt>
                <c:pt idx="64">
                  <c:v>2014</c:v>
                </c:pt>
                <c:pt idx="65">
                  <c:v>2015</c:v>
                </c:pt>
                <c:pt idx="66">
                  <c:v>2016</c:v>
                </c:pt>
                <c:pt idx="67">
                  <c:v>2017</c:v>
                </c:pt>
                <c:pt idx="68">
                  <c:v>2018</c:v>
                </c:pt>
                <c:pt idx="69">
                  <c:v>2019</c:v>
                </c:pt>
                <c:pt idx="70">
                  <c:v>2020</c:v>
                </c:pt>
                <c:pt idx="71">
                  <c:v>2021</c:v>
                </c:pt>
                <c:pt idx="72">
                  <c:v>2022</c:v>
                </c:pt>
                <c:pt idx="73">
                  <c:v>2023</c:v>
                </c:pt>
                <c:pt idx="74">
                  <c:v>2024</c:v>
                </c:pt>
                <c:pt idx="75">
                  <c:v>2025</c:v>
                </c:pt>
                <c:pt idx="76">
                  <c:v>2026</c:v>
                </c:pt>
                <c:pt idx="77">
                  <c:v>2027</c:v>
                </c:pt>
                <c:pt idx="78">
                  <c:v>2028</c:v>
                </c:pt>
                <c:pt idx="79">
                  <c:v>2029</c:v>
                </c:pt>
                <c:pt idx="80">
                  <c:v>2030</c:v>
                </c:pt>
                <c:pt idx="81">
                  <c:v>2031</c:v>
                </c:pt>
                <c:pt idx="82">
                  <c:v>2032</c:v>
                </c:pt>
                <c:pt idx="83">
                  <c:v>2033</c:v>
                </c:pt>
                <c:pt idx="84">
                  <c:v>2034</c:v>
                </c:pt>
                <c:pt idx="85">
                  <c:v>2035</c:v>
                </c:pt>
                <c:pt idx="86">
                  <c:v>2036</c:v>
                </c:pt>
                <c:pt idx="87">
                  <c:v>2037</c:v>
                </c:pt>
                <c:pt idx="88">
                  <c:v>2038</c:v>
                </c:pt>
                <c:pt idx="89">
                  <c:v>2039</c:v>
                </c:pt>
                <c:pt idx="90">
                  <c:v>2040</c:v>
                </c:pt>
                <c:pt idx="91">
                  <c:v>2041</c:v>
                </c:pt>
                <c:pt idx="92">
                  <c:v>2042</c:v>
                </c:pt>
                <c:pt idx="93">
                  <c:v>2043</c:v>
                </c:pt>
                <c:pt idx="94">
                  <c:v>2044</c:v>
                </c:pt>
                <c:pt idx="95">
                  <c:v>2045</c:v>
                </c:pt>
                <c:pt idx="96">
                  <c:v>2046</c:v>
                </c:pt>
                <c:pt idx="97">
                  <c:v>2047</c:v>
                </c:pt>
                <c:pt idx="98">
                  <c:v>2048</c:v>
                </c:pt>
                <c:pt idx="99">
                  <c:v>2049</c:v>
                </c:pt>
                <c:pt idx="100">
                  <c:v>2050</c:v>
                </c:pt>
                <c:pt idx="101">
                  <c:v>2051</c:v>
                </c:pt>
                <c:pt idx="102">
                  <c:v>2052</c:v>
                </c:pt>
                <c:pt idx="103">
                  <c:v>2053</c:v>
                </c:pt>
                <c:pt idx="104">
                  <c:v>2054</c:v>
                </c:pt>
                <c:pt idx="105">
                  <c:v>2055</c:v>
                </c:pt>
                <c:pt idx="106">
                  <c:v>2056</c:v>
                </c:pt>
                <c:pt idx="107">
                  <c:v>2057</c:v>
                </c:pt>
                <c:pt idx="108">
                  <c:v>2058</c:v>
                </c:pt>
                <c:pt idx="109">
                  <c:v>2059</c:v>
                </c:pt>
                <c:pt idx="110">
                  <c:v>2060</c:v>
                </c:pt>
                <c:pt idx="111">
                  <c:v>2061</c:v>
                </c:pt>
                <c:pt idx="112">
                  <c:v>2062</c:v>
                </c:pt>
                <c:pt idx="113">
                  <c:v>2063</c:v>
                </c:pt>
                <c:pt idx="114">
                  <c:v>2064</c:v>
                </c:pt>
                <c:pt idx="115">
                  <c:v>2065</c:v>
                </c:pt>
                <c:pt idx="116">
                  <c:v>2066</c:v>
                </c:pt>
                <c:pt idx="117">
                  <c:v>2067</c:v>
                </c:pt>
                <c:pt idx="118">
                  <c:v>2068</c:v>
                </c:pt>
                <c:pt idx="119">
                  <c:v>2069</c:v>
                </c:pt>
                <c:pt idx="120">
                  <c:v>2070</c:v>
                </c:pt>
                <c:pt idx="121">
                  <c:v>2071</c:v>
                </c:pt>
                <c:pt idx="122">
                  <c:v>2072</c:v>
                </c:pt>
                <c:pt idx="123">
                  <c:v>2073</c:v>
                </c:pt>
                <c:pt idx="124">
                  <c:v>2074</c:v>
                </c:pt>
                <c:pt idx="125">
                  <c:v>2075</c:v>
                </c:pt>
                <c:pt idx="126">
                  <c:v>2076</c:v>
                </c:pt>
                <c:pt idx="127">
                  <c:v>2077</c:v>
                </c:pt>
                <c:pt idx="128">
                  <c:v>2078</c:v>
                </c:pt>
                <c:pt idx="129">
                  <c:v>2079</c:v>
                </c:pt>
                <c:pt idx="130">
                  <c:v>2080</c:v>
                </c:pt>
                <c:pt idx="131">
                  <c:v>2081</c:v>
                </c:pt>
                <c:pt idx="132">
                  <c:v>2082</c:v>
                </c:pt>
                <c:pt idx="133">
                  <c:v>2083</c:v>
                </c:pt>
                <c:pt idx="134">
                  <c:v>2084</c:v>
                </c:pt>
                <c:pt idx="135">
                  <c:v>2085</c:v>
                </c:pt>
              </c:numCache>
            </c:numRef>
          </c:xVal>
          <c:yVal>
            <c:numRef>
              <c:f>'Japan and South Korea'!$H$85:$H$220</c:f>
              <c:numCache>
                <c:formatCode>0.0</c:formatCode>
                <c:ptCount val="136"/>
                <c:pt idx="0">
                  <c:v>2.5594071643861711</c:v>
                </c:pt>
                <c:pt idx="1">
                  <c:v>2.5418420659455219</c:v>
                </c:pt>
                <c:pt idx="2">
                  <c:v>2.536677322457277</c:v>
                </c:pt>
                <c:pt idx="3">
                  <c:v>2.5468590729634908</c:v>
                </c:pt>
                <c:pt idx="4">
                  <c:v>2.5624518117554662</c:v>
                </c:pt>
                <c:pt idx="5">
                  <c:v>2.5823028001467483</c:v>
                </c:pt>
                <c:pt idx="6">
                  <c:v>2.6123860776126842</c:v>
                </c:pt>
                <c:pt idx="7">
                  <c:v>2.6582464084240573</c:v>
                </c:pt>
                <c:pt idx="8">
                  <c:v>2.712008182359646</c:v>
                </c:pt>
                <c:pt idx="9">
                  <c:v>2.7692120668621811</c:v>
                </c:pt>
                <c:pt idx="10">
                  <c:v>2.8351980557575396</c:v>
                </c:pt>
                <c:pt idx="11">
                  <c:v>2.9120091361913487</c:v>
                </c:pt>
                <c:pt idx="12">
                  <c:v>2.9973668132774041</c:v>
                </c:pt>
                <c:pt idx="13">
                  <c:v>3.0862910255003886</c:v>
                </c:pt>
                <c:pt idx="14">
                  <c:v>3.1761547247334168</c:v>
                </c:pt>
                <c:pt idx="15">
                  <c:v>3.2647937466995622</c:v>
                </c:pt>
                <c:pt idx="16">
                  <c:v>3.35573503019639</c:v>
                </c:pt>
                <c:pt idx="17">
                  <c:v>3.4436726824753525</c:v>
                </c:pt>
                <c:pt idx="18">
                  <c:v>3.5251043613518847</c:v>
                </c:pt>
                <c:pt idx="19">
                  <c:v>3.5991631893168363</c:v>
                </c:pt>
                <c:pt idx="20">
                  <c:v>3.6643224339179534</c:v>
                </c:pt>
                <c:pt idx="21">
                  <c:v>3.716809860851165</c:v>
                </c:pt>
                <c:pt idx="22">
                  <c:v>3.7548077659212411</c:v>
                </c:pt>
                <c:pt idx="23">
                  <c:v>3.7787086455051155</c:v>
                </c:pt>
                <c:pt idx="24">
                  <c:v>3.7923601073749231</c:v>
                </c:pt>
                <c:pt idx="25">
                  <c:v>3.7994643439507341</c:v>
                </c:pt>
                <c:pt idx="26">
                  <c:v>3.800961343684345</c:v>
                </c:pt>
                <c:pt idx="27">
                  <c:v>3.7991657096202203</c:v>
                </c:pt>
                <c:pt idx="28">
                  <c:v>3.7963585668197095</c:v>
                </c:pt>
                <c:pt idx="29">
                  <c:v>3.7927238265624656</c:v>
                </c:pt>
                <c:pt idx="30">
                  <c:v>3.7895399003784944</c:v>
                </c:pt>
                <c:pt idx="31">
                  <c:v>3.787863213519461</c:v>
                </c:pt>
                <c:pt idx="32">
                  <c:v>3.7881316589996046</c:v>
                </c:pt>
                <c:pt idx="33">
                  <c:v>3.7901255894088561</c:v>
                </c:pt>
                <c:pt idx="34">
                  <c:v>3.7946701888880998</c:v>
                </c:pt>
                <c:pt idx="35">
                  <c:v>3.8022843412880287</c:v>
                </c:pt>
                <c:pt idx="36">
                  <c:v>3.8135828123650319</c:v>
                </c:pt>
                <c:pt idx="37">
                  <c:v>3.8265648023139343</c:v>
                </c:pt>
                <c:pt idx="38">
                  <c:v>3.8402495740591704</c:v>
                </c:pt>
                <c:pt idx="39">
                  <c:v>3.8524108275863078</c:v>
                </c:pt>
                <c:pt idx="40">
                  <c:v>3.8610719214284459</c:v>
                </c:pt>
                <c:pt idx="41">
                  <c:v>3.8664730451948146</c:v>
                </c:pt>
                <c:pt idx="42">
                  <c:v>3.8683503695117896</c:v>
                </c:pt>
                <c:pt idx="43">
                  <c:v>3.866880064655263</c:v>
                </c:pt>
                <c:pt idx="44">
                  <c:v>3.8624903297740141</c:v>
                </c:pt>
                <c:pt idx="45">
                  <c:v>3.8555188898228301</c:v>
                </c:pt>
                <c:pt idx="46">
                  <c:v>3.8467803648226906</c:v>
                </c:pt>
                <c:pt idx="47">
                  <c:v>3.8363394119980838</c:v>
                </c:pt>
                <c:pt idx="48">
                  <c:v>3.8247284846988934</c:v>
                </c:pt>
                <c:pt idx="49">
                  <c:v>3.812508103899912</c:v>
                </c:pt>
                <c:pt idx="50">
                  <c:v>3.7999170379818925</c:v>
                </c:pt>
                <c:pt idx="51">
                  <c:v>3.7872321612784341</c:v>
                </c:pt>
                <c:pt idx="52">
                  <c:v>3.7743565146723914</c:v>
                </c:pt>
                <c:pt idx="53">
                  <c:v>3.7615384537916294</c:v>
                </c:pt>
                <c:pt idx="54">
                  <c:v>3.7489501313828577</c:v>
                </c:pt>
                <c:pt idx="55">
                  <c:v>3.7366673648551081</c:v>
                </c:pt>
                <c:pt idx="56">
                  <c:v>3.7248253130629956</c:v>
                </c:pt>
                <c:pt idx="57">
                  <c:v>3.7135145654791062</c:v>
                </c:pt>
                <c:pt idx="58">
                  <c:v>3.7027748257999673</c:v>
                </c:pt>
                <c:pt idx="59">
                  <c:v>3.6926465303903417</c:v>
                </c:pt>
              </c:numCache>
            </c:numRef>
          </c:yVal>
          <c:smooth val="1"/>
          <c:extLst>
            <c:ext xmlns:c16="http://schemas.microsoft.com/office/drawing/2014/chart" uri="{C3380CC4-5D6E-409C-BE32-E72D297353CC}">
              <c16:uniqueId val="{00000000-57C5-2142-87D4-C9E556E0407C}"/>
            </c:ext>
          </c:extLst>
        </c:ser>
        <c:ser>
          <c:idx val="0"/>
          <c:order val="1"/>
          <c:tx>
            <c:strRef>
              <c:f>'Japan and South Korea'!$T$7</c:f>
              <c:strCache>
                <c:ptCount val="1"/>
                <c:pt idx="0">
                  <c:v>Q reserves</c:v>
                </c:pt>
              </c:strCache>
            </c:strRef>
          </c:tx>
          <c:spPr>
            <a:ln>
              <a:noFill/>
            </a:ln>
          </c:spPr>
          <c:marker>
            <c:symbol val="circle"/>
            <c:size val="6"/>
            <c:spPr>
              <a:noFill/>
              <a:ln>
                <a:solidFill>
                  <a:srgbClr val="333399"/>
                </a:solidFill>
              </a:ln>
            </c:spPr>
          </c:marker>
          <c:xVal>
            <c:numRef>
              <c:f>'Japan and South Korea'!$S$8:$S$92</c:f>
              <c:numCache>
                <c:formatCode>General</c:formatCode>
                <c:ptCount val="85"/>
                <c:pt idx="0">
                  <c:v>1913</c:v>
                </c:pt>
                <c:pt idx="1">
                  <c:v>1936</c:v>
                </c:pt>
                <c:pt idx="2">
                  <c:v>1952</c:v>
                </c:pt>
                <c:pt idx="3">
                  <c:v>1954</c:v>
                </c:pt>
                <c:pt idx="4">
                  <c:v>1960</c:v>
                </c:pt>
                <c:pt idx="5">
                  <c:v>1962</c:v>
                </c:pt>
                <c:pt idx="6">
                  <c:v>1968</c:v>
                </c:pt>
                <c:pt idx="7" formatCode="0">
                  <c:v>1974</c:v>
                </c:pt>
                <c:pt idx="8">
                  <c:v>1980</c:v>
                </c:pt>
                <c:pt idx="9">
                  <c:v>1986</c:v>
                </c:pt>
                <c:pt idx="10">
                  <c:v>1989</c:v>
                </c:pt>
                <c:pt idx="11">
                  <c:v>1992</c:v>
                </c:pt>
                <c:pt idx="12">
                  <c:v>1995</c:v>
                </c:pt>
                <c:pt idx="13">
                  <c:v>1998</c:v>
                </c:pt>
                <c:pt idx="14">
                  <c:v>2001</c:v>
                </c:pt>
                <c:pt idx="15">
                  <c:v>2004</c:v>
                </c:pt>
                <c:pt idx="16">
                  <c:v>2007</c:v>
                </c:pt>
                <c:pt idx="17">
                  <c:v>2010</c:v>
                </c:pt>
              </c:numCache>
            </c:numRef>
          </c:xVal>
          <c:yVal>
            <c:numRef>
              <c:f>'Japan and South Korea'!$T$8:$T$92</c:f>
              <c:numCache>
                <c:formatCode>#,##0.0</c:formatCode>
                <c:ptCount val="85"/>
                <c:pt idx="0">
                  <c:v>7.8363649999999998</c:v>
                </c:pt>
                <c:pt idx="1">
                  <c:v>17.489542</c:v>
                </c:pt>
                <c:pt idx="2">
                  <c:v>10.803721999999999</c:v>
                </c:pt>
                <c:pt idx="3">
                  <c:v>11.780571</c:v>
                </c:pt>
                <c:pt idx="4">
                  <c:v>22.616160000000001</c:v>
                </c:pt>
                <c:pt idx="5">
                  <c:v>23.128241000000003</c:v>
                </c:pt>
                <c:pt idx="6">
                  <c:v>24.318241000000004</c:v>
                </c:pt>
                <c:pt idx="7">
                  <c:v>4.3828269999999998</c:v>
                </c:pt>
                <c:pt idx="8">
                  <c:v>4.179354</c:v>
                </c:pt>
                <c:pt idx="9">
                  <c:v>4.3473379999999997</c:v>
                </c:pt>
                <c:pt idx="10">
                  <c:v>4.3476679999999996</c:v>
                </c:pt>
                <c:pt idx="11">
                  <c:v>4.4556579999999988</c:v>
                </c:pt>
                <c:pt idx="12">
                  <c:v>4.4719979999999984</c:v>
                </c:pt>
                <c:pt idx="13">
                  <c:v>4.3727779999999985</c:v>
                </c:pt>
                <c:pt idx="14">
                  <c:v>4.3816879999999996</c:v>
                </c:pt>
                <c:pt idx="15">
                  <c:v>3.9886779999999993</c:v>
                </c:pt>
                <c:pt idx="16">
                  <c:v>4.0527679999999986</c:v>
                </c:pt>
                <c:pt idx="17" formatCode="0.0">
                  <c:v>4.0512619469999995</c:v>
                </c:pt>
              </c:numCache>
            </c:numRef>
          </c:yVal>
          <c:smooth val="1"/>
          <c:extLst>
            <c:ext xmlns:c16="http://schemas.microsoft.com/office/drawing/2014/chart" uri="{C3380CC4-5D6E-409C-BE32-E72D297353CC}">
              <c16:uniqueId val="{00000001-57C5-2142-87D4-C9E556E0407C}"/>
            </c:ext>
          </c:extLst>
        </c:ser>
        <c:ser>
          <c:idx val="1"/>
          <c:order val="2"/>
          <c:tx>
            <c:v>Early Q</c:v>
          </c:tx>
          <c:spPr>
            <a:ln w="15875">
              <a:solidFill>
                <a:srgbClr val="333399"/>
              </a:solidFill>
              <a:prstDash val="lgDash"/>
            </a:ln>
          </c:spPr>
          <c:marker>
            <c:symbol val="none"/>
          </c:marker>
          <c:xVal>
            <c:numRef>
              <c:f>'Japan and South Korea'!$D$68:$D$84</c:f>
              <c:numCache>
                <c:formatCode>General</c:formatCode>
                <c:ptCount val="17"/>
                <c:pt idx="0">
                  <c:v>1933</c:v>
                </c:pt>
                <c:pt idx="1">
                  <c:v>1934</c:v>
                </c:pt>
                <c:pt idx="2">
                  <c:v>1935</c:v>
                </c:pt>
                <c:pt idx="3">
                  <c:v>1936</c:v>
                </c:pt>
                <c:pt idx="4">
                  <c:v>1937</c:v>
                </c:pt>
                <c:pt idx="5">
                  <c:v>1938</c:v>
                </c:pt>
                <c:pt idx="6">
                  <c:v>1939</c:v>
                </c:pt>
                <c:pt idx="7">
                  <c:v>1940</c:v>
                </c:pt>
                <c:pt idx="8">
                  <c:v>1941</c:v>
                </c:pt>
                <c:pt idx="9">
                  <c:v>1942</c:v>
                </c:pt>
                <c:pt idx="10">
                  <c:v>1943</c:v>
                </c:pt>
                <c:pt idx="11">
                  <c:v>1944</c:v>
                </c:pt>
                <c:pt idx="12">
                  <c:v>1945</c:v>
                </c:pt>
                <c:pt idx="13">
                  <c:v>1946</c:v>
                </c:pt>
                <c:pt idx="14">
                  <c:v>1947</c:v>
                </c:pt>
                <c:pt idx="15">
                  <c:v>1948</c:v>
                </c:pt>
                <c:pt idx="16">
                  <c:v>1949</c:v>
                </c:pt>
              </c:numCache>
            </c:numRef>
          </c:xVal>
          <c:yVal>
            <c:numRef>
              <c:f>'Japan and South Korea'!$H$68:$H$84</c:f>
              <c:numCache>
                <c:formatCode>0.0</c:formatCode>
                <c:ptCount val="17"/>
                <c:pt idx="0">
                  <c:v>1.3834415615156186</c:v>
                </c:pt>
                <c:pt idx="1">
                  <c:v>1.3935956006314425</c:v>
                </c:pt>
                <c:pt idx="2">
                  <c:v>1.424475420870035</c:v>
                </c:pt>
                <c:pt idx="3">
                  <c:v>1.4798164409428827</c:v>
                </c:pt>
                <c:pt idx="4">
                  <c:v>1.5591488929664465</c:v>
                </c:pt>
                <c:pt idx="5">
                  <c:v>1.6622422350934019</c:v>
                </c:pt>
                <c:pt idx="6">
                  <c:v>1.7859971261074485</c:v>
                </c:pt>
                <c:pt idx="7">
                  <c:v>1.9400049472956664</c:v>
                </c:pt>
                <c:pt idx="8">
                  <c:v>2.1120512904965647</c:v>
                </c:pt>
                <c:pt idx="9">
                  <c:v>2.2863034330800143</c:v>
                </c:pt>
                <c:pt idx="10">
                  <c:v>2.4707948978180134</c:v>
                </c:pt>
                <c:pt idx="11">
                  <c:v>2.6450364257630485</c:v>
                </c:pt>
                <c:pt idx="12">
                  <c:v>2.7215347600615951</c:v>
                </c:pt>
                <c:pt idx="13">
                  <c:v>2.7130631557771805</c:v>
                </c:pt>
                <c:pt idx="14">
                  <c:v>2.6731945696245822</c:v>
                </c:pt>
                <c:pt idx="15">
                  <c:v>2.6289554148173084</c:v>
                </c:pt>
                <c:pt idx="16">
                  <c:v>2.5911043847661204</c:v>
                </c:pt>
              </c:numCache>
            </c:numRef>
          </c:yVal>
          <c:smooth val="1"/>
          <c:extLst>
            <c:ext xmlns:c16="http://schemas.microsoft.com/office/drawing/2014/chart" uri="{C3380CC4-5D6E-409C-BE32-E72D297353CC}">
              <c16:uniqueId val="{00000002-57C5-2142-87D4-C9E556E0407C}"/>
            </c:ext>
          </c:extLst>
        </c:ser>
        <c:dLbls>
          <c:showLegendKey val="0"/>
          <c:showVal val="0"/>
          <c:showCatName val="0"/>
          <c:showSerName val="0"/>
          <c:showPercent val="0"/>
          <c:showBubbleSize val="0"/>
        </c:dLbls>
        <c:axId val="132121728"/>
        <c:axId val="132123264"/>
      </c:scatterChart>
      <c:valAx>
        <c:axId val="132121728"/>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2123264"/>
        <c:crosses val="autoZero"/>
        <c:crossBetween val="midCat"/>
        <c:majorUnit val="60"/>
        <c:minorUnit val="10"/>
      </c:valAx>
      <c:valAx>
        <c:axId val="132123264"/>
        <c:scaling>
          <c:orientation val="minMax"/>
          <c:max val="25"/>
          <c:min val="0"/>
        </c:scaling>
        <c:delete val="0"/>
        <c:axPos val="r"/>
        <c:title>
          <c:tx>
            <c:rich>
              <a:bodyPr rot="-5400000" vert="horz"/>
              <a:lstStyle/>
              <a:p>
                <a:pPr>
                  <a:defRPr sz="1200" b="0">
                    <a:solidFill>
                      <a:srgbClr val="333399"/>
                    </a:solidFill>
                  </a:defRPr>
                </a:pPr>
                <a:r>
                  <a:rPr lang="en-US" sz="1200" b="0">
                    <a:solidFill>
                      <a:srgbClr val="333399"/>
                    </a:solidFill>
                  </a:rPr>
                  <a:t>Long-term production , Gt</a:t>
                </a:r>
              </a:p>
            </c:rich>
          </c:tx>
          <c:layout>
            <c:manualLayout>
              <c:xMode val="edge"/>
              <c:yMode val="edge"/>
              <c:x val="0.96240681576144838"/>
              <c:y val="0.1498877223680373"/>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2121728"/>
        <c:crosses val="max"/>
        <c:crossBetween val="midCat"/>
        <c:majorUnit val="10"/>
        <c:minorUnit val="5"/>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5050405440533994"/>
          <c:h val="0.77264654418197765"/>
        </c:manualLayout>
      </c:layout>
      <c:scatterChart>
        <c:scatterStyle val="smoothMarker"/>
        <c:varyColors val="0"/>
        <c:ser>
          <c:idx val="0"/>
          <c:order val="0"/>
          <c:tx>
            <c:strRef>
              <c:f>Australia!$E$7</c:f>
              <c:strCache>
                <c:ptCount val="1"/>
                <c:pt idx="0">
                  <c:v>p Mt</c:v>
                </c:pt>
              </c:strCache>
            </c:strRef>
          </c:tx>
          <c:spPr>
            <a:ln w="15875">
              <a:solidFill>
                <a:srgbClr val="008000"/>
              </a:solidFill>
            </a:ln>
          </c:spPr>
          <c:marker>
            <c:symbol val="none"/>
          </c:marker>
          <c:xVal>
            <c:numRef>
              <c:f>Australia!$D$57:$D$334</c:f>
              <c:numCache>
                <c:formatCode>General</c:formatCode>
                <c:ptCount val="278"/>
                <c:pt idx="0">
                  <c:v>1877</c:v>
                </c:pt>
                <c:pt idx="1">
                  <c:v>1878</c:v>
                </c:pt>
                <c:pt idx="2">
                  <c:v>1879</c:v>
                </c:pt>
                <c:pt idx="3">
                  <c:v>1880</c:v>
                </c:pt>
                <c:pt idx="4">
                  <c:v>1881</c:v>
                </c:pt>
                <c:pt idx="5">
                  <c:v>1882</c:v>
                </c:pt>
                <c:pt idx="6">
                  <c:v>1883</c:v>
                </c:pt>
                <c:pt idx="7">
                  <c:v>1884</c:v>
                </c:pt>
                <c:pt idx="8">
                  <c:v>1885</c:v>
                </c:pt>
                <c:pt idx="9">
                  <c:v>1886</c:v>
                </c:pt>
                <c:pt idx="10">
                  <c:v>1887</c:v>
                </c:pt>
                <c:pt idx="11">
                  <c:v>1888</c:v>
                </c:pt>
                <c:pt idx="12">
                  <c:v>1889</c:v>
                </c:pt>
                <c:pt idx="13">
                  <c:v>1890</c:v>
                </c:pt>
                <c:pt idx="14">
                  <c:v>1891</c:v>
                </c:pt>
                <c:pt idx="15">
                  <c:v>1892</c:v>
                </c:pt>
                <c:pt idx="16">
                  <c:v>1893</c:v>
                </c:pt>
                <c:pt idx="17">
                  <c:v>1894</c:v>
                </c:pt>
                <c:pt idx="18">
                  <c:v>1895</c:v>
                </c:pt>
                <c:pt idx="19">
                  <c:v>1896</c:v>
                </c:pt>
                <c:pt idx="20">
                  <c:v>1897</c:v>
                </c:pt>
                <c:pt idx="21">
                  <c:v>1898</c:v>
                </c:pt>
                <c:pt idx="22">
                  <c:v>1899</c:v>
                </c:pt>
                <c:pt idx="23">
                  <c:v>1900</c:v>
                </c:pt>
                <c:pt idx="24">
                  <c:v>1901</c:v>
                </c:pt>
                <c:pt idx="25">
                  <c:v>1902</c:v>
                </c:pt>
                <c:pt idx="26">
                  <c:v>1903</c:v>
                </c:pt>
                <c:pt idx="27">
                  <c:v>1904</c:v>
                </c:pt>
                <c:pt idx="28">
                  <c:v>1905</c:v>
                </c:pt>
                <c:pt idx="29">
                  <c:v>1906</c:v>
                </c:pt>
                <c:pt idx="30">
                  <c:v>1907</c:v>
                </c:pt>
                <c:pt idx="31">
                  <c:v>1908</c:v>
                </c:pt>
                <c:pt idx="32">
                  <c:v>1909</c:v>
                </c:pt>
                <c:pt idx="33">
                  <c:v>1910</c:v>
                </c:pt>
                <c:pt idx="34">
                  <c:v>1911</c:v>
                </c:pt>
                <c:pt idx="35">
                  <c:v>1912</c:v>
                </c:pt>
                <c:pt idx="36">
                  <c:v>1913</c:v>
                </c:pt>
                <c:pt idx="37">
                  <c:v>1914</c:v>
                </c:pt>
                <c:pt idx="38">
                  <c:v>1915</c:v>
                </c:pt>
                <c:pt idx="39">
                  <c:v>1916</c:v>
                </c:pt>
                <c:pt idx="40">
                  <c:v>1917</c:v>
                </c:pt>
                <c:pt idx="41">
                  <c:v>1918</c:v>
                </c:pt>
                <c:pt idx="42">
                  <c:v>1919</c:v>
                </c:pt>
                <c:pt idx="43">
                  <c:v>1920</c:v>
                </c:pt>
                <c:pt idx="44">
                  <c:v>1921</c:v>
                </c:pt>
                <c:pt idx="45">
                  <c:v>1922</c:v>
                </c:pt>
                <c:pt idx="46">
                  <c:v>1923</c:v>
                </c:pt>
                <c:pt idx="47">
                  <c:v>1924</c:v>
                </c:pt>
                <c:pt idx="48">
                  <c:v>1925</c:v>
                </c:pt>
                <c:pt idx="49">
                  <c:v>1926</c:v>
                </c:pt>
                <c:pt idx="50">
                  <c:v>1927</c:v>
                </c:pt>
                <c:pt idx="51">
                  <c:v>1928</c:v>
                </c:pt>
                <c:pt idx="52">
                  <c:v>1929</c:v>
                </c:pt>
                <c:pt idx="53">
                  <c:v>1930</c:v>
                </c:pt>
                <c:pt idx="54">
                  <c:v>1931</c:v>
                </c:pt>
                <c:pt idx="55">
                  <c:v>1932</c:v>
                </c:pt>
                <c:pt idx="56">
                  <c:v>1933</c:v>
                </c:pt>
                <c:pt idx="57">
                  <c:v>1934</c:v>
                </c:pt>
                <c:pt idx="58">
                  <c:v>1935</c:v>
                </c:pt>
                <c:pt idx="59">
                  <c:v>1936</c:v>
                </c:pt>
                <c:pt idx="60">
                  <c:v>1937</c:v>
                </c:pt>
                <c:pt idx="61">
                  <c:v>1938</c:v>
                </c:pt>
                <c:pt idx="62">
                  <c:v>1939</c:v>
                </c:pt>
                <c:pt idx="63">
                  <c:v>1940</c:v>
                </c:pt>
                <c:pt idx="64">
                  <c:v>1941</c:v>
                </c:pt>
                <c:pt idx="65">
                  <c:v>1942</c:v>
                </c:pt>
                <c:pt idx="66">
                  <c:v>1943</c:v>
                </c:pt>
                <c:pt idx="67">
                  <c:v>1944</c:v>
                </c:pt>
                <c:pt idx="68">
                  <c:v>1945</c:v>
                </c:pt>
                <c:pt idx="69">
                  <c:v>1946</c:v>
                </c:pt>
                <c:pt idx="70">
                  <c:v>1947</c:v>
                </c:pt>
                <c:pt idx="71">
                  <c:v>1948</c:v>
                </c:pt>
                <c:pt idx="72">
                  <c:v>1949</c:v>
                </c:pt>
                <c:pt idx="73">
                  <c:v>1950</c:v>
                </c:pt>
                <c:pt idx="74">
                  <c:v>1951</c:v>
                </c:pt>
                <c:pt idx="75">
                  <c:v>1952</c:v>
                </c:pt>
                <c:pt idx="76">
                  <c:v>1953</c:v>
                </c:pt>
                <c:pt idx="77">
                  <c:v>1954</c:v>
                </c:pt>
                <c:pt idx="78">
                  <c:v>1955</c:v>
                </c:pt>
                <c:pt idx="79">
                  <c:v>1956</c:v>
                </c:pt>
                <c:pt idx="80">
                  <c:v>1957</c:v>
                </c:pt>
                <c:pt idx="81">
                  <c:v>1958</c:v>
                </c:pt>
                <c:pt idx="82">
                  <c:v>1959</c:v>
                </c:pt>
                <c:pt idx="83">
                  <c:v>1960</c:v>
                </c:pt>
                <c:pt idx="84">
                  <c:v>1961</c:v>
                </c:pt>
                <c:pt idx="85">
                  <c:v>1962</c:v>
                </c:pt>
                <c:pt idx="86">
                  <c:v>1963</c:v>
                </c:pt>
                <c:pt idx="87">
                  <c:v>1964</c:v>
                </c:pt>
                <c:pt idx="88">
                  <c:v>1965</c:v>
                </c:pt>
                <c:pt idx="89">
                  <c:v>1966</c:v>
                </c:pt>
                <c:pt idx="90">
                  <c:v>1967</c:v>
                </c:pt>
                <c:pt idx="91">
                  <c:v>1968</c:v>
                </c:pt>
                <c:pt idx="92">
                  <c:v>1969</c:v>
                </c:pt>
                <c:pt idx="93">
                  <c:v>1970</c:v>
                </c:pt>
                <c:pt idx="94">
                  <c:v>1971</c:v>
                </c:pt>
                <c:pt idx="95">
                  <c:v>1972</c:v>
                </c:pt>
                <c:pt idx="96">
                  <c:v>1973</c:v>
                </c:pt>
                <c:pt idx="97">
                  <c:v>1974</c:v>
                </c:pt>
                <c:pt idx="98">
                  <c:v>1975</c:v>
                </c:pt>
                <c:pt idx="99">
                  <c:v>1976</c:v>
                </c:pt>
                <c:pt idx="100">
                  <c:v>1977</c:v>
                </c:pt>
                <c:pt idx="101">
                  <c:v>1978</c:v>
                </c:pt>
                <c:pt idx="102">
                  <c:v>1979</c:v>
                </c:pt>
                <c:pt idx="103">
                  <c:v>1980</c:v>
                </c:pt>
                <c:pt idx="104">
                  <c:v>1981</c:v>
                </c:pt>
                <c:pt idx="105">
                  <c:v>1982</c:v>
                </c:pt>
                <c:pt idx="106">
                  <c:v>1983</c:v>
                </c:pt>
                <c:pt idx="107">
                  <c:v>1984</c:v>
                </c:pt>
                <c:pt idx="108">
                  <c:v>1985</c:v>
                </c:pt>
                <c:pt idx="109">
                  <c:v>1986</c:v>
                </c:pt>
                <c:pt idx="110">
                  <c:v>1987</c:v>
                </c:pt>
                <c:pt idx="111">
                  <c:v>1988</c:v>
                </c:pt>
                <c:pt idx="112">
                  <c:v>1989</c:v>
                </c:pt>
                <c:pt idx="113">
                  <c:v>1990</c:v>
                </c:pt>
                <c:pt idx="114">
                  <c:v>1991</c:v>
                </c:pt>
                <c:pt idx="115">
                  <c:v>1992</c:v>
                </c:pt>
                <c:pt idx="116">
                  <c:v>1993</c:v>
                </c:pt>
                <c:pt idx="117">
                  <c:v>1994</c:v>
                </c:pt>
                <c:pt idx="118">
                  <c:v>1995</c:v>
                </c:pt>
                <c:pt idx="119">
                  <c:v>1996</c:v>
                </c:pt>
                <c:pt idx="120">
                  <c:v>1997</c:v>
                </c:pt>
                <c:pt idx="121">
                  <c:v>1998</c:v>
                </c:pt>
                <c:pt idx="122">
                  <c:v>1999</c:v>
                </c:pt>
                <c:pt idx="123">
                  <c:v>2000</c:v>
                </c:pt>
                <c:pt idx="124">
                  <c:v>2001</c:v>
                </c:pt>
                <c:pt idx="125">
                  <c:v>2002</c:v>
                </c:pt>
                <c:pt idx="126">
                  <c:v>2003</c:v>
                </c:pt>
                <c:pt idx="127">
                  <c:v>2004</c:v>
                </c:pt>
                <c:pt idx="128">
                  <c:v>2005</c:v>
                </c:pt>
                <c:pt idx="129">
                  <c:v>2006</c:v>
                </c:pt>
                <c:pt idx="130">
                  <c:v>2007</c:v>
                </c:pt>
                <c:pt idx="131">
                  <c:v>2008</c:v>
                </c:pt>
                <c:pt idx="132">
                  <c:v>2009</c:v>
                </c:pt>
                <c:pt idx="133">
                  <c:v>2010</c:v>
                </c:pt>
                <c:pt idx="134">
                  <c:v>2011</c:v>
                </c:pt>
                <c:pt idx="135">
                  <c:v>2012</c:v>
                </c:pt>
                <c:pt idx="136">
                  <c:v>2013</c:v>
                </c:pt>
                <c:pt idx="137">
                  <c:v>2014</c:v>
                </c:pt>
                <c:pt idx="138">
                  <c:v>2015</c:v>
                </c:pt>
                <c:pt idx="139">
                  <c:v>2016</c:v>
                </c:pt>
                <c:pt idx="140">
                  <c:v>2017</c:v>
                </c:pt>
                <c:pt idx="141">
                  <c:v>2018</c:v>
                </c:pt>
                <c:pt idx="142">
                  <c:v>2019</c:v>
                </c:pt>
                <c:pt idx="143">
                  <c:v>2020</c:v>
                </c:pt>
                <c:pt idx="144">
                  <c:v>2021</c:v>
                </c:pt>
                <c:pt idx="145">
                  <c:v>2022</c:v>
                </c:pt>
                <c:pt idx="146">
                  <c:v>2023</c:v>
                </c:pt>
                <c:pt idx="147">
                  <c:v>2024</c:v>
                </c:pt>
                <c:pt idx="148">
                  <c:v>2025</c:v>
                </c:pt>
                <c:pt idx="149">
                  <c:v>2026</c:v>
                </c:pt>
                <c:pt idx="150">
                  <c:v>2027</c:v>
                </c:pt>
                <c:pt idx="151">
                  <c:v>2028</c:v>
                </c:pt>
                <c:pt idx="152">
                  <c:v>2029</c:v>
                </c:pt>
                <c:pt idx="153">
                  <c:v>2030</c:v>
                </c:pt>
                <c:pt idx="154">
                  <c:v>2031</c:v>
                </c:pt>
                <c:pt idx="155">
                  <c:v>2032</c:v>
                </c:pt>
                <c:pt idx="156">
                  <c:v>2033</c:v>
                </c:pt>
                <c:pt idx="157">
                  <c:v>2034</c:v>
                </c:pt>
                <c:pt idx="158">
                  <c:v>2035</c:v>
                </c:pt>
                <c:pt idx="159">
                  <c:v>2036</c:v>
                </c:pt>
                <c:pt idx="160">
                  <c:v>2037</c:v>
                </c:pt>
                <c:pt idx="161">
                  <c:v>2038</c:v>
                </c:pt>
                <c:pt idx="162">
                  <c:v>2039</c:v>
                </c:pt>
                <c:pt idx="163">
                  <c:v>2040</c:v>
                </c:pt>
                <c:pt idx="164">
                  <c:v>2041</c:v>
                </c:pt>
                <c:pt idx="165">
                  <c:v>2042</c:v>
                </c:pt>
                <c:pt idx="166">
                  <c:v>2043</c:v>
                </c:pt>
                <c:pt idx="167">
                  <c:v>2044</c:v>
                </c:pt>
                <c:pt idx="168">
                  <c:v>2045</c:v>
                </c:pt>
                <c:pt idx="169">
                  <c:v>2046</c:v>
                </c:pt>
                <c:pt idx="170">
                  <c:v>2047</c:v>
                </c:pt>
                <c:pt idx="171">
                  <c:v>2048</c:v>
                </c:pt>
                <c:pt idx="172">
                  <c:v>2049</c:v>
                </c:pt>
                <c:pt idx="173">
                  <c:v>2050</c:v>
                </c:pt>
                <c:pt idx="174">
                  <c:v>2051</c:v>
                </c:pt>
                <c:pt idx="175">
                  <c:v>2052</c:v>
                </c:pt>
                <c:pt idx="176">
                  <c:v>2053</c:v>
                </c:pt>
                <c:pt idx="177">
                  <c:v>2054</c:v>
                </c:pt>
                <c:pt idx="178">
                  <c:v>2055</c:v>
                </c:pt>
                <c:pt idx="179">
                  <c:v>2056</c:v>
                </c:pt>
                <c:pt idx="180">
                  <c:v>2057</c:v>
                </c:pt>
                <c:pt idx="181">
                  <c:v>2058</c:v>
                </c:pt>
                <c:pt idx="182">
                  <c:v>2059</c:v>
                </c:pt>
                <c:pt idx="183">
                  <c:v>2060</c:v>
                </c:pt>
                <c:pt idx="184">
                  <c:v>2061</c:v>
                </c:pt>
                <c:pt idx="185">
                  <c:v>2062</c:v>
                </c:pt>
                <c:pt idx="186">
                  <c:v>2063</c:v>
                </c:pt>
                <c:pt idx="187">
                  <c:v>2064</c:v>
                </c:pt>
                <c:pt idx="188">
                  <c:v>2065</c:v>
                </c:pt>
                <c:pt idx="189">
                  <c:v>2066</c:v>
                </c:pt>
                <c:pt idx="190">
                  <c:v>2067</c:v>
                </c:pt>
                <c:pt idx="191">
                  <c:v>2068</c:v>
                </c:pt>
                <c:pt idx="192">
                  <c:v>2069</c:v>
                </c:pt>
                <c:pt idx="193">
                  <c:v>2070</c:v>
                </c:pt>
                <c:pt idx="194">
                  <c:v>2071</c:v>
                </c:pt>
                <c:pt idx="195">
                  <c:v>2072</c:v>
                </c:pt>
                <c:pt idx="196">
                  <c:v>2073</c:v>
                </c:pt>
                <c:pt idx="197">
                  <c:v>2074</c:v>
                </c:pt>
                <c:pt idx="198">
                  <c:v>2075</c:v>
                </c:pt>
                <c:pt idx="199">
                  <c:v>2076</c:v>
                </c:pt>
                <c:pt idx="200">
                  <c:v>2077</c:v>
                </c:pt>
                <c:pt idx="201">
                  <c:v>2078</c:v>
                </c:pt>
                <c:pt idx="202">
                  <c:v>2079</c:v>
                </c:pt>
                <c:pt idx="203">
                  <c:v>2080</c:v>
                </c:pt>
                <c:pt idx="204">
                  <c:v>2081</c:v>
                </c:pt>
                <c:pt idx="205">
                  <c:v>2082</c:v>
                </c:pt>
                <c:pt idx="206">
                  <c:v>2083</c:v>
                </c:pt>
                <c:pt idx="207">
                  <c:v>2084</c:v>
                </c:pt>
                <c:pt idx="208">
                  <c:v>2085</c:v>
                </c:pt>
                <c:pt idx="209">
                  <c:v>2086</c:v>
                </c:pt>
                <c:pt idx="210">
                  <c:v>2087</c:v>
                </c:pt>
                <c:pt idx="211">
                  <c:v>2088</c:v>
                </c:pt>
                <c:pt idx="212">
                  <c:v>2089</c:v>
                </c:pt>
                <c:pt idx="213">
                  <c:v>2090</c:v>
                </c:pt>
                <c:pt idx="214">
                  <c:v>2091</c:v>
                </c:pt>
                <c:pt idx="215">
                  <c:v>2092</c:v>
                </c:pt>
                <c:pt idx="216">
                  <c:v>2093</c:v>
                </c:pt>
                <c:pt idx="217">
                  <c:v>2094</c:v>
                </c:pt>
                <c:pt idx="218">
                  <c:v>2095</c:v>
                </c:pt>
                <c:pt idx="219">
                  <c:v>2096</c:v>
                </c:pt>
                <c:pt idx="220">
                  <c:v>2097</c:v>
                </c:pt>
                <c:pt idx="221">
                  <c:v>2098</c:v>
                </c:pt>
                <c:pt idx="222">
                  <c:v>2099</c:v>
                </c:pt>
                <c:pt idx="223">
                  <c:v>2100</c:v>
                </c:pt>
                <c:pt idx="224">
                  <c:v>2101</c:v>
                </c:pt>
                <c:pt idx="225">
                  <c:v>2102</c:v>
                </c:pt>
                <c:pt idx="226">
                  <c:v>2103</c:v>
                </c:pt>
                <c:pt idx="227">
                  <c:v>2104</c:v>
                </c:pt>
                <c:pt idx="228">
                  <c:v>2105</c:v>
                </c:pt>
                <c:pt idx="229">
                  <c:v>2106</c:v>
                </c:pt>
                <c:pt idx="230">
                  <c:v>2107</c:v>
                </c:pt>
                <c:pt idx="231">
                  <c:v>2108</c:v>
                </c:pt>
                <c:pt idx="232">
                  <c:v>2109</c:v>
                </c:pt>
                <c:pt idx="233">
                  <c:v>2110</c:v>
                </c:pt>
                <c:pt idx="234">
                  <c:v>2111</c:v>
                </c:pt>
                <c:pt idx="235">
                  <c:v>2112</c:v>
                </c:pt>
                <c:pt idx="236">
                  <c:v>2113</c:v>
                </c:pt>
                <c:pt idx="237">
                  <c:v>2114</c:v>
                </c:pt>
                <c:pt idx="238">
                  <c:v>2115</c:v>
                </c:pt>
                <c:pt idx="239">
                  <c:v>2116</c:v>
                </c:pt>
                <c:pt idx="240">
                  <c:v>2117</c:v>
                </c:pt>
                <c:pt idx="241">
                  <c:v>2118</c:v>
                </c:pt>
                <c:pt idx="242">
                  <c:v>2119</c:v>
                </c:pt>
                <c:pt idx="243">
                  <c:v>2120</c:v>
                </c:pt>
                <c:pt idx="244">
                  <c:v>2121</c:v>
                </c:pt>
                <c:pt idx="245">
                  <c:v>2122</c:v>
                </c:pt>
                <c:pt idx="246">
                  <c:v>2123</c:v>
                </c:pt>
                <c:pt idx="247">
                  <c:v>2124</c:v>
                </c:pt>
                <c:pt idx="248">
                  <c:v>2125</c:v>
                </c:pt>
                <c:pt idx="249">
                  <c:v>2126</c:v>
                </c:pt>
                <c:pt idx="250">
                  <c:v>2127</c:v>
                </c:pt>
                <c:pt idx="251">
                  <c:v>2128</c:v>
                </c:pt>
                <c:pt idx="252">
                  <c:v>2129</c:v>
                </c:pt>
                <c:pt idx="253">
                  <c:v>2130</c:v>
                </c:pt>
                <c:pt idx="254">
                  <c:v>2131</c:v>
                </c:pt>
                <c:pt idx="255">
                  <c:v>2132</c:v>
                </c:pt>
                <c:pt idx="256">
                  <c:v>2133</c:v>
                </c:pt>
                <c:pt idx="257">
                  <c:v>2134</c:v>
                </c:pt>
                <c:pt idx="258">
                  <c:v>2135</c:v>
                </c:pt>
                <c:pt idx="259">
                  <c:v>2136</c:v>
                </c:pt>
                <c:pt idx="260">
                  <c:v>2137</c:v>
                </c:pt>
                <c:pt idx="261">
                  <c:v>2138</c:v>
                </c:pt>
                <c:pt idx="262">
                  <c:v>2139</c:v>
                </c:pt>
                <c:pt idx="263">
                  <c:v>2140</c:v>
                </c:pt>
                <c:pt idx="264">
                  <c:v>2141</c:v>
                </c:pt>
                <c:pt idx="265">
                  <c:v>2142</c:v>
                </c:pt>
                <c:pt idx="266">
                  <c:v>2143</c:v>
                </c:pt>
                <c:pt idx="267">
                  <c:v>2144</c:v>
                </c:pt>
                <c:pt idx="268">
                  <c:v>2145</c:v>
                </c:pt>
                <c:pt idx="269">
                  <c:v>2146</c:v>
                </c:pt>
                <c:pt idx="270">
                  <c:v>2147</c:v>
                </c:pt>
                <c:pt idx="271">
                  <c:v>2148</c:v>
                </c:pt>
                <c:pt idx="272">
                  <c:v>2149</c:v>
                </c:pt>
                <c:pt idx="273">
                  <c:v>2150</c:v>
                </c:pt>
              </c:numCache>
            </c:numRef>
          </c:xVal>
          <c:yVal>
            <c:numRef>
              <c:f>Australia!$E$57:$E$334</c:f>
              <c:numCache>
                <c:formatCode>0.0</c:formatCode>
                <c:ptCount val="278"/>
                <c:pt idx="0">
                  <c:v>1.53180146593819</c:v>
                </c:pt>
                <c:pt idx="1">
                  <c:v>1.8192026050920704</c:v>
                </c:pt>
                <c:pt idx="2">
                  <c:v>1.8996841450156303</c:v>
                </c:pt>
                <c:pt idx="3">
                  <c:v>1.8661093390571399</c:v>
                </c:pt>
                <c:pt idx="4">
                  <c:v>2.2189999999999999</c:v>
                </c:pt>
                <c:pt idx="5">
                  <c:v>2.6120000000000001</c:v>
                </c:pt>
                <c:pt idx="6">
                  <c:v>3.1069999999999998</c:v>
                </c:pt>
                <c:pt idx="7">
                  <c:v>3.415</c:v>
                </c:pt>
                <c:pt idx="8">
                  <c:v>3.665</c:v>
                </c:pt>
                <c:pt idx="9">
                  <c:v>3.6620000000000004</c:v>
                </c:pt>
                <c:pt idx="10">
                  <c:v>3.8109999999999999</c:v>
                </c:pt>
                <c:pt idx="11">
                  <c:v>4.2459999999999996</c:v>
                </c:pt>
                <c:pt idx="12">
                  <c:v>4.633</c:v>
                </c:pt>
                <c:pt idx="13">
                  <c:v>4.1779999999999999</c:v>
                </c:pt>
                <c:pt idx="14">
                  <c:v>5.1319999999999997</c:v>
                </c:pt>
                <c:pt idx="15">
                  <c:v>4.8620000000000001</c:v>
                </c:pt>
                <c:pt idx="16">
                  <c:v>4.431</c:v>
                </c:pt>
                <c:pt idx="17">
                  <c:v>4.9459999999999997</c:v>
                </c:pt>
                <c:pt idx="18">
                  <c:v>5.0969999999999995</c:v>
                </c:pt>
                <c:pt idx="19">
                  <c:v>5.4340000000000002</c:v>
                </c:pt>
                <c:pt idx="20">
                  <c:v>5.96</c:v>
                </c:pt>
                <c:pt idx="21">
                  <c:v>6.42</c:v>
                </c:pt>
                <c:pt idx="22">
                  <c:v>6.5289999999999999</c:v>
                </c:pt>
                <c:pt idx="23">
                  <c:v>7.5990000000000002</c:v>
                </c:pt>
                <c:pt idx="24">
                  <c:v>8.1950000000000003</c:v>
                </c:pt>
                <c:pt idx="25">
                  <c:v>8.3529999999999998</c:v>
                </c:pt>
                <c:pt idx="26">
                  <c:v>8.6720000000000006</c:v>
                </c:pt>
                <c:pt idx="27">
                  <c:v>8.5250000000000004</c:v>
                </c:pt>
                <c:pt idx="28">
                  <c:v>9.2319999999999993</c:v>
                </c:pt>
                <c:pt idx="29">
                  <c:v>10.491</c:v>
                </c:pt>
                <c:pt idx="30">
                  <c:v>11.709</c:v>
                </c:pt>
                <c:pt idx="31">
                  <c:v>12.247999999999999</c:v>
                </c:pt>
                <c:pt idx="32">
                  <c:v>10.259</c:v>
                </c:pt>
                <c:pt idx="33">
                  <c:v>12.148</c:v>
                </c:pt>
                <c:pt idx="34">
                  <c:v>12.818999999999999</c:v>
                </c:pt>
                <c:pt idx="35">
                  <c:v>14.129999999999999</c:v>
                </c:pt>
                <c:pt idx="36">
                  <c:v>14.535</c:v>
                </c:pt>
                <c:pt idx="37">
                  <c:v>14.955</c:v>
                </c:pt>
                <c:pt idx="38">
                  <c:v>13.842000000000001</c:v>
                </c:pt>
                <c:pt idx="39">
                  <c:v>12.262</c:v>
                </c:pt>
                <c:pt idx="40">
                  <c:v>12.501999999999999</c:v>
                </c:pt>
                <c:pt idx="41">
                  <c:v>13.138999999999999</c:v>
                </c:pt>
                <c:pt idx="42">
                  <c:v>12.511000000000001</c:v>
                </c:pt>
                <c:pt idx="43">
                  <c:v>15.049000000000001</c:v>
                </c:pt>
                <c:pt idx="44">
                  <c:v>14.922000000000001</c:v>
                </c:pt>
                <c:pt idx="45">
                  <c:v>14.384</c:v>
                </c:pt>
                <c:pt idx="46">
                  <c:v>14.838999999999999</c:v>
                </c:pt>
                <c:pt idx="47">
                  <c:v>16.224</c:v>
                </c:pt>
                <c:pt idx="48">
                  <c:v>16.884</c:v>
                </c:pt>
                <c:pt idx="49">
                  <c:v>16.734999999999999</c:v>
                </c:pt>
                <c:pt idx="50">
                  <c:v>17.623000000000001</c:v>
                </c:pt>
                <c:pt idx="51">
                  <c:v>16.121000000000002</c:v>
                </c:pt>
                <c:pt idx="52">
                  <c:v>14.876000000000001</c:v>
                </c:pt>
                <c:pt idx="53">
                  <c:v>14.128</c:v>
                </c:pt>
                <c:pt idx="54">
                  <c:v>12.958</c:v>
                </c:pt>
                <c:pt idx="55">
                  <c:v>13.249000000000001</c:v>
                </c:pt>
                <c:pt idx="56">
                  <c:v>13.709</c:v>
                </c:pt>
                <c:pt idx="57">
                  <c:v>14.71</c:v>
                </c:pt>
                <c:pt idx="58">
                  <c:v>15.468</c:v>
                </c:pt>
                <c:pt idx="59">
                  <c:v>16.821000000000002</c:v>
                </c:pt>
                <c:pt idx="60">
                  <c:v>18.03</c:v>
                </c:pt>
                <c:pt idx="61">
                  <c:v>17.859000000000002</c:v>
                </c:pt>
                <c:pt idx="62">
                  <c:v>19.841999999999999</c:v>
                </c:pt>
                <c:pt idx="63">
                  <c:v>18.817</c:v>
                </c:pt>
                <c:pt idx="64">
                  <c:v>21.76</c:v>
                </c:pt>
                <c:pt idx="65">
                  <c:v>23.445</c:v>
                </c:pt>
                <c:pt idx="66">
                  <c:v>22.369999999999997</c:v>
                </c:pt>
                <c:pt idx="67">
                  <c:v>21.864999999999998</c:v>
                </c:pt>
                <c:pt idx="68">
                  <c:v>21.408000000000001</c:v>
                </c:pt>
                <c:pt idx="69">
                  <c:v>22.741999999999997</c:v>
                </c:pt>
                <c:pt idx="70">
                  <c:v>24.103999999999999</c:v>
                </c:pt>
                <c:pt idx="71">
                  <c:v>24.64</c:v>
                </c:pt>
                <c:pt idx="72">
                  <c:v>24.530999999999999</c:v>
                </c:pt>
                <c:pt idx="73">
                  <c:v>26.967000000000002</c:v>
                </c:pt>
                <c:pt idx="74">
                  <c:v>28.327000000000002</c:v>
                </c:pt>
                <c:pt idx="75">
                  <c:v>30.743000000000002</c:v>
                </c:pt>
                <c:pt idx="76">
                  <c:v>29.654</c:v>
                </c:pt>
                <c:pt idx="77">
                  <c:v>32.197000000000003</c:v>
                </c:pt>
                <c:pt idx="78">
                  <c:v>32.454999999999998</c:v>
                </c:pt>
                <c:pt idx="79">
                  <c:v>32.981999999999999</c:v>
                </c:pt>
                <c:pt idx="80">
                  <c:v>33.805999999999997</c:v>
                </c:pt>
                <c:pt idx="81">
                  <c:v>35.363999999999997</c:v>
                </c:pt>
                <c:pt idx="82">
                  <c:v>36.722999999999999</c:v>
                </c:pt>
                <c:pt idx="83">
                  <c:v>40.17</c:v>
                </c:pt>
                <c:pt idx="84">
                  <c:v>42.687000000000005</c:v>
                </c:pt>
                <c:pt idx="85">
                  <c:v>43.503999999999998</c:v>
                </c:pt>
                <c:pt idx="86">
                  <c:v>45.386000000000003</c:v>
                </c:pt>
                <c:pt idx="87">
                  <c:v>48.512</c:v>
                </c:pt>
                <c:pt idx="88">
                  <c:v>53.756999999999998</c:v>
                </c:pt>
                <c:pt idx="89">
                  <c:v>56.418999999999997</c:v>
                </c:pt>
                <c:pt idx="90">
                  <c:v>58.971000000000004</c:v>
                </c:pt>
                <c:pt idx="91">
                  <c:v>65.733499999999992</c:v>
                </c:pt>
                <c:pt idx="92">
                  <c:v>71.753</c:v>
                </c:pt>
                <c:pt idx="93">
                  <c:v>69.707999999999998</c:v>
                </c:pt>
                <c:pt idx="94">
                  <c:v>80.391999999999996</c:v>
                </c:pt>
                <c:pt idx="95">
                  <c:v>82.7</c:v>
                </c:pt>
                <c:pt idx="96">
                  <c:v>87.182999999999993</c:v>
                </c:pt>
                <c:pt idx="97">
                  <c:v>91.156000000000006</c:v>
                </c:pt>
                <c:pt idx="98">
                  <c:v>94.221000000000004</c:v>
                </c:pt>
                <c:pt idx="99">
                  <c:v>103.137</c:v>
                </c:pt>
                <c:pt idx="100">
                  <c:v>102.794</c:v>
                </c:pt>
                <c:pt idx="101">
                  <c:v>106.35300000000001</c:v>
                </c:pt>
                <c:pt idx="102">
                  <c:v>107.33799999999999</c:v>
                </c:pt>
                <c:pt idx="103">
                  <c:v>120.11799999999999</c:v>
                </c:pt>
                <c:pt idx="104">
                  <c:v>129.13499999999999</c:v>
                </c:pt>
                <c:pt idx="105">
                  <c:v>132.3775</c:v>
                </c:pt>
                <c:pt idx="106">
                  <c:v>136.1525</c:v>
                </c:pt>
                <c:pt idx="107">
                  <c:v>142.59850000000003</c:v>
                </c:pt>
                <c:pt idx="108">
                  <c:v>168.99749999999997</c:v>
                </c:pt>
                <c:pt idx="109">
                  <c:v>180.54950000000002</c:v>
                </c:pt>
                <c:pt idx="110">
                  <c:v>190.00149999999999</c:v>
                </c:pt>
                <c:pt idx="111">
                  <c:v>189.31399999999999</c:v>
                </c:pt>
                <c:pt idx="112">
                  <c:v>204.39900000000003</c:v>
                </c:pt>
                <c:pt idx="113">
                  <c:v>212.9975</c:v>
                </c:pt>
                <c:pt idx="114">
                  <c:v>221.09450000000004</c:v>
                </c:pt>
                <c:pt idx="115">
                  <c:v>231.94549999999998</c:v>
                </c:pt>
                <c:pt idx="116">
                  <c:v>231.21</c:v>
                </c:pt>
                <c:pt idx="117">
                  <c:v>236.5215</c:v>
                </c:pt>
                <c:pt idx="118">
                  <c:v>248.8415</c:v>
                </c:pt>
                <c:pt idx="119">
                  <c:v>258.07400000000001</c:v>
                </c:pt>
                <c:pt idx="120">
                  <c:v>282.23750000000001</c:v>
                </c:pt>
                <c:pt idx="121">
                  <c:v>291.2595</c:v>
                </c:pt>
                <c:pt idx="122">
                  <c:v>305.48500000000001</c:v>
                </c:pt>
                <c:pt idx="123">
                  <c:v>315.55849999999998</c:v>
                </c:pt>
                <c:pt idx="124">
                  <c:v>338.52550000000002</c:v>
                </c:pt>
                <c:pt idx="125">
                  <c:v>345.26199999999994</c:v>
                </c:pt>
                <c:pt idx="126">
                  <c:v>355.565</c:v>
                </c:pt>
                <c:pt idx="127">
                  <c:v>369.43099999999998</c:v>
                </c:pt>
                <c:pt idx="128">
                  <c:v>380.62166200000001</c:v>
                </c:pt>
                <c:pt idx="129">
                  <c:v>387.982911</c:v>
                </c:pt>
                <c:pt idx="130">
                  <c:v>397.52497799999998</c:v>
                </c:pt>
                <c:pt idx="131">
                  <c:v>402.497747</c:v>
                </c:pt>
                <c:pt idx="132">
                  <c:v>413.79292700000002</c:v>
                </c:pt>
              </c:numCache>
            </c:numRef>
          </c:yVal>
          <c:smooth val="1"/>
          <c:extLst>
            <c:ext xmlns:c16="http://schemas.microsoft.com/office/drawing/2014/chart" uri="{C3380CC4-5D6E-409C-BE32-E72D297353CC}">
              <c16:uniqueId val="{00000000-763A-734D-9455-81CE1F78234A}"/>
            </c:ext>
          </c:extLst>
        </c:ser>
        <c:dLbls>
          <c:showLegendKey val="0"/>
          <c:showVal val="0"/>
          <c:showCatName val="0"/>
          <c:showSerName val="0"/>
          <c:showPercent val="0"/>
          <c:showBubbleSize val="0"/>
        </c:dLbls>
        <c:axId val="132141824"/>
        <c:axId val="132403968"/>
      </c:scatterChart>
      <c:valAx>
        <c:axId val="132141824"/>
        <c:scaling>
          <c:orientation val="minMax"/>
          <c:max val="2020"/>
          <c:min val="188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2403968"/>
        <c:crosses val="autoZero"/>
        <c:crossBetween val="midCat"/>
        <c:majorUnit val="70"/>
        <c:minorUnit val="10"/>
      </c:valAx>
      <c:valAx>
        <c:axId val="132403968"/>
        <c:scaling>
          <c:orientation val="minMax"/>
          <c:max val="41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240681576144838"/>
              <c:y val="0.17766550014581511"/>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2141824"/>
        <c:crosses val="max"/>
        <c:crossBetween val="midCat"/>
        <c:majorUnit val="200"/>
        <c:minorUnit val="10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328360712099483"/>
          <c:h val="0.77264654418197765"/>
        </c:manualLayout>
      </c:layout>
      <c:scatterChart>
        <c:scatterStyle val="smoothMarker"/>
        <c:varyColors val="0"/>
        <c:ser>
          <c:idx val="0"/>
          <c:order val="0"/>
          <c:tx>
            <c:strRef>
              <c:f>Australia!$G$7</c:f>
              <c:strCache>
                <c:ptCount val="1"/>
                <c:pt idx="0">
                  <c:v>logit</c:v>
                </c:pt>
              </c:strCache>
            </c:strRef>
          </c:tx>
          <c:spPr>
            <a:ln w="15875">
              <a:solidFill>
                <a:srgbClr val="008000"/>
              </a:solidFill>
            </a:ln>
          </c:spPr>
          <c:marker>
            <c:symbol val="none"/>
          </c:marker>
          <c:xVal>
            <c:numRef>
              <c:f>Australia!$D$163:$D$268</c:f>
              <c:numCache>
                <c:formatCode>General</c:formatCode>
                <c:ptCount val="106"/>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pt idx="30">
                  <c:v>2013</c:v>
                </c:pt>
                <c:pt idx="31">
                  <c:v>2014</c:v>
                </c:pt>
                <c:pt idx="32">
                  <c:v>2015</c:v>
                </c:pt>
                <c:pt idx="33">
                  <c:v>2016</c:v>
                </c:pt>
                <c:pt idx="34">
                  <c:v>2017</c:v>
                </c:pt>
                <c:pt idx="35">
                  <c:v>2018</c:v>
                </c:pt>
                <c:pt idx="36">
                  <c:v>2019</c:v>
                </c:pt>
                <c:pt idx="37">
                  <c:v>2020</c:v>
                </c:pt>
                <c:pt idx="38">
                  <c:v>2021</c:v>
                </c:pt>
                <c:pt idx="39">
                  <c:v>2022</c:v>
                </c:pt>
                <c:pt idx="40">
                  <c:v>2023</c:v>
                </c:pt>
                <c:pt idx="41">
                  <c:v>2024</c:v>
                </c:pt>
                <c:pt idx="42">
                  <c:v>2025</c:v>
                </c:pt>
                <c:pt idx="43">
                  <c:v>2026</c:v>
                </c:pt>
                <c:pt idx="44">
                  <c:v>2027</c:v>
                </c:pt>
                <c:pt idx="45">
                  <c:v>2028</c:v>
                </c:pt>
                <c:pt idx="46">
                  <c:v>2029</c:v>
                </c:pt>
                <c:pt idx="47">
                  <c:v>2030</c:v>
                </c:pt>
                <c:pt idx="48">
                  <c:v>2031</c:v>
                </c:pt>
                <c:pt idx="49">
                  <c:v>2032</c:v>
                </c:pt>
                <c:pt idx="50">
                  <c:v>2033</c:v>
                </c:pt>
                <c:pt idx="51">
                  <c:v>2034</c:v>
                </c:pt>
                <c:pt idx="52">
                  <c:v>2035</c:v>
                </c:pt>
                <c:pt idx="53">
                  <c:v>2036</c:v>
                </c:pt>
                <c:pt idx="54">
                  <c:v>2037</c:v>
                </c:pt>
                <c:pt idx="55">
                  <c:v>2038</c:v>
                </c:pt>
                <c:pt idx="56">
                  <c:v>2039</c:v>
                </c:pt>
                <c:pt idx="57">
                  <c:v>2040</c:v>
                </c:pt>
                <c:pt idx="58">
                  <c:v>2041</c:v>
                </c:pt>
                <c:pt idx="59">
                  <c:v>2042</c:v>
                </c:pt>
                <c:pt idx="60">
                  <c:v>2043</c:v>
                </c:pt>
                <c:pt idx="61">
                  <c:v>2044</c:v>
                </c:pt>
                <c:pt idx="62">
                  <c:v>2045</c:v>
                </c:pt>
                <c:pt idx="63">
                  <c:v>2046</c:v>
                </c:pt>
                <c:pt idx="64">
                  <c:v>2047</c:v>
                </c:pt>
                <c:pt idx="65">
                  <c:v>2048</c:v>
                </c:pt>
                <c:pt idx="66">
                  <c:v>2049</c:v>
                </c:pt>
                <c:pt idx="67">
                  <c:v>2050</c:v>
                </c:pt>
                <c:pt idx="68">
                  <c:v>2051</c:v>
                </c:pt>
                <c:pt idx="69">
                  <c:v>2052</c:v>
                </c:pt>
                <c:pt idx="70">
                  <c:v>2053</c:v>
                </c:pt>
                <c:pt idx="71">
                  <c:v>2054</c:v>
                </c:pt>
                <c:pt idx="72">
                  <c:v>2055</c:v>
                </c:pt>
                <c:pt idx="73">
                  <c:v>2056</c:v>
                </c:pt>
                <c:pt idx="74">
                  <c:v>2057</c:v>
                </c:pt>
                <c:pt idx="75">
                  <c:v>2058</c:v>
                </c:pt>
                <c:pt idx="76">
                  <c:v>2059</c:v>
                </c:pt>
                <c:pt idx="77">
                  <c:v>2060</c:v>
                </c:pt>
                <c:pt idx="78">
                  <c:v>2061</c:v>
                </c:pt>
                <c:pt idx="79">
                  <c:v>2062</c:v>
                </c:pt>
                <c:pt idx="80">
                  <c:v>2063</c:v>
                </c:pt>
                <c:pt idx="81">
                  <c:v>2064</c:v>
                </c:pt>
                <c:pt idx="82">
                  <c:v>2065</c:v>
                </c:pt>
                <c:pt idx="83">
                  <c:v>2066</c:v>
                </c:pt>
                <c:pt idx="84">
                  <c:v>2067</c:v>
                </c:pt>
                <c:pt idx="85">
                  <c:v>2068</c:v>
                </c:pt>
                <c:pt idx="86">
                  <c:v>2069</c:v>
                </c:pt>
                <c:pt idx="87">
                  <c:v>2070</c:v>
                </c:pt>
                <c:pt idx="88">
                  <c:v>2071</c:v>
                </c:pt>
                <c:pt idx="89">
                  <c:v>2072</c:v>
                </c:pt>
                <c:pt idx="90">
                  <c:v>2073</c:v>
                </c:pt>
                <c:pt idx="91">
                  <c:v>2074</c:v>
                </c:pt>
                <c:pt idx="92">
                  <c:v>2075</c:v>
                </c:pt>
                <c:pt idx="93">
                  <c:v>2076</c:v>
                </c:pt>
                <c:pt idx="94">
                  <c:v>2077</c:v>
                </c:pt>
                <c:pt idx="95">
                  <c:v>2078</c:v>
                </c:pt>
                <c:pt idx="96">
                  <c:v>2079</c:v>
                </c:pt>
                <c:pt idx="97">
                  <c:v>2080</c:v>
                </c:pt>
                <c:pt idx="98">
                  <c:v>2081</c:v>
                </c:pt>
                <c:pt idx="99">
                  <c:v>2082</c:v>
                </c:pt>
                <c:pt idx="100">
                  <c:v>2083</c:v>
                </c:pt>
                <c:pt idx="101">
                  <c:v>2084</c:v>
                </c:pt>
                <c:pt idx="102">
                  <c:v>2085</c:v>
                </c:pt>
                <c:pt idx="103">
                  <c:v>2086</c:v>
                </c:pt>
                <c:pt idx="104">
                  <c:v>2087</c:v>
                </c:pt>
                <c:pt idx="105">
                  <c:v>2088</c:v>
                </c:pt>
              </c:numCache>
            </c:numRef>
          </c:xVal>
          <c:yVal>
            <c:numRef>
              <c:f>Australia!$G$163:$G$268</c:f>
              <c:numCache>
                <c:formatCode>0.00</c:formatCode>
                <c:ptCount val="106"/>
                <c:pt idx="0">
                  <c:v>-2.6940660073372475</c:v>
                </c:pt>
                <c:pt idx="1">
                  <c:v>-2.646951201397139</c:v>
                </c:pt>
                <c:pt idx="2">
                  <c:v>-2.5934980810041166</c:v>
                </c:pt>
                <c:pt idx="3">
                  <c:v>-2.5389842513149348</c:v>
                </c:pt>
                <c:pt idx="4">
                  <c:v>-2.4842305109377643</c:v>
                </c:pt>
                <c:pt idx="5">
                  <c:v>-2.432086738013489</c:v>
                </c:pt>
                <c:pt idx="6">
                  <c:v>-2.3782349164194927</c:v>
                </c:pt>
                <c:pt idx="7">
                  <c:v>-2.3245673339474822</c:v>
                </c:pt>
                <c:pt idx="8">
                  <c:v>-2.2712551286491789</c:v>
                </c:pt>
                <c:pt idx="9">
                  <c:v>-2.21770360099358</c:v>
                </c:pt>
                <c:pt idx="10">
                  <c:v>-2.1665216879642779</c:v>
                </c:pt>
                <c:pt idx="11">
                  <c:v>-2.1162321533470632</c:v>
                </c:pt>
                <c:pt idx="12">
                  <c:v>-2.0653819941701053</c:v>
                </c:pt>
                <c:pt idx="13">
                  <c:v>-2.0146799619951175</c:v>
                </c:pt>
                <c:pt idx="14">
                  <c:v>-1.9613916812895626</c:v>
                </c:pt>
                <c:pt idx="15">
                  <c:v>-1.9085547714893256</c:v>
                </c:pt>
                <c:pt idx="16">
                  <c:v>-1.8552755188587626</c:v>
                </c:pt>
                <c:pt idx="17">
                  <c:v>-1.8023307457729323</c:v>
                </c:pt>
                <c:pt idx="18">
                  <c:v>-1.7476808502647443</c:v>
                </c:pt>
                <c:pt idx="19">
                  <c:v>-1.6940262373815662</c:v>
                </c:pt>
                <c:pt idx="20">
                  <c:v>-1.6407698536921509</c:v>
                </c:pt>
                <c:pt idx="21">
                  <c:v>-1.5873931176728611</c:v>
                </c:pt>
                <c:pt idx="22">
                  <c:v>-1.5342993832623837</c:v>
                </c:pt>
                <c:pt idx="23">
                  <c:v>-1.4819882553190411</c:v>
                </c:pt>
                <c:pt idx="24">
                  <c:v>-1.4301200859694418</c:v>
                </c:pt>
                <c:pt idx="25">
                  <c:v>-1.3792334574465392</c:v>
                </c:pt>
                <c:pt idx="26">
                  <c:v>-1.3284838331923154</c:v>
                </c:pt>
              </c:numCache>
            </c:numRef>
          </c:yVal>
          <c:smooth val="1"/>
          <c:extLst>
            <c:ext xmlns:c16="http://schemas.microsoft.com/office/drawing/2014/chart" uri="{C3380CC4-5D6E-409C-BE32-E72D297353CC}">
              <c16:uniqueId val="{00000000-3634-484E-8EC5-180A80946722}"/>
            </c:ext>
          </c:extLst>
        </c:ser>
        <c:ser>
          <c:idx val="1"/>
          <c:order val="1"/>
          <c:tx>
            <c:strRef>
              <c:f>Australia!$G$3</c:f>
              <c:strCache>
                <c:ptCount val="1"/>
                <c:pt idx="0">
                  <c:v>trend</c:v>
                </c:pt>
              </c:strCache>
            </c:strRef>
          </c:tx>
          <c:spPr>
            <a:ln w="15875">
              <a:solidFill>
                <a:srgbClr val="808080"/>
              </a:solidFill>
              <a:prstDash val="dash"/>
            </a:ln>
          </c:spPr>
          <c:marker>
            <c:symbol val="none"/>
          </c:marker>
          <c:xVal>
            <c:numRef>
              <c:f>Australia!$E$3:$E$4</c:f>
              <c:numCache>
                <c:formatCode>General</c:formatCode>
                <c:ptCount val="2"/>
                <c:pt idx="0">
                  <c:v>1983</c:v>
                </c:pt>
                <c:pt idx="1">
                  <c:v>2009</c:v>
                </c:pt>
              </c:numCache>
            </c:numRef>
          </c:xVal>
          <c:yVal>
            <c:numRef>
              <c:f>Australia!$F$3:$F$4</c:f>
              <c:numCache>
                <c:formatCode>0.00</c:formatCode>
                <c:ptCount val="2"/>
                <c:pt idx="0">
                  <c:v>-2.6960177484083547</c:v>
                </c:pt>
                <c:pt idx="1">
                  <c:v>-1.3259038337474072</c:v>
                </c:pt>
              </c:numCache>
            </c:numRef>
          </c:yVal>
          <c:smooth val="1"/>
          <c:extLst>
            <c:ext xmlns:c16="http://schemas.microsoft.com/office/drawing/2014/chart" uri="{C3380CC4-5D6E-409C-BE32-E72D297353CC}">
              <c16:uniqueId val="{00000001-3634-484E-8EC5-180A80946722}"/>
            </c:ext>
          </c:extLst>
        </c:ser>
        <c:ser>
          <c:idx val="2"/>
          <c:order val="2"/>
          <c:tx>
            <c:v>early logit</c:v>
          </c:tx>
          <c:spPr>
            <a:ln w="15875">
              <a:solidFill>
                <a:srgbClr val="008000"/>
              </a:solidFill>
              <a:prstDash val="lgDash"/>
            </a:ln>
          </c:spPr>
          <c:marker>
            <c:symbol val="none"/>
          </c:marker>
          <c:xVal>
            <c:numRef>
              <c:f>Australia!$D$58:$D$162</c:f>
              <c:numCache>
                <c:formatCode>General</c:formatCode>
                <c:ptCount val="105"/>
                <c:pt idx="0">
                  <c:v>1878</c:v>
                </c:pt>
                <c:pt idx="1">
                  <c:v>1879</c:v>
                </c:pt>
                <c:pt idx="2">
                  <c:v>1880</c:v>
                </c:pt>
                <c:pt idx="3">
                  <c:v>1881</c:v>
                </c:pt>
                <c:pt idx="4">
                  <c:v>1882</c:v>
                </c:pt>
                <c:pt idx="5">
                  <c:v>1883</c:v>
                </c:pt>
                <c:pt idx="6">
                  <c:v>1884</c:v>
                </c:pt>
                <c:pt idx="7">
                  <c:v>1885</c:v>
                </c:pt>
                <c:pt idx="8">
                  <c:v>1886</c:v>
                </c:pt>
                <c:pt idx="9">
                  <c:v>1887</c:v>
                </c:pt>
                <c:pt idx="10">
                  <c:v>1888</c:v>
                </c:pt>
                <c:pt idx="11">
                  <c:v>1889</c:v>
                </c:pt>
                <c:pt idx="12">
                  <c:v>1890</c:v>
                </c:pt>
                <c:pt idx="13">
                  <c:v>1891</c:v>
                </c:pt>
                <c:pt idx="14">
                  <c:v>1892</c:v>
                </c:pt>
                <c:pt idx="15">
                  <c:v>1893</c:v>
                </c:pt>
                <c:pt idx="16">
                  <c:v>1894</c:v>
                </c:pt>
                <c:pt idx="17">
                  <c:v>1895</c:v>
                </c:pt>
                <c:pt idx="18">
                  <c:v>1896</c:v>
                </c:pt>
                <c:pt idx="19">
                  <c:v>1897</c:v>
                </c:pt>
                <c:pt idx="20">
                  <c:v>1898</c:v>
                </c:pt>
                <c:pt idx="21">
                  <c:v>1899</c:v>
                </c:pt>
                <c:pt idx="22">
                  <c:v>1900</c:v>
                </c:pt>
                <c:pt idx="23">
                  <c:v>1901</c:v>
                </c:pt>
                <c:pt idx="24">
                  <c:v>1902</c:v>
                </c:pt>
                <c:pt idx="25">
                  <c:v>1903</c:v>
                </c:pt>
                <c:pt idx="26">
                  <c:v>1904</c:v>
                </c:pt>
                <c:pt idx="27">
                  <c:v>1905</c:v>
                </c:pt>
                <c:pt idx="28">
                  <c:v>1906</c:v>
                </c:pt>
                <c:pt idx="29">
                  <c:v>1907</c:v>
                </c:pt>
                <c:pt idx="30">
                  <c:v>1908</c:v>
                </c:pt>
                <c:pt idx="31">
                  <c:v>1909</c:v>
                </c:pt>
                <c:pt idx="32">
                  <c:v>1910</c:v>
                </c:pt>
                <c:pt idx="33">
                  <c:v>1911</c:v>
                </c:pt>
                <c:pt idx="34">
                  <c:v>1912</c:v>
                </c:pt>
                <c:pt idx="35">
                  <c:v>1913</c:v>
                </c:pt>
                <c:pt idx="36">
                  <c:v>1914</c:v>
                </c:pt>
                <c:pt idx="37">
                  <c:v>1915</c:v>
                </c:pt>
                <c:pt idx="38">
                  <c:v>1916</c:v>
                </c:pt>
                <c:pt idx="39">
                  <c:v>1917</c:v>
                </c:pt>
                <c:pt idx="40">
                  <c:v>1918</c:v>
                </c:pt>
                <c:pt idx="41">
                  <c:v>1919</c:v>
                </c:pt>
                <c:pt idx="42">
                  <c:v>1920</c:v>
                </c:pt>
                <c:pt idx="43">
                  <c:v>1921</c:v>
                </c:pt>
                <c:pt idx="44">
                  <c:v>1922</c:v>
                </c:pt>
                <c:pt idx="45">
                  <c:v>1923</c:v>
                </c:pt>
                <c:pt idx="46">
                  <c:v>1924</c:v>
                </c:pt>
                <c:pt idx="47">
                  <c:v>1925</c:v>
                </c:pt>
                <c:pt idx="48">
                  <c:v>1926</c:v>
                </c:pt>
                <c:pt idx="49">
                  <c:v>1927</c:v>
                </c:pt>
                <c:pt idx="50">
                  <c:v>1928</c:v>
                </c:pt>
                <c:pt idx="51">
                  <c:v>1929</c:v>
                </c:pt>
                <c:pt idx="52">
                  <c:v>1930</c:v>
                </c:pt>
                <c:pt idx="53">
                  <c:v>1931</c:v>
                </c:pt>
                <c:pt idx="54">
                  <c:v>1932</c:v>
                </c:pt>
                <c:pt idx="55">
                  <c:v>1933</c:v>
                </c:pt>
                <c:pt idx="56">
                  <c:v>1934</c:v>
                </c:pt>
                <c:pt idx="57">
                  <c:v>1935</c:v>
                </c:pt>
                <c:pt idx="58">
                  <c:v>1936</c:v>
                </c:pt>
                <c:pt idx="59">
                  <c:v>1937</c:v>
                </c:pt>
                <c:pt idx="60">
                  <c:v>1938</c:v>
                </c:pt>
                <c:pt idx="61">
                  <c:v>1939</c:v>
                </c:pt>
                <c:pt idx="62">
                  <c:v>1940</c:v>
                </c:pt>
                <c:pt idx="63">
                  <c:v>1941</c:v>
                </c:pt>
                <c:pt idx="64">
                  <c:v>1942</c:v>
                </c:pt>
                <c:pt idx="65">
                  <c:v>1943</c:v>
                </c:pt>
                <c:pt idx="66">
                  <c:v>1944</c:v>
                </c:pt>
                <c:pt idx="67">
                  <c:v>1945</c:v>
                </c:pt>
                <c:pt idx="68">
                  <c:v>1946</c:v>
                </c:pt>
                <c:pt idx="69">
                  <c:v>1947</c:v>
                </c:pt>
                <c:pt idx="70">
                  <c:v>1948</c:v>
                </c:pt>
                <c:pt idx="71">
                  <c:v>1949</c:v>
                </c:pt>
                <c:pt idx="72">
                  <c:v>1950</c:v>
                </c:pt>
                <c:pt idx="73">
                  <c:v>1951</c:v>
                </c:pt>
                <c:pt idx="74">
                  <c:v>1952</c:v>
                </c:pt>
                <c:pt idx="75">
                  <c:v>1953</c:v>
                </c:pt>
                <c:pt idx="76">
                  <c:v>1954</c:v>
                </c:pt>
                <c:pt idx="77">
                  <c:v>1955</c:v>
                </c:pt>
                <c:pt idx="78">
                  <c:v>1956</c:v>
                </c:pt>
                <c:pt idx="79">
                  <c:v>1957</c:v>
                </c:pt>
                <c:pt idx="80">
                  <c:v>1958</c:v>
                </c:pt>
                <c:pt idx="81">
                  <c:v>1959</c:v>
                </c:pt>
                <c:pt idx="82">
                  <c:v>1960</c:v>
                </c:pt>
                <c:pt idx="83">
                  <c:v>1961</c:v>
                </c:pt>
                <c:pt idx="84">
                  <c:v>1962</c:v>
                </c:pt>
                <c:pt idx="85">
                  <c:v>1963</c:v>
                </c:pt>
                <c:pt idx="86">
                  <c:v>1964</c:v>
                </c:pt>
                <c:pt idx="87">
                  <c:v>1965</c:v>
                </c:pt>
                <c:pt idx="88">
                  <c:v>1966</c:v>
                </c:pt>
                <c:pt idx="89">
                  <c:v>1967</c:v>
                </c:pt>
                <c:pt idx="90">
                  <c:v>1968</c:v>
                </c:pt>
                <c:pt idx="91">
                  <c:v>1969</c:v>
                </c:pt>
                <c:pt idx="92">
                  <c:v>1970</c:v>
                </c:pt>
                <c:pt idx="93">
                  <c:v>1971</c:v>
                </c:pt>
                <c:pt idx="94">
                  <c:v>1972</c:v>
                </c:pt>
                <c:pt idx="95">
                  <c:v>1973</c:v>
                </c:pt>
                <c:pt idx="96">
                  <c:v>1974</c:v>
                </c:pt>
                <c:pt idx="97">
                  <c:v>1975</c:v>
                </c:pt>
                <c:pt idx="98">
                  <c:v>1976</c:v>
                </c:pt>
                <c:pt idx="99">
                  <c:v>1977</c:v>
                </c:pt>
                <c:pt idx="100">
                  <c:v>1978</c:v>
                </c:pt>
                <c:pt idx="101">
                  <c:v>1979</c:v>
                </c:pt>
                <c:pt idx="102">
                  <c:v>1980</c:v>
                </c:pt>
                <c:pt idx="103">
                  <c:v>1981</c:v>
                </c:pt>
                <c:pt idx="104">
                  <c:v>1982</c:v>
                </c:pt>
              </c:numCache>
            </c:numRef>
          </c:xVal>
          <c:yVal>
            <c:numRef>
              <c:f>Australia!$G$58:$G$162</c:f>
              <c:numCache>
                <c:formatCode>0.00</c:formatCode>
                <c:ptCount val="105"/>
                <c:pt idx="0">
                  <c:v>-7.8177379088058512</c:v>
                </c:pt>
                <c:pt idx="1">
                  <c:v>-7.727447178365181</c:v>
                </c:pt>
                <c:pt idx="2">
                  <c:v>-7.6460377036811291</c:v>
                </c:pt>
                <c:pt idx="3">
                  <c:v>-7.5571330806748529</c:v>
                </c:pt>
                <c:pt idx="4">
                  <c:v>-7.4616930690458512</c:v>
                </c:pt>
                <c:pt idx="5">
                  <c:v>-7.3588747350936607</c:v>
                </c:pt>
                <c:pt idx="6">
                  <c:v>-7.2568515462648051</c:v>
                </c:pt>
                <c:pt idx="7">
                  <c:v>-7.1578151015569125</c:v>
                </c:pt>
                <c:pt idx="8">
                  <c:v>-7.067766977792477</c:v>
                </c:pt>
                <c:pt idx="9">
                  <c:v>-6.981928810834809</c:v>
                </c:pt>
                <c:pt idx="10">
                  <c:v>-6.8942282754545356</c:v>
                </c:pt>
                <c:pt idx="11">
                  <c:v>-6.8065525468807317</c:v>
                </c:pt>
                <c:pt idx="12">
                  <c:v>-6.7335701051770362</c:v>
                </c:pt>
                <c:pt idx="13">
                  <c:v>-6.6506360916241283</c:v>
                </c:pt>
                <c:pt idx="14">
                  <c:v>-6.5779285278536106</c:v>
                </c:pt>
                <c:pt idx="15">
                  <c:v>-6.5159658537053629</c:v>
                </c:pt>
                <c:pt idx="16">
                  <c:v>-6.4510420062486995</c:v>
                </c:pt>
                <c:pt idx="17">
                  <c:v>-6.3882612680218767</c:v>
                </c:pt>
                <c:pt idx="18">
                  <c:v>-6.32539201240309</c:v>
                </c:pt>
                <c:pt idx="19">
                  <c:v>-6.2606841789913075</c:v>
                </c:pt>
                <c:pt idx="20">
                  <c:v>-6.1953539001341884</c:v>
                </c:pt>
                <c:pt idx="21">
                  <c:v>-6.1330061418082895</c:v>
                </c:pt>
                <c:pt idx="22">
                  <c:v>-6.0650020948039831</c:v>
                </c:pt>
                <c:pt idx="23">
                  <c:v>-5.9964820390793614</c:v>
                </c:pt>
                <c:pt idx="24">
                  <c:v>-5.9311396224313384</c:v>
                </c:pt>
                <c:pt idx="25">
                  <c:v>-5.867515816815092</c:v>
                </c:pt>
                <c:pt idx="26">
                  <c:v>-5.8086639929913577</c:v>
                </c:pt>
                <c:pt idx="27">
                  <c:v>-5.7485896598506478</c:v>
                </c:pt>
                <c:pt idx="28">
                  <c:v>-5.6844108725351719</c:v>
                </c:pt>
                <c:pt idx="29">
                  <c:v>-5.6173031497351262</c:v>
                </c:pt>
                <c:pt idx="30">
                  <c:v>-5.5515847046595344</c:v>
                </c:pt>
                <c:pt idx="31">
                  <c:v>-5.4996561695040054</c:v>
                </c:pt>
                <c:pt idx="32">
                  <c:v>-5.4414364153975328</c:v>
                </c:pt>
                <c:pt idx="33">
                  <c:v>-5.3834398845324998</c:v>
                </c:pt>
                <c:pt idx="34">
                  <c:v>-5.3231513040915752</c:v>
                </c:pt>
                <c:pt idx="35">
                  <c:v>-5.264675953537024</c:v>
                </c:pt>
                <c:pt idx="36">
                  <c:v>-5.2078473150727067</c:v>
                </c:pt>
                <c:pt idx="37">
                  <c:v>-5.1579508737807105</c:v>
                </c:pt>
                <c:pt idx="38">
                  <c:v>-5.1157164142190767</c:v>
                </c:pt>
                <c:pt idx="39">
                  <c:v>-5.0743965054061242</c:v>
                </c:pt>
                <c:pt idx="40">
                  <c:v>-5.0327151056343258</c:v>
                </c:pt>
                <c:pt idx="41">
                  <c:v>-4.9945589250722513</c:v>
                </c:pt>
                <c:pt idx="42">
                  <c:v>-4.95048748038311</c:v>
                </c:pt>
                <c:pt idx="43">
                  <c:v>-4.9086007238887639</c:v>
                </c:pt>
                <c:pt idx="44">
                  <c:v>-4.8697974164162048</c:v>
                </c:pt>
                <c:pt idx="45">
                  <c:v>-4.8312623498446925</c:v>
                </c:pt>
                <c:pt idx="46">
                  <c:v>-4.7907384553198913</c:v>
                </c:pt>
                <c:pt idx="47">
                  <c:v>-4.7502138160047522</c:v>
                </c:pt>
                <c:pt idx="48">
                  <c:v>-4.711579109087829</c:v>
                </c:pt>
                <c:pt idx="49">
                  <c:v>-4.6724194083048189</c:v>
                </c:pt>
                <c:pt idx="50">
                  <c:v>-4.6378694353840864</c:v>
                </c:pt>
                <c:pt idx="51">
                  <c:v>-4.6069941309542992</c:v>
                </c:pt>
                <c:pt idx="52">
                  <c:v>-4.5785119313754761</c:v>
                </c:pt>
                <c:pt idx="53">
                  <c:v>-4.5530693074445399</c:v>
                </c:pt>
                <c:pt idx="54">
                  <c:v>-4.5276945254927696</c:v>
                </c:pt>
                <c:pt idx="55">
                  <c:v>-4.5020856464718895</c:v>
                </c:pt>
                <c:pt idx="56">
                  <c:v>-4.4753020361134812</c:v>
                </c:pt>
                <c:pt idx="57">
                  <c:v>-4.4478747140978747</c:v>
                </c:pt>
                <c:pt idx="58">
                  <c:v>-4.418859425366394</c:v>
                </c:pt>
                <c:pt idx="59">
                  <c:v>-4.3886449954705986</c:v>
                </c:pt>
                <c:pt idx="60">
                  <c:v>-4.3595700969225453</c:v>
                </c:pt>
                <c:pt idx="61">
                  <c:v>-4.3282046622856161</c:v>
                </c:pt>
                <c:pt idx="62">
                  <c:v>-4.2993194214545483</c:v>
                </c:pt>
                <c:pt idx="63">
                  <c:v>-4.2668984926466376</c:v>
                </c:pt>
                <c:pt idx="64">
                  <c:v>-4.2330742233726051</c:v>
                </c:pt>
                <c:pt idx="65">
                  <c:v>-4.2018050683271078</c:v>
                </c:pt>
                <c:pt idx="66">
                  <c:v>-4.1721322970253025</c:v>
                </c:pt>
                <c:pt idx="67">
                  <c:v>-4.1438841084804876</c:v>
                </c:pt>
                <c:pt idx="68">
                  <c:v>-4.1146990614958465</c:v>
                </c:pt>
                <c:pt idx="69">
                  <c:v>-4.0846404448868938</c:v>
                </c:pt>
                <c:pt idx="70">
                  <c:v>-4.0547905732372582</c:v>
                </c:pt>
                <c:pt idx="71">
                  <c:v>-4.0259038572893671</c:v>
                </c:pt>
                <c:pt idx="72">
                  <c:v>-3.9950509174697828</c:v>
                </c:pt>
                <c:pt idx="73">
                  <c:v>-3.9636006662496235</c:v>
                </c:pt>
                <c:pt idx="74">
                  <c:v>-3.9305122146446556</c:v>
                </c:pt>
                <c:pt idx="75">
                  <c:v>-3.8995632969325271</c:v>
                </c:pt>
                <c:pt idx="76">
                  <c:v>-3.8669701724027701</c:v>
                </c:pt>
                <c:pt idx="77">
                  <c:v>-3.8351155919398154</c:v>
                </c:pt>
                <c:pt idx="78">
                  <c:v>-3.8037096554721415</c:v>
                </c:pt>
                <c:pt idx="79">
                  <c:v>-3.7724691222740963</c:v>
                </c:pt>
                <c:pt idx="80">
                  <c:v>-3.74075664138137</c:v>
                </c:pt>
                <c:pt idx="81">
                  <c:v>-3.7088100508930064</c:v>
                </c:pt>
                <c:pt idx="82">
                  <c:v>-3.6749428666233284</c:v>
                </c:pt>
                <c:pt idx="83">
                  <c:v>-3.6401097948638097</c:v>
                </c:pt>
                <c:pt idx="84">
                  <c:v>-3.6057563118165326</c:v>
                </c:pt>
                <c:pt idx="85">
                  <c:v>-3.5710694935911373</c:v>
                </c:pt>
                <c:pt idx="86">
                  <c:v>-3.5352095187783319</c:v>
                </c:pt>
                <c:pt idx="87">
                  <c:v>-3.4968398382761134</c:v>
                </c:pt>
                <c:pt idx="88">
                  <c:v>-3.4580069375436771</c:v>
                </c:pt>
                <c:pt idx="89">
                  <c:v>-3.4188762850038654</c:v>
                </c:pt>
                <c:pt idx="90">
                  <c:v>-3.376884468420581</c:v>
                </c:pt>
                <c:pt idx="91">
                  <c:v>-3.3328522757635159</c:v>
                </c:pt>
                <c:pt idx="92">
                  <c:v>-3.2917372307434305</c:v>
                </c:pt>
                <c:pt idx="93">
                  <c:v>-3.2461903753526014</c:v>
                </c:pt>
                <c:pt idx="94">
                  <c:v>-3.201256223020112</c:v>
                </c:pt>
                <c:pt idx="95">
                  <c:v>-3.1558187435897271</c:v>
                </c:pt>
                <c:pt idx="96">
                  <c:v>-3.1102546974860199</c:v>
                </c:pt>
                <c:pt idx="97">
                  <c:v>-3.0650729891196211</c:v>
                </c:pt>
                <c:pt idx="98">
                  <c:v>-3.0176582366379021</c:v>
                </c:pt>
                <c:pt idx="99">
                  <c:v>-2.9723464001393336</c:v>
                </c:pt>
                <c:pt idx="100">
                  <c:v>-2.9273382046655074</c:v>
                </c:pt>
                <c:pt idx="101">
                  <c:v>-2.8836864900549157</c:v>
                </c:pt>
                <c:pt idx="102">
                  <c:v>-2.8367757606126798</c:v>
                </c:pt>
                <c:pt idx="103">
                  <c:v>-2.7884348637016676</c:v>
                </c:pt>
                <c:pt idx="104">
                  <c:v>-2.7409355976286216</c:v>
                </c:pt>
              </c:numCache>
            </c:numRef>
          </c:yVal>
          <c:smooth val="1"/>
          <c:extLst>
            <c:ext xmlns:c16="http://schemas.microsoft.com/office/drawing/2014/chart" uri="{C3380CC4-5D6E-409C-BE32-E72D297353CC}">
              <c16:uniqueId val="{00000002-3634-484E-8EC5-180A80946722}"/>
            </c:ext>
          </c:extLst>
        </c:ser>
        <c:dLbls>
          <c:showLegendKey val="0"/>
          <c:showVal val="0"/>
          <c:showCatName val="0"/>
          <c:showSerName val="0"/>
          <c:showPercent val="0"/>
          <c:showBubbleSize val="0"/>
        </c:dLbls>
        <c:axId val="132433408"/>
        <c:axId val="132434944"/>
      </c:scatterChart>
      <c:valAx>
        <c:axId val="132433408"/>
        <c:scaling>
          <c:orientation val="minMax"/>
          <c:max val="2010"/>
          <c:min val="197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2434944"/>
        <c:crossesAt val="-100"/>
        <c:crossBetween val="midCat"/>
        <c:majorUnit val="20"/>
        <c:minorUnit val="10"/>
      </c:valAx>
      <c:valAx>
        <c:axId val="132434944"/>
        <c:scaling>
          <c:orientation val="minMax"/>
          <c:max val="-1"/>
          <c:min val="-4"/>
        </c:scaling>
        <c:delete val="0"/>
        <c:axPos val="r"/>
        <c:title>
          <c:tx>
            <c:rich>
              <a:bodyPr rot="-5400000" vert="horz"/>
              <a:lstStyle/>
              <a:p>
                <a:pPr>
                  <a:defRPr sz="1200" b="0">
                    <a:solidFill>
                      <a:srgbClr val="333399"/>
                    </a:solidFill>
                  </a:defRPr>
                </a:pPr>
                <a:r>
                  <a:rPr lang="en-US" sz="1200" b="0">
                    <a:solidFill>
                      <a:srgbClr val="333399"/>
                    </a:solidFill>
                  </a:rPr>
                  <a:t>logit (q/Q)</a:t>
                </a:r>
              </a:p>
            </c:rich>
          </c:tx>
          <c:layout>
            <c:manualLayout>
              <c:xMode val="edge"/>
              <c:yMode val="edge"/>
              <c:x val="0.96240681576144838"/>
              <c:y val="0.3026655001458238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2433408"/>
        <c:crosses val="max"/>
        <c:crossBetween val="midCat"/>
        <c:majorUnit val="1"/>
        <c:minorUnit val="0.5"/>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328360712099483"/>
          <c:h val="0.77264654418197765"/>
        </c:manualLayout>
      </c:layout>
      <c:scatterChart>
        <c:scatterStyle val="smoothMarker"/>
        <c:varyColors val="0"/>
        <c:ser>
          <c:idx val="0"/>
          <c:order val="0"/>
          <c:tx>
            <c:strRef>
              <c:f>Australia!$I$7</c:f>
              <c:strCache>
                <c:ptCount val="1"/>
                <c:pt idx="0">
                  <c:v>r m</c:v>
                </c:pt>
              </c:strCache>
            </c:strRef>
          </c:tx>
          <c:spPr>
            <a:ln w="15875">
              <a:solidFill>
                <a:srgbClr val="008000"/>
              </a:solidFill>
            </a:ln>
          </c:spPr>
          <c:marker>
            <c:symbol val="none"/>
          </c:marker>
          <c:xVal>
            <c:numRef>
              <c:f>Australia!$D$163:$D$268</c:f>
              <c:numCache>
                <c:formatCode>General</c:formatCode>
                <c:ptCount val="106"/>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pt idx="30">
                  <c:v>2013</c:v>
                </c:pt>
                <c:pt idx="31">
                  <c:v>2014</c:v>
                </c:pt>
                <c:pt idx="32">
                  <c:v>2015</c:v>
                </c:pt>
                <c:pt idx="33">
                  <c:v>2016</c:v>
                </c:pt>
                <c:pt idx="34">
                  <c:v>2017</c:v>
                </c:pt>
                <c:pt idx="35">
                  <c:v>2018</c:v>
                </c:pt>
                <c:pt idx="36">
                  <c:v>2019</c:v>
                </c:pt>
                <c:pt idx="37">
                  <c:v>2020</c:v>
                </c:pt>
                <c:pt idx="38">
                  <c:v>2021</c:v>
                </c:pt>
                <c:pt idx="39">
                  <c:v>2022</c:v>
                </c:pt>
                <c:pt idx="40">
                  <c:v>2023</c:v>
                </c:pt>
                <c:pt idx="41">
                  <c:v>2024</c:v>
                </c:pt>
                <c:pt idx="42">
                  <c:v>2025</c:v>
                </c:pt>
                <c:pt idx="43">
                  <c:v>2026</c:v>
                </c:pt>
                <c:pt idx="44">
                  <c:v>2027</c:v>
                </c:pt>
                <c:pt idx="45">
                  <c:v>2028</c:v>
                </c:pt>
                <c:pt idx="46">
                  <c:v>2029</c:v>
                </c:pt>
                <c:pt idx="47">
                  <c:v>2030</c:v>
                </c:pt>
                <c:pt idx="48">
                  <c:v>2031</c:v>
                </c:pt>
                <c:pt idx="49">
                  <c:v>2032</c:v>
                </c:pt>
                <c:pt idx="50">
                  <c:v>2033</c:v>
                </c:pt>
                <c:pt idx="51">
                  <c:v>2034</c:v>
                </c:pt>
                <c:pt idx="52">
                  <c:v>2035</c:v>
                </c:pt>
                <c:pt idx="53">
                  <c:v>2036</c:v>
                </c:pt>
                <c:pt idx="54">
                  <c:v>2037</c:v>
                </c:pt>
                <c:pt idx="55">
                  <c:v>2038</c:v>
                </c:pt>
                <c:pt idx="56">
                  <c:v>2039</c:v>
                </c:pt>
                <c:pt idx="57">
                  <c:v>2040</c:v>
                </c:pt>
                <c:pt idx="58">
                  <c:v>2041</c:v>
                </c:pt>
                <c:pt idx="59">
                  <c:v>2042</c:v>
                </c:pt>
                <c:pt idx="60">
                  <c:v>2043</c:v>
                </c:pt>
                <c:pt idx="61">
                  <c:v>2044</c:v>
                </c:pt>
                <c:pt idx="62">
                  <c:v>2045</c:v>
                </c:pt>
                <c:pt idx="63">
                  <c:v>2046</c:v>
                </c:pt>
                <c:pt idx="64">
                  <c:v>2047</c:v>
                </c:pt>
                <c:pt idx="65">
                  <c:v>2048</c:v>
                </c:pt>
                <c:pt idx="66">
                  <c:v>2049</c:v>
                </c:pt>
                <c:pt idx="67">
                  <c:v>2050</c:v>
                </c:pt>
                <c:pt idx="68">
                  <c:v>2051</c:v>
                </c:pt>
                <c:pt idx="69">
                  <c:v>2052</c:v>
                </c:pt>
                <c:pt idx="70">
                  <c:v>2053</c:v>
                </c:pt>
                <c:pt idx="71">
                  <c:v>2054</c:v>
                </c:pt>
                <c:pt idx="72">
                  <c:v>2055</c:v>
                </c:pt>
                <c:pt idx="73">
                  <c:v>2056</c:v>
                </c:pt>
                <c:pt idx="74">
                  <c:v>2057</c:v>
                </c:pt>
                <c:pt idx="75">
                  <c:v>2058</c:v>
                </c:pt>
                <c:pt idx="76">
                  <c:v>2059</c:v>
                </c:pt>
                <c:pt idx="77">
                  <c:v>2060</c:v>
                </c:pt>
                <c:pt idx="78">
                  <c:v>2061</c:v>
                </c:pt>
                <c:pt idx="79">
                  <c:v>2062</c:v>
                </c:pt>
                <c:pt idx="80">
                  <c:v>2063</c:v>
                </c:pt>
                <c:pt idx="81">
                  <c:v>2064</c:v>
                </c:pt>
                <c:pt idx="82">
                  <c:v>2065</c:v>
                </c:pt>
                <c:pt idx="83">
                  <c:v>2066</c:v>
                </c:pt>
                <c:pt idx="84">
                  <c:v>2067</c:v>
                </c:pt>
                <c:pt idx="85">
                  <c:v>2068</c:v>
                </c:pt>
                <c:pt idx="86">
                  <c:v>2069</c:v>
                </c:pt>
                <c:pt idx="87">
                  <c:v>2070</c:v>
                </c:pt>
                <c:pt idx="88">
                  <c:v>2071</c:v>
                </c:pt>
                <c:pt idx="89">
                  <c:v>2072</c:v>
                </c:pt>
                <c:pt idx="90">
                  <c:v>2073</c:v>
                </c:pt>
                <c:pt idx="91">
                  <c:v>2074</c:v>
                </c:pt>
                <c:pt idx="92">
                  <c:v>2075</c:v>
                </c:pt>
                <c:pt idx="93">
                  <c:v>2076</c:v>
                </c:pt>
                <c:pt idx="94">
                  <c:v>2077</c:v>
                </c:pt>
                <c:pt idx="95">
                  <c:v>2078</c:v>
                </c:pt>
                <c:pt idx="96">
                  <c:v>2079</c:v>
                </c:pt>
                <c:pt idx="97">
                  <c:v>2080</c:v>
                </c:pt>
                <c:pt idx="98">
                  <c:v>2081</c:v>
                </c:pt>
                <c:pt idx="99">
                  <c:v>2082</c:v>
                </c:pt>
                <c:pt idx="100">
                  <c:v>2083</c:v>
                </c:pt>
                <c:pt idx="101">
                  <c:v>2084</c:v>
                </c:pt>
                <c:pt idx="102">
                  <c:v>2085</c:v>
                </c:pt>
                <c:pt idx="103">
                  <c:v>2086</c:v>
                </c:pt>
                <c:pt idx="104">
                  <c:v>2087</c:v>
                </c:pt>
                <c:pt idx="105">
                  <c:v>2088</c:v>
                </c:pt>
              </c:numCache>
            </c:numRef>
          </c:xVal>
          <c:yVal>
            <c:numRef>
              <c:f>Australia!$I$163:$I$268</c:f>
              <c:numCache>
                <c:formatCode>0.0</c:formatCode>
                <c:ptCount val="106"/>
                <c:pt idx="0">
                  <c:v>0.44444714243672934</c:v>
                </c:pt>
                <c:pt idx="1">
                  <c:v>-0.82664973788905627</c:v>
                </c:pt>
                <c:pt idx="2">
                  <c:v>-0.65439647911352949</c:v>
                </c:pt>
                <c:pt idx="3">
                  <c:v>-0.24060031149292627</c:v>
                </c:pt>
                <c:pt idx="4">
                  <c:v>0.22782790814471809</c:v>
                </c:pt>
                <c:pt idx="5">
                  <c:v>0.10191879817284644</c:v>
                </c:pt>
                <c:pt idx="6">
                  <c:v>0.36496361330773652</c:v>
                </c:pt>
                <c:pt idx="7">
                  <c:v>0.58605381033066806</c:v>
                </c:pt>
                <c:pt idx="8">
                  <c:v>0.72621812446868717</c:v>
                </c:pt>
                <c:pt idx="9">
                  <c:v>0.92088051696009643</c:v>
                </c:pt>
                <c:pt idx="10">
                  <c:v>0.57593831490612502</c:v>
                </c:pt>
                <c:pt idx="11">
                  <c:v>2.7785225352090492E-2</c:v>
                </c:pt>
                <c:pt idx="12">
                  <c:v>-0.39270339720314951</c:v>
                </c:pt>
                <c:pt idx="13">
                  <c:v>-0.84692324759271287</c:v>
                </c:pt>
                <c:pt idx="14">
                  <c:v>-0.71220700084541022</c:v>
                </c:pt>
                <c:pt idx="15">
                  <c:v>-0.68027616555082204</c:v>
                </c:pt>
                <c:pt idx="16">
                  <c:v>-0.54761577661702177</c:v>
                </c:pt>
                <c:pt idx="17">
                  <c:v>-0.49112249819609133</c:v>
                </c:pt>
                <c:pt idx="18">
                  <c:v>-4.6341654718162317E-2</c:v>
                </c:pt>
                <c:pt idx="19">
                  <c:v>0.17179512969141797</c:v>
                </c:pt>
                <c:pt idx="20">
                  <c:v>0.29924784241666202</c:v>
                </c:pt>
                <c:pt idx="21">
                  <c:v>0.45410698209616385</c:v>
                </c:pt>
                <c:pt idx="22">
                  <c:v>0.54452147888514446</c:v>
                </c:pt>
                <c:pt idx="23">
                  <c:v>0.45672216795082932</c:v>
                </c:pt>
                <c:pt idx="24">
                  <c:v>0.26805308278107987</c:v>
                </c:pt>
                <c:pt idx="25">
                  <c:v>-0.14413080261874711</c:v>
                </c:pt>
                <c:pt idx="26">
                  <c:v>-0.58751306602789555</c:v>
                </c:pt>
              </c:numCache>
            </c:numRef>
          </c:yVal>
          <c:smooth val="1"/>
          <c:extLst>
            <c:ext xmlns:c16="http://schemas.microsoft.com/office/drawing/2014/chart" uri="{C3380CC4-5D6E-409C-BE32-E72D297353CC}">
              <c16:uniqueId val="{00000000-96D5-4F4C-BBD7-BF9889BABD60}"/>
            </c:ext>
          </c:extLst>
        </c:ser>
        <c:ser>
          <c:idx val="1"/>
          <c:order val="1"/>
          <c:tx>
            <c:v>zero</c:v>
          </c:tx>
          <c:spPr>
            <a:ln w="15875">
              <a:solidFill>
                <a:srgbClr val="808080"/>
              </a:solidFill>
            </a:ln>
          </c:spPr>
          <c:marker>
            <c:symbol val="none"/>
          </c:marker>
          <c:xVal>
            <c:numRef>
              <c:f>(Australia!$E$3,Australia!$E$4)</c:f>
              <c:numCache>
                <c:formatCode>General</c:formatCode>
                <c:ptCount val="2"/>
                <c:pt idx="0">
                  <c:v>1983</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1-96D5-4F4C-BBD7-BF9889BABD60}"/>
            </c:ext>
          </c:extLst>
        </c:ser>
        <c:ser>
          <c:idx val="2"/>
          <c:order val="2"/>
          <c:tx>
            <c:v>early r m</c:v>
          </c:tx>
          <c:spPr>
            <a:ln w="15875">
              <a:solidFill>
                <a:srgbClr val="008000"/>
              </a:solidFill>
              <a:prstDash val="lgDash"/>
            </a:ln>
          </c:spPr>
          <c:marker>
            <c:symbol val="none"/>
          </c:marker>
          <c:xVal>
            <c:numRef>
              <c:f>Australia!$D$58:$D$162</c:f>
              <c:numCache>
                <c:formatCode>General</c:formatCode>
                <c:ptCount val="105"/>
                <c:pt idx="0">
                  <c:v>1878</c:v>
                </c:pt>
                <c:pt idx="1">
                  <c:v>1879</c:v>
                </c:pt>
                <c:pt idx="2">
                  <c:v>1880</c:v>
                </c:pt>
                <c:pt idx="3">
                  <c:v>1881</c:v>
                </c:pt>
                <c:pt idx="4">
                  <c:v>1882</c:v>
                </c:pt>
                <c:pt idx="5">
                  <c:v>1883</c:v>
                </c:pt>
                <c:pt idx="6">
                  <c:v>1884</c:v>
                </c:pt>
                <c:pt idx="7">
                  <c:v>1885</c:v>
                </c:pt>
                <c:pt idx="8">
                  <c:v>1886</c:v>
                </c:pt>
                <c:pt idx="9">
                  <c:v>1887</c:v>
                </c:pt>
                <c:pt idx="10">
                  <c:v>1888</c:v>
                </c:pt>
                <c:pt idx="11">
                  <c:v>1889</c:v>
                </c:pt>
                <c:pt idx="12">
                  <c:v>1890</c:v>
                </c:pt>
                <c:pt idx="13">
                  <c:v>1891</c:v>
                </c:pt>
                <c:pt idx="14">
                  <c:v>1892</c:v>
                </c:pt>
                <c:pt idx="15">
                  <c:v>1893</c:v>
                </c:pt>
                <c:pt idx="16">
                  <c:v>1894</c:v>
                </c:pt>
                <c:pt idx="17">
                  <c:v>1895</c:v>
                </c:pt>
                <c:pt idx="18">
                  <c:v>1896</c:v>
                </c:pt>
                <c:pt idx="19">
                  <c:v>1897</c:v>
                </c:pt>
                <c:pt idx="20">
                  <c:v>1898</c:v>
                </c:pt>
                <c:pt idx="21">
                  <c:v>1899</c:v>
                </c:pt>
                <c:pt idx="22">
                  <c:v>1900</c:v>
                </c:pt>
                <c:pt idx="23">
                  <c:v>1901</c:v>
                </c:pt>
                <c:pt idx="24">
                  <c:v>1902</c:v>
                </c:pt>
                <c:pt idx="25">
                  <c:v>1903</c:v>
                </c:pt>
                <c:pt idx="26">
                  <c:v>1904</c:v>
                </c:pt>
                <c:pt idx="27">
                  <c:v>1905</c:v>
                </c:pt>
                <c:pt idx="28">
                  <c:v>1906</c:v>
                </c:pt>
                <c:pt idx="29">
                  <c:v>1907</c:v>
                </c:pt>
                <c:pt idx="30">
                  <c:v>1908</c:v>
                </c:pt>
                <c:pt idx="31">
                  <c:v>1909</c:v>
                </c:pt>
                <c:pt idx="32">
                  <c:v>1910</c:v>
                </c:pt>
                <c:pt idx="33">
                  <c:v>1911</c:v>
                </c:pt>
                <c:pt idx="34">
                  <c:v>1912</c:v>
                </c:pt>
                <c:pt idx="35">
                  <c:v>1913</c:v>
                </c:pt>
                <c:pt idx="36">
                  <c:v>1914</c:v>
                </c:pt>
                <c:pt idx="37">
                  <c:v>1915</c:v>
                </c:pt>
                <c:pt idx="38">
                  <c:v>1916</c:v>
                </c:pt>
                <c:pt idx="39">
                  <c:v>1917</c:v>
                </c:pt>
                <c:pt idx="40">
                  <c:v>1918</c:v>
                </c:pt>
                <c:pt idx="41">
                  <c:v>1919</c:v>
                </c:pt>
                <c:pt idx="42">
                  <c:v>1920</c:v>
                </c:pt>
                <c:pt idx="43">
                  <c:v>1921</c:v>
                </c:pt>
                <c:pt idx="44">
                  <c:v>1922</c:v>
                </c:pt>
                <c:pt idx="45">
                  <c:v>1923</c:v>
                </c:pt>
                <c:pt idx="46">
                  <c:v>1924</c:v>
                </c:pt>
                <c:pt idx="47">
                  <c:v>1925</c:v>
                </c:pt>
                <c:pt idx="48">
                  <c:v>1926</c:v>
                </c:pt>
                <c:pt idx="49">
                  <c:v>1927</c:v>
                </c:pt>
                <c:pt idx="50">
                  <c:v>1928</c:v>
                </c:pt>
                <c:pt idx="51">
                  <c:v>1929</c:v>
                </c:pt>
                <c:pt idx="52">
                  <c:v>1930</c:v>
                </c:pt>
                <c:pt idx="53">
                  <c:v>1931</c:v>
                </c:pt>
                <c:pt idx="54">
                  <c:v>1932</c:v>
                </c:pt>
                <c:pt idx="55">
                  <c:v>1933</c:v>
                </c:pt>
                <c:pt idx="56">
                  <c:v>1934</c:v>
                </c:pt>
                <c:pt idx="57">
                  <c:v>1935</c:v>
                </c:pt>
                <c:pt idx="58">
                  <c:v>1936</c:v>
                </c:pt>
                <c:pt idx="59">
                  <c:v>1937</c:v>
                </c:pt>
                <c:pt idx="60">
                  <c:v>1938</c:v>
                </c:pt>
                <c:pt idx="61">
                  <c:v>1939</c:v>
                </c:pt>
                <c:pt idx="62">
                  <c:v>1940</c:v>
                </c:pt>
                <c:pt idx="63">
                  <c:v>1941</c:v>
                </c:pt>
                <c:pt idx="64">
                  <c:v>1942</c:v>
                </c:pt>
                <c:pt idx="65">
                  <c:v>1943</c:v>
                </c:pt>
                <c:pt idx="66">
                  <c:v>1944</c:v>
                </c:pt>
                <c:pt idx="67">
                  <c:v>1945</c:v>
                </c:pt>
                <c:pt idx="68">
                  <c:v>1946</c:v>
                </c:pt>
                <c:pt idx="69">
                  <c:v>1947</c:v>
                </c:pt>
                <c:pt idx="70">
                  <c:v>1948</c:v>
                </c:pt>
                <c:pt idx="71">
                  <c:v>1949</c:v>
                </c:pt>
                <c:pt idx="72">
                  <c:v>1950</c:v>
                </c:pt>
                <c:pt idx="73">
                  <c:v>1951</c:v>
                </c:pt>
                <c:pt idx="74">
                  <c:v>1952</c:v>
                </c:pt>
                <c:pt idx="75">
                  <c:v>1953</c:v>
                </c:pt>
                <c:pt idx="76">
                  <c:v>1954</c:v>
                </c:pt>
                <c:pt idx="77">
                  <c:v>1955</c:v>
                </c:pt>
                <c:pt idx="78">
                  <c:v>1956</c:v>
                </c:pt>
                <c:pt idx="79">
                  <c:v>1957</c:v>
                </c:pt>
                <c:pt idx="80">
                  <c:v>1958</c:v>
                </c:pt>
                <c:pt idx="81">
                  <c:v>1959</c:v>
                </c:pt>
                <c:pt idx="82">
                  <c:v>1960</c:v>
                </c:pt>
                <c:pt idx="83">
                  <c:v>1961</c:v>
                </c:pt>
                <c:pt idx="84">
                  <c:v>1962</c:v>
                </c:pt>
                <c:pt idx="85">
                  <c:v>1963</c:v>
                </c:pt>
                <c:pt idx="86">
                  <c:v>1964</c:v>
                </c:pt>
                <c:pt idx="87">
                  <c:v>1965</c:v>
                </c:pt>
                <c:pt idx="88">
                  <c:v>1966</c:v>
                </c:pt>
                <c:pt idx="89">
                  <c:v>1967</c:v>
                </c:pt>
                <c:pt idx="90">
                  <c:v>1968</c:v>
                </c:pt>
                <c:pt idx="91">
                  <c:v>1969</c:v>
                </c:pt>
                <c:pt idx="92">
                  <c:v>1970</c:v>
                </c:pt>
                <c:pt idx="93">
                  <c:v>1971</c:v>
                </c:pt>
                <c:pt idx="94">
                  <c:v>1972</c:v>
                </c:pt>
                <c:pt idx="95">
                  <c:v>1973</c:v>
                </c:pt>
                <c:pt idx="96">
                  <c:v>1974</c:v>
                </c:pt>
                <c:pt idx="97">
                  <c:v>1975</c:v>
                </c:pt>
                <c:pt idx="98">
                  <c:v>1976</c:v>
                </c:pt>
                <c:pt idx="99">
                  <c:v>1977</c:v>
                </c:pt>
                <c:pt idx="100">
                  <c:v>1978</c:v>
                </c:pt>
                <c:pt idx="101">
                  <c:v>1979</c:v>
                </c:pt>
                <c:pt idx="102">
                  <c:v>1980</c:v>
                </c:pt>
                <c:pt idx="103">
                  <c:v>1981</c:v>
                </c:pt>
                <c:pt idx="104">
                  <c:v>1982</c:v>
                </c:pt>
              </c:numCache>
            </c:numRef>
          </c:xVal>
          <c:yVal>
            <c:numRef>
              <c:f>Australia!$I$58:$I$162</c:f>
              <c:numCache>
                <c:formatCode>0.0</c:formatCode>
                <c:ptCount val="105"/>
                <c:pt idx="0" formatCode="#,##0.0">
                  <c:v>93.690634811588097</c:v>
                </c:pt>
                <c:pt idx="1">
                  <c:v>102.25148569854628</c:v>
                </c:pt>
                <c:pt idx="2">
                  <c:v>108.78991219698037</c:v>
                </c:pt>
                <c:pt idx="3">
                  <c:v>117.0351210669478</c:v>
                </c:pt>
                <c:pt idx="4">
                  <c:v>126.76855746928959</c:v>
                </c:pt>
                <c:pt idx="5">
                  <c:v>138.18217282624482</c:v>
                </c:pt>
                <c:pt idx="6">
                  <c:v>149.41471909410666</c:v>
                </c:pt>
                <c:pt idx="7">
                  <c:v>159.96712909317557</c:v>
                </c:pt>
                <c:pt idx="8">
                  <c:v>168.47273400228187</c:v>
                </c:pt>
                <c:pt idx="9">
                  <c:v>176.0196547394653</c:v>
                </c:pt>
                <c:pt idx="10">
                  <c:v>183.99067083225327</c:v>
                </c:pt>
                <c:pt idx="11">
                  <c:v>191.95603796145042</c:v>
                </c:pt>
                <c:pt idx="12">
                  <c:v>196.575474905997</c:v>
                </c:pt>
                <c:pt idx="13">
                  <c:v>203.46106679118657</c:v>
                </c:pt>
                <c:pt idx="14">
                  <c:v>208.0179090023812</c:v>
                </c:pt>
                <c:pt idx="15">
                  <c:v>210.12794330492034</c:v>
                </c:pt>
                <c:pt idx="16">
                  <c:v>212.9122909345042</c:v>
                </c:pt>
                <c:pt idx="17">
                  <c:v>215.20861339146904</c:v>
                </c:pt>
                <c:pt idx="18">
                  <c:v>217.52509287771591</c:v>
                </c:pt>
                <c:pt idx="19">
                  <c:v>220.26025015802861</c:v>
                </c:pt>
                <c:pt idx="20">
                  <c:v>223.13714965179497</c:v>
                </c:pt>
                <c:pt idx="21">
                  <c:v>225.33487466540737</c:v>
                </c:pt>
                <c:pt idx="22">
                  <c:v>228.82064007389454</c:v>
                </c:pt>
                <c:pt idx="23">
                  <c:v>232.42391010664323</c:v>
                </c:pt>
                <c:pt idx="24">
                  <c:v>235.30357359741902</c:v>
                </c:pt>
                <c:pt idx="25">
                  <c:v>237.79187792004177</c:v>
                </c:pt>
                <c:pt idx="26">
                  <c:v>239.19351470113452</c:v>
                </c:pt>
                <c:pt idx="27">
                  <c:v>240.87353921540307</c:v>
                </c:pt>
                <c:pt idx="28">
                  <c:v>243.48822302246663</c:v>
                </c:pt>
                <c:pt idx="29">
                  <c:v>246.76987901440225</c:v>
                </c:pt>
                <c:pt idx="30">
                  <c:v>249.73517105631072</c:v>
                </c:pt>
                <c:pt idx="31">
                  <c:v>249.56024836934284</c:v>
                </c:pt>
                <c:pt idx="32">
                  <c:v>250.81795131422223</c:v>
                </c:pt>
                <c:pt idx="33">
                  <c:v>252.02482224390405</c:v>
                </c:pt>
                <c:pt idx="34">
                  <c:v>253.75363478736563</c:v>
                </c:pt>
                <c:pt idx="35">
                  <c:v>255.06954171875168</c:v>
                </c:pt>
                <c:pt idx="36">
                  <c:v>256.01046218612282</c:v>
                </c:pt>
                <c:pt idx="37">
                  <c:v>255.37279455609587</c:v>
                </c:pt>
                <c:pt idx="38">
                  <c:v>252.99035353584622</c:v>
                </c:pt>
                <c:pt idx="39">
                  <c:v>250.39965258149005</c:v>
                </c:pt>
                <c:pt idx="40">
                  <c:v>247.89126973072507</c:v>
                </c:pt>
                <c:pt idx="41">
                  <c:v>244.5801299838613</c:v>
                </c:pt>
                <c:pt idx="42">
                  <c:v>242.61600407861806</c:v>
                </c:pt>
                <c:pt idx="43">
                  <c:v>240.1543847098892</c:v>
                </c:pt>
                <c:pt idx="44">
                  <c:v>236.99060759755594</c:v>
                </c:pt>
                <c:pt idx="45">
                  <c:v>233.76574712548882</c:v>
                </c:pt>
                <c:pt idx="46">
                  <c:v>230.99377915731111</c:v>
                </c:pt>
                <c:pt idx="47">
                  <c:v>228.22198079151985</c:v>
                </c:pt>
                <c:pt idx="48">
                  <c:v>225.01981024868746</c:v>
                </c:pt>
                <c:pt idx="49">
                  <c:v>221.93719041216173</c:v>
                </c:pt>
                <c:pt idx="50">
                  <c:v>217.80485122191112</c:v>
                </c:pt>
                <c:pt idx="51">
                  <c:v>212.83572280055432</c:v>
                </c:pt>
                <c:pt idx="52">
                  <c:v>207.32164063081837</c:v>
                </c:pt>
                <c:pt idx="53">
                  <c:v>201.11539148723386</c:v>
                </c:pt>
                <c:pt idx="54">
                  <c:v>194.89369348404944</c:v>
                </c:pt>
                <c:pt idx="55">
                  <c:v>188.72530366552382</c:v>
                </c:pt>
                <c:pt idx="56">
                  <c:v>182.82442166031524</c:v>
                </c:pt>
                <c:pt idx="57">
                  <c:v>177.07012457399287</c:v>
                </c:pt>
                <c:pt idx="58">
                  <c:v>171.67743655539289</c:v>
                </c:pt>
                <c:pt idx="59">
                  <c:v>166.55781491416838</c:v>
                </c:pt>
                <c:pt idx="60">
                  <c:v>161.17870114116249</c:v>
                </c:pt>
                <c:pt idx="61">
                  <c:v>156.3211843332565</c:v>
                </c:pt>
                <c:pt idx="62">
                  <c:v>150.89888202894508</c:v>
                </c:pt>
                <c:pt idx="63">
                  <c:v>146.28172055049254</c:v>
                </c:pt>
                <c:pt idx="64">
                  <c:v>141.98412536557589</c:v>
                </c:pt>
                <c:pt idx="65">
                  <c:v>137.10468393359133</c:v>
                </c:pt>
                <c:pt idx="66">
                  <c:v>131.86171672268938</c:v>
                </c:pt>
                <c:pt idx="67">
                  <c:v>126.29434596006286</c:v>
                </c:pt>
                <c:pt idx="68">
                  <c:v>120.94031500086567</c:v>
                </c:pt>
                <c:pt idx="69">
                  <c:v>115.78521182414534</c:v>
                </c:pt>
                <c:pt idx="70">
                  <c:v>110.58257360189782</c:v>
                </c:pt>
                <c:pt idx="71">
                  <c:v>105.16060720866699</c:v>
                </c:pt>
                <c:pt idx="72">
                  <c:v>100.1863859564819</c:v>
                </c:pt>
                <c:pt idx="73">
                  <c:v>95.348183436014551</c:v>
                </c:pt>
                <c:pt idx="74">
                  <c:v>90.883029108540541</c:v>
                </c:pt>
                <c:pt idx="75">
                  <c:v>85.930663778080088</c:v>
                </c:pt>
                <c:pt idx="76">
                  <c:v>81.352714415234004</c:v>
                </c:pt>
                <c:pt idx="77">
                  <c:v>76.606585059195822</c:v>
                </c:pt>
                <c:pt idx="78">
                  <c:v>71.758291258998725</c:v>
                </c:pt>
                <c:pt idx="79">
                  <c:v>66.872332108807313</c:v>
                </c:pt>
                <c:pt idx="80">
                  <c:v>62.093844081393399</c:v>
                </c:pt>
                <c:pt idx="81">
                  <c:v>57.368667091153839</c:v>
                </c:pt>
                <c:pt idx="82">
                  <c:v>53.080844435733525</c:v>
                </c:pt>
                <c:pt idx="83">
                  <c:v>49.012972029413504</c:v>
                </c:pt>
                <c:pt idx="84">
                  <c:v>44.835888500853798</c:v>
                </c:pt>
                <c:pt idx="85">
                  <c:v>40.73471148959834</c:v>
                </c:pt>
                <c:pt idx="86">
                  <c:v>36.900683692257189</c:v>
                </c:pt>
                <c:pt idx="87">
                  <c:v>33.638161787027457</c:v>
                </c:pt>
                <c:pt idx="88">
                  <c:v>30.481123601279251</c:v>
                </c:pt>
                <c:pt idx="89">
                  <c:v>27.391888948438464</c:v>
                </c:pt>
                <c:pt idx="90">
                  <c:v>24.954193683682206</c:v>
                </c:pt>
                <c:pt idx="91">
                  <c:v>22.981129372751639</c:v>
                </c:pt>
                <c:pt idx="92">
                  <c:v>20.343777185461477</c:v>
                </c:pt>
                <c:pt idx="93">
                  <c:v>18.715629284677561</c:v>
                </c:pt>
                <c:pt idx="94">
                  <c:v>16.947957690162184</c:v>
                </c:pt>
                <c:pt idx="95">
                  <c:v>15.294902882516908</c:v>
                </c:pt>
                <c:pt idx="96">
                  <c:v>13.670669621501474</c:v>
                </c:pt>
                <c:pt idx="97">
                  <c:v>11.959371064113839</c:v>
                </c:pt>
                <c:pt idx="98">
                  <c:v>10.756577497827493</c:v>
                </c:pt>
                <c:pt idx="99">
                  <c:v>9.0749114963919055</c:v>
                </c:pt>
                <c:pt idx="100">
                  <c:v>7.324100879530306</c:v>
                </c:pt>
                <c:pt idx="101">
                  <c:v>5.2643947578499137</c:v>
                </c:pt>
                <c:pt idx="102">
                  <c:v>3.9468259260638661</c:v>
                </c:pt>
                <c:pt idx="103">
                  <c:v>2.9549323870278386</c:v>
                </c:pt>
                <c:pt idx="104">
                  <c:v>1.7713841113791204</c:v>
                </c:pt>
              </c:numCache>
            </c:numRef>
          </c:yVal>
          <c:smooth val="1"/>
          <c:extLst>
            <c:ext xmlns:c16="http://schemas.microsoft.com/office/drawing/2014/chart" uri="{C3380CC4-5D6E-409C-BE32-E72D297353CC}">
              <c16:uniqueId val="{00000002-96D5-4F4C-BBD7-BF9889BABD60}"/>
            </c:ext>
          </c:extLst>
        </c:ser>
        <c:dLbls>
          <c:showLegendKey val="0"/>
          <c:showVal val="0"/>
          <c:showCatName val="0"/>
          <c:showSerName val="0"/>
          <c:showPercent val="0"/>
          <c:showBubbleSize val="0"/>
        </c:dLbls>
        <c:axId val="132214784"/>
        <c:axId val="132237184"/>
      </c:scatterChart>
      <c:valAx>
        <c:axId val="132214784"/>
        <c:scaling>
          <c:orientation val="minMax"/>
          <c:max val="2010"/>
          <c:min val="197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2237184"/>
        <c:crossesAt val="-100"/>
        <c:crossBetween val="midCat"/>
        <c:majorUnit val="20"/>
        <c:minorUnit val="10"/>
      </c:valAx>
      <c:valAx>
        <c:axId val="132237184"/>
        <c:scaling>
          <c:orientation val="minMax"/>
          <c:max val="5"/>
          <c:min val="-5"/>
        </c:scaling>
        <c:delete val="0"/>
        <c:axPos val="r"/>
        <c:title>
          <c:tx>
            <c:rich>
              <a:bodyPr rot="-5400000" vert="horz"/>
              <a:lstStyle/>
              <a:p>
                <a:pPr>
                  <a:defRPr sz="1200" b="0">
                    <a:solidFill>
                      <a:srgbClr val="333399"/>
                    </a:solidFill>
                  </a:defRPr>
                </a:pPr>
                <a:r>
                  <a:rPr lang="en-US" sz="1200" b="0">
                    <a:solidFill>
                      <a:srgbClr val="333399"/>
                    </a:solidFill>
                  </a:rPr>
                  <a:t>Residual, months</a:t>
                </a:r>
              </a:p>
            </c:rich>
          </c:tx>
          <c:layout>
            <c:manualLayout>
              <c:xMode val="edge"/>
              <c:yMode val="edge"/>
              <c:x val="0.96240681576144838"/>
              <c:y val="0.27488772236803732"/>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2214784"/>
        <c:crosses val="max"/>
        <c:crossBetween val="midCat"/>
        <c:majorUnit val="5"/>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7180330893143154"/>
          <c:h val="0.77264654418197765"/>
        </c:manualLayout>
      </c:layout>
      <c:scatterChart>
        <c:scatterStyle val="smoothMarker"/>
        <c:varyColors val="0"/>
        <c:ser>
          <c:idx val="3"/>
          <c:order val="0"/>
          <c:tx>
            <c:v>Current long-term fit</c:v>
          </c:tx>
          <c:spPr>
            <a:ln w="15875">
              <a:solidFill>
                <a:srgbClr val="808080"/>
              </a:solidFill>
              <a:prstDash val="solid"/>
            </a:ln>
          </c:spPr>
          <c:marker>
            <c:symbol val="none"/>
          </c:marker>
          <c:xVal>
            <c:numLit>
              <c:formatCode>General</c:formatCode>
              <c:ptCount val="2"/>
              <c:pt idx="0">
                <c:v>1995</c:v>
              </c:pt>
              <c:pt idx="1">
                <c:v>2009</c:v>
              </c:pt>
            </c:numLit>
          </c:xVal>
          <c:yVal>
            <c:numRef>
              <c:f>(Australia!$F$1,Australia!$F$1)</c:f>
              <c:numCache>
                <c:formatCode>0.0</c:formatCode>
                <c:ptCount val="2"/>
                <c:pt idx="0">
                  <c:v>49.986283305111655</c:v>
                </c:pt>
                <c:pt idx="1">
                  <c:v>49.986283305111655</c:v>
                </c:pt>
              </c:numCache>
            </c:numRef>
          </c:yVal>
          <c:smooth val="1"/>
          <c:extLst>
            <c:ext xmlns:c16="http://schemas.microsoft.com/office/drawing/2014/chart" uri="{C3380CC4-5D6E-409C-BE32-E72D297353CC}">
              <c16:uniqueId val="{00000000-ACBD-AC4C-A756-6513D606A540}"/>
            </c:ext>
          </c:extLst>
        </c:ser>
        <c:ser>
          <c:idx val="0"/>
          <c:order val="1"/>
          <c:tx>
            <c:strRef>
              <c:f>Australia!$F$7</c:f>
              <c:strCache>
                <c:ptCount val="1"/>
                <c:pt idx="0">
                  <c:v>q Gt</c:v>
                </c:pt>
              </c:strCache>
            </c:strRef>
          </c:tx>
          <c:spPr>
            <a:ln w="15875">
              <a:solidFill>
                <a:srgbClr val="008000"/>
              </a:solidFill>
            </a:ln>
          </c:spPr>
          <c:marker>
            <c:symbol val="none"/>
          </c:marker>
          <c:xVal>
            <c:numRef>
              <c:f>Australia!$D$57:$D$334</c:f>
              <c:numCache>
                <c:formatCode>General</c:formatCode>
                <c:ptCount val="278"/>
                <c:pt idx="0">
                  <c:v>1877</c:v>
                </c:pt>
                <c:pt idx="1">
                  <c:v>1878</c:v>
                </c:pt>
                <c:pt idx="2">
                  <c:v>1879</c:v>
                </c:pt>
                <c:pt idx="3">
                  <c:v>1880</c:v>
                </c:pt>
                <c:pt idx="4">
                  <c:v>1881</c:v>
                </c:pt>
                <c:pt idx="5">
                  <c:v>1882</c:v>
                </c:pt>
                <c:pt idx="6">
                  <c:v>1883</c:v>
                </c:pt>
                <c:pt idx="7">
                  <c:v>1884</c:v>
                </c:pt>
                <c:pt idx="8">
                  <c:v>1885</c:v>
                </c:pt>
                <c:pt idx="9">
                  <c:v>1886</c:v>
                </c:pt>
                <c:pt idx="10">
                  <c:v>1887</c:v>
                </c:pt>
                <c:pt idx="11">
                  <c:v>1888</c:v>
                </c:pt>
                <c:pt idx="12">
                  <c:v>1889</c:v>
                </c:pt>
                <c:pt idx="13">
                  <c:v>1890</c:v>
                </c:pt>
                <c:pt idx="14">
                  <c:v>1891</c:v>
                </c:pt>
                <c:pt idx="15">
                  <c:v>1892</c:v>
                </c:pt>
                <c:pt idx="16">
                  <c:v>1893</c:v>
                </c:pt>
                <c:pt idx="17">
                  <c:v>1894</c:v>
                </c:pt>
                <c:pt idx="18">
                  <c:v>1895</c:v>
                </c:pt>
                <c:pt idx="19">
                  <c:v>1896</c:v>
                </c:pt>
                <c:pt idx="20">
                  <c:v>1897</c:v>
                </c:pt>
                <c:pt idx="21">
                  <c:v>1898</c:v>
                </c:pt>
                <c:pt idx="22">
                  <c:v>1899</c:v>
                </c:pt>
                <c:pt idx="23">
                  <c:v>1900</c:v>
                </c:pt>
                <c:pt idx="24">
                  <c:v>1901</c:v>
                </c:pt>
                <c:pt idx="25">
                  <c:v>1902</c:v>
                </c:pt>
                <c:pt idx="26">
                  <c:v>1903</c:v>
                </c:pt>
                <c:pt idx="27">
                  <c:v>1904</c:v>
                </c:pt>
                <c:pt idx="28">
                  <c:v>1905</c:v>
                </c:pt>
                <c:pt idx="29">
                  <c:v>1906</c:v>
                </c:pt>
                <c:pt idx="30">
                  <c:v>1907</c:v>
                </c:pt>
                <c:pt idx="31">
                  <c:v>1908</c:v>
                </c:pt>
                <c:pt idx="32">
                  <c:v>1909</c:v>
                </c:pt>
                <c:pt idx="33">
                  <c:v>1910</c:v>
                </c:pt>
                <c:pt idx="34">
                  <c:v>1911</c:v>
                </c:pt>
                <c:pt idx="35">
                  <c:v>1912</c:v>
                </c:pt>
                <c:pt idx="36">
                  <c:v>1913</c:v>
                </c:pt>
                <c:pt idx="37">
                  <c:v>1914</c:v>
                </c:pt>
                <c:pt idx="38">
                  <c:v>1915</c:v>
                </c:pt>
                <c:pt idx="39">
                  <c:v>1916</c:v>
                </c:pt>
                <c:pt idx="40">
                  <c:v>1917</c:v>
                </c:pt>
                <c:pt idx="41">
                  <c:v>1918</c:v>
                </c:pt>
                <c:pt idx="42">
                  <c:v>1919</c:v>
                </c:pt>
                <c:pt idx="43">
                  <c:v>1920</c:v>
                </c:pt>
                <c:pt idx="44">
                  <c:v>1921</c:v>
                </c:pt>
                <c:pt idx="45">
                  <c:v>1922</c:v>
                </c:pt>
                <c:pt idx="46">
                  <c:v>1923</c:v>
                </c:pt>
                <c:pt idx="47">
                  <c:v>1924</c:v>
                </c:pt>
                <c:pt idx="48">
                  <c:v>1925</c:v>
                </c:pt>
                <c:pt idx="49">
                  <c:v>1926</c:v>
                </c:pt>
                <c:pt idx="50">
                  <c:v>1927</c:v>
                </c:pt>
                <c:pt idx="51">
                  <c:v>1928</c:v>
                </c:pt>
                <c:pt idx="52">
                  <c:v>1929</c:v>
                </c:pt>
                <c:pt idx="53">
                  <c:v>1930</c:v>
                </c:pt>
                <c:pt idx="54">
                  <c:v>1931</c:v>
                </c:pt>
                <c:pt idx="55">
                  <c:v>1932</c:v>
                </c:pt>
                <c:pt idx="56">
                  <c:v>1933</c:v>
                </c:pt>
                <c:pt idx="57">
                  <c:v>1934</c:v>
                </c:pt>
                <c:pt idx="58">
                  <c:v>1935</c:v>
                </c:pt>
                <c:pt idx="59">
                  <c:v>1936</c:v>
                </c:pt>
                <c:pt idx="60">
                  <c:v>1937</c:v>
                </c:pt>
                <c:pt idx="61">
                  <c:v>1938</c:v>
                </c:pt>
                <c:pt idx="62">
                  <c:v>1939</c:v>
                </c:pt>
                <c:pt idx="63">
                  <c:v>1940</c:v>
                </c:pt>
                <c:pt idx="64">
                  <c:v>1941</c:v>
                </c:pt>
                <c:pt idx="65">
                  <c:v>1942</c:v>
                </c:pt>
                <c:pt idx="66">
                  <c:v>1943</c:v>
                </c:pt>
                <c:pt idx="67">
                  <c:v>1944</c:v>
                </c:pt>
                <c:pt idx="68">
                  <c:v>1945</c:v>
                </c:pt>
                <c:pt idx="69">
                  <c:v>1946</c:v>
                </c:pt>
                <c:pt idx="70">
                  <c:v>1947</c:v>
                </c:pt>
                <c:pt idx="71">
                  <c:v>1948</c:v>
                </c:pt>
                <c:pt idx="72">
                  <c:v>1949</c:v>
                </c:pt>
                <c:pt idx="73">
                  <c:v>1950</c:v>
                </c:pt>
                <c:pt idx="74">
                  <c:v>1951</c:v>
                </c:pt>
                <c:pt idx="75">
                  <c:v>1952</c:v>
                </c:pt>
                <c:pt idx="76">
                  <c:v>1953</c:v>
                </c:pt>
                <c:pt idx="77">
                  <c:v>1954</c:v>
                </c:pt>
                <c:pt idx="78">
                  <c:v>1955</c:v>
                </c:pt>
                <c:pt idx="79">
                  <c:v>1956</c:v>
                </c:pt>
                <c:pt idx="80">
                  <c:v>1957</c:v>
                </c:pt>
                <c:pt idx="81">
                  <c:v>1958</c:v>
                </c:pt>
                <c:pt idx="82">
                  <c:v>1959</c:v>
                </c:pt>
                <c:pt idx="83">
                  <c:v>1960</c:v>
                </c:pt>
                <c:pt idx="84">
                  <c:v>1961</c:v>
                </c:pt>
                <c:pt idx="85">
                  <c:v>1962</c:v>
                </c:pt>
                <c:pt idx="86">
                  <c:v>1963</c:v>
                </c:pt>
                <c:pt idx="87">
                  <c:v>1964</c:v>
                </c:pt>
                <c:pt idx="88">
                  <c:v>1965</c:v>
                </c:pt>
                <c:pt idx="89">
                  <c:v>1966</c:v>
                </c:pt>
                <c:pt idx="90">
                  <c:v>1967</c:v>
                </c:pt>
                <c:pt idx="91">
                  <c:v>1968</c:v>
                </c:pt>
                <c:pt idx="92">
                  <c:v>1969</c:v>
                </c:pt>
                <c:pt idx="93">
                  <c:v>1970</c:v>
                </c:pt>
                <c:pt idx="94">
                  <c:v>1971</c:v>
                </c:pt>
                <c:pt idx="95">
                  <c:v>1972</c:v>
                </c:pt>
                <c:pt idx="96">
                  <c:v>1973</c:v>
                </c:pt>
                <c:pt idx="97">
                  <c:v>1974</c:v>
                </c:pt>
                <c:pt idx="98">
                  <c:v>1975</c:v>
                </c:pt>
                <c:pt idx="99">
                  <c:v>1976</c:v>
                </c:pt>
                <c:pt idx="100">
                  <c:v>1977</c:v>
                </c:pt>
                <c:pt idx="101">
                  <c:v>1978</c:v>
                </c:pt>
                <c:pt idx="102">
                  <c:v>1979</c:v>
                </c:pt>
                <c:pt idx="103">
                  <c:v>1980</c:v>
                </c:pt>
                <c:pt idx="104">
                  <c:v>1981</c:v>
                </c:pt>
                <c:pt idx="105">
                  <c:v>1982</c:v>
                </c:pt>
                <c:pt idx="106">
                  <c:v>1983</c:v>
                </c:pt>
                <c:pt idx="107">
                  <c:v>1984</c:v>
                </c:pt>
                <c:pt idx="108">
                  <c:v>1985</c:v>
                </c:pt>
                <c:pt idx="109">
                  <c:v>1986</c:v>
                </c:pt>
                <c:pt idx="110">
                  <c:v>1987</c:v>
                </c:pt>
                <c:pt idx="111">
                  <c:v>1988</c:v>
                </c:pt>
                <c:pt idx="112">
                  <c:v>1989</c:v>
                </c:pt>
                <c:pt idx="113">
                  <c:v>1990</c:v>
                </c:pt>
                <c:pt idx="114">
                  <c:v>1991</c:v>
                </c:pt>
                <c:pt idx="115">
                  <c:v>1992</c:v>
                </c:pt>
                <c:pt idx="116">
                  <c:v>1993</c:v>
                </c:pt>
                <c:pt idx="117">
                  <c:v>1994</c:v>
                </c:pt>
                <c:pt idx="118">
                  <c:v>1995</c:v>
                </c:pt>
                <c:pt idx="119">
                  <c:v>1996</c:v>
                </c:pt>
                <c:pt idx="120">
                  <c:v>1997</c:v>
                </c:pt>
                <c:pt idx="121">
                  <c:v>1998</c:v>
                </c:pt>
                <c:pt idx="122">
                  <c:v>1999</c:v>
                </c:pt>
                <c:pt idx="123">
                  <c:v>2000</c:v>
                </c:pt>
                <c:pt idx="124">
                  <c:v>2001</c:v>
                </c:pt>
                <c:pt idx="125">
                  <c:v>2002</c:v>
                </c:pt>
                <c:pt idx="126">
                  <c:v>2003</c:v>
                </c:pt>
                <c:pt idx="127">
                  <c:v>2004</c:v>
                </c:pt>
                <c:pt idx="128">
                  <c:v>2005</c:v>
                </c:pt>
                <c:pt idx="129">
                  <c:v>2006</c:v>
                </c:pt>
                <c:pt idx="130">
                  <c:v>2007</c:v>
                </c:pt>
                <c:pt idx="131">
                  <c:v>2008</c:v>
                </c:pt>
                <c:pt idx="132">
                  <c:v>2009</c:v>
                </c:pt>
                <c:pt idx="133">
                  <c:v>2010</c:v>
                </c:pt>
                <c:pt idx="134">
                  <c:v>2011</c:v>
                </c:pt>
                <c:pt idx="135">
                  <c:v>2012</c:v>
                </c:pt>
                <c:pt idx="136">
                  <c:v>2013</c:v>
                </c:pt>
                <c:pt idx="137">
                  <c:v>2014</c:v>
                </c:pt>
                <c:pt idx="138">
                  <c:v>2015</c:v>
                </c:pt>
                <c:pt idx="139">
                  <c:v>2016</c:v>
                </c:pt>
                <c:pt idx="140">
                  <c:v>2017</c:v>
                </c:pt>
                <c:pt idx="141">
                  <c:v>2018</c:v>
                </c:pt>
                <c:pt idx="142">
                  <c:v>2019</c:v>
                </c:pt>
                <c:pt idx="143">
                  <c:v>2020</c:v>
                </c:pt>
                <c:pt idx="144">
                  <c:v>2021</c:v>
                </c:pt>
                <c:pt idx="145">
                  <c:v>2022</c:v>
                </c:pt>
                <c:pt idx="146">
                  <c:v>2023</c:v>
                </c:pt>
                <c:pt idx="147">
                  <c:v>2024</c:v>
                </c:pt>
                <c:pt idx="148">
                  <c:v>2025</c:v>
                </c:pt>
                <c:pt idx="149">
                  <c:v>2026</c:v>
                </c:pt>
                <c:pt idx="150">
                  <c:v>2027</c:v>
                </c:pt>
                <c:pt idx="151">
                  <c:v>2028</c:v>
                </c:pt>
                <c:pt idx="152">
                  <c:v>2029</c:v>
                </c:pt>
                <c:pt idx="153">
                  <c:v>2030</c:v>
                </c:pt>
                <c:pt idx="154">
                  <c:v>2031</c:v>
                </c:pt>
                <c:pt idx="155">
                  <c:v>2032</c:v>
                </c:pt>
                <c:pt idx="156">
                  <c:v>2033</c:v>
                </c:pt>
                <c:pt idx="157">
                  <c:v>2034</c:v>
                </c:pt>
                <c:pt idx="158">
                  <c:v>2035</c:v>
                </c:pt>
                <c:pt idx="159">
                  <c:v>2036</c:v>
                </c:pt>
                <c:pt idx="160">
                  <c:v>2037</c:v>
                </c:pt>
                <c:pt idx="161">
                  <c:v>2038</c:v>
                </c:pt>
                <c:pt idx="162">
                  <c:v>2039</c:v>
                </c:pt>
                <c:pt idx="163">
                  <c:v>2040</c:v>
                </c:pt>
                <c:pt idx="164">
                  <c:v>2041</c:v>
                </c:pt>
                <c:pt idx="165">
                  <c:v>2042</c:v>
                </c:pt>
                <c:pt idx="166">
                  <c:v>2043</c:v>
                </c:pt>
                <c:pt idx="167">
                  <c:v>2044</c:v>
                </c:pt>
                <c:pt idx="168">
                  <c:v>2045</c:v>
                </c:pt>
                <c:pt idx="169">
                  <c:v>2046</c:v>
                </c:pt>
                <c:pt idx="170">
                  <c:v>2047</c:v>
                </c:pt>
                <c:pt idx="171">
                  <c:v>2048</c:v>
                </c:pt>
                <c:pt idx="172">
                  <c:v>2049</c:v>
                </c:pt>
                <c:pt idx="173">
                  <c:v>2050</c:v>
                </c:pt>
                <c:pt idx="174">
                  <c:v>2051</c:v>
                </c:pt>
                <c:pt idx="175">
                  <c:v>2052</c:v>
                </c:pt>
                <c:pt idx="176">
                  <c:v>2053</c:v>
                </c:pt>
                <c:pt idx="177">
                  <c:v>2054</c:v>
                </c:pt>
                <c:pt idx="178">
                  <c:v>2055</c:v>
                </c:pt>
                <c:pt idx="179">
                  <c:v>2056</c:v>
                </c:pt>
                <c:pt idx="180">
                  <c:v>2057</c:v>
                </c:pt>
                <c:pt idx="181">
                  <c:v>2058</c:v>
                </c:pt>
                <c:pt idx="182">
                  <c:v>2059</c:v>
                </c:pt>
                <c:pt idx="183">
                  <c:v>2060</c:v>
                </c:pt>
                <c:pt idx="184">
                  <c:v>2061</c:v>
                </c:pt>
                <c:pt idx="185">
                  <c:v>2062</c:v>
                </c:pt>
                <c:pt idx="186">
                  <c:v>2063</c:v>
                </c:pt>
                <c:pt idx="187">
                  <c:v>2064</c:v>
                </c:pt>
                <c:pt idx="188">
                  <c:v>2065</c:v>
                </c:pt>
                <c:pt idx="189">
                  <c:v>2066</c:v>
                </c:pt>
                <c:pt idx="190">
                  <c:v>2067</c:v>
                </c:pt>
                <c:pt idx="191">
                  <c:v>2068</c:v>
                </c:pt>
                <c:pt idx="192">
                  <c:v>2069</c:v>
                </c:pt>
                <c:pt idx="193">
                  <c:v>2070</c:v>
                </c:pt>
                <c:pt idx="194">
                  <c:v>2071</c:v>
                </c:pt>
                <c:pt idx="195">
                  <c:v>2072</c:v>
                </c:pt>
                <c:pt idx="196">
                  <c:v>2073</c:v>
                </c:pt>
                <c:pt idx="197">
                  <c:v>2074</c:v>
                </c:pt>
                <c:pt idx="198">
                  <c:v>2075</c:v>
                </c:pt>
                <c:pt idx="199">
                  <c:v>2076</c:v>
                </c:pt>
                <c:pt idx="200">
                  <c:v>2077</c:v>
                </c:pt>
                <c:pt idx="201">
                  <c:v>2078</c:v>
                </c:pt>
                <c:pt idx="202">
                  <c:v>2079</c:v>
                </c:pt>
                <c:pt idx="203">
                  <c:v>2080</c:v>
                </c:pt>
                <c:pt idx="204">
                  <c:v>2081</c:v>
                </c:pt>
                <c:pt idx="205">
                  <c:v>2082</c:v>
                </c:pt>
                <c:pt idx="206">
                  <c:v>2083</c:v>
                </c:pt>
                <c:pt idx="207">
                  <c:v>2084</c:v>
                </c:pt>
                <c:pt idx="208">
                  <c:v>2085</c:v>
                </c:pt>
                <c:pt idx="209">
                  <c:v>2086</c:v>
                </c:pt>
                <c:pt idx="210">
                  <c:v>2087</c:v>
                </c:pt>
                <c:pt idx="211">
                  <c:v>2088</c:v>
                </c:pt>
                <c:pt idx="212">
                  <c:v>2089</c:v>
                </c:pt>
                <c:pt idx="213">
                  <c:v>2090</c:v>
                </c:pt>
                <c:pt idx="214">
                  <c:v>2091</c:v>
                </c:pt>
                <c:pt idx="215">
                  <c:v>2092</c:v>
                </c:pt>
                <c:pt idx="216">
                  <c:v>2093</c:v>
                </c:pt>
                <c:pt idx="217">
                  <c:v>2094</c:v>
                </c:pt>
                <c:pt idx="218">
                  <c:v>2095</c:v>
                </c:pt>
                <c:pt idx="219">
                  <c:v>2096</c:v>
                </c:pt>
                <c:pt idx="220">
                  <c:v>2097</c:v>
                </c:pt>
                <c:pt idx="221">
                  <c:v>2098</c:v>
                </c:pt>
                <c:pt idx="222">
                  <c:v>2099</c:v>
                </c:pt>
                <c:pt idx="223">
                  <c:v>2100</c:v>
                </c:pt>
                <c:pt idx="224">
                  <c:v>2101</c:v>
                </c:pt>
                <c:pt idx="225">
                  <c:v>2102</c:v>
                </c:pt>
                <c:pt idx="226">
                  <c:v>2103</c:v>
                </c:pt>
                <c:pt idx="227">
                  <c:v>2104</c:v>
                </c:pt>
                <c:pt idx="228">
                  <c:v>2105</c:v>
                </c:pt>
                <c:pt idx="229">
                  <c:v>2106</c:v>
                </c:pt>
                <c:pt idx="230">
                  <c:v>2107</c:v>
                </c:pt>
                <c:pt idx="231">
                  <c:v>2108</c:v>
                </c:pt>
                <c:pt idx="232">
                  <c:v>2109</c:v>
                </c:pt>
                <c:pt idx="233">
                  <c:v>2110</c:v>
                </c:pt>
                <c:pt idx="234">
                  <c:v>2111</c:v>
                </c:pt>
                <c:pt idx="235">
                  <c:v>2112</c:v>
                </c:pt>
                <c:pt idx="236">
                  <c:v>2113</c:v>
                </c:pt>
                <c:pt idx="237">
                  <c:v>2114</c:v>
                </c:pt>
                <c:pt idx="238">
                  <c:v>2115</c:v>
                </c:pt>
                <c:pt idx="239">
                  <c:v>2116</c:v>
                </c:pt>
                <c:pt idx="240">
                  <c:v>2117</c:v>
                </c:pt>
                <c:pt idx="241">
                  <c:v>2118</c:v>
                </c:pt>
                <c:pt idx="242">
                  <c:v>2119</c:v>
                </c:pt>
                <c:pt idx="243">
                  <c:v>2120</c:v>
                </c:pt>
                <c:pt idx="244">
                  <c:v>2121</c:v>
                </c:pt>
                <c:pt idx="245">
                  <c:v>2122</c:v>
                </c:pt>
                <c:pt idx="246">
                  <c:v>2123</c:v>
                </c:pt>
                <c:pt idx="247">
                  <c:v>2124</c:v>
                </c:pt>
                <c:pt idx="248">
                  <c:v>2125</c:v>
                </c:pt>
                <c:pt idx="249">
                  <c:v>2126</c:v>
                </c:pt>
                <c:pt idx="250">
                  <c:v>2127</c:v>
                </c:pt>
                <c:pt idx="251">
                  <c:v>2128</c:v>
                </c:pt>
                <c:pt idx="252">
                  <c:v>2129</c:v>
                </c:pt>
                <c:pt idx="253">
                  <c:v>2130</c:v>
                </c:pt>
                <c:pt idx="254">
                  <c:v>2131</c:v>
                </c:pt>
                <c:pt idx="255">
                  <c:v>2132</c:v>
                </c:pt>
                <c:pt idx="256">
                  <c:v>2133</c:v>
                </c:pt>
                <c:pt idx="257">
                  <c:v>2134</c:v>
                </c:pt>
                <c:pt idx="258">
                  <c:v>2135</c:v>
                </c:pt>
                <c:pt idx="259">
                  <c:v>2136</c:v>
                </c:pt>
                <c:pt idx="260">
                  <c:v>2137</c:v>
                </c:pt>
                <c:pt idx="261">
                  <c:v>2138</c:v>
                </c:pt>
                <c:pt idx="262">
                  <c:v>2139</c:v>
                </c:pt>
                <c:pt idx="263">
                  <c:v>2140</c:v>
                </c:pt>
                <c:pt idx="264">
                  <c:v>2141</c:v>
                </c:pt>
                <c:pt idx="265">
                  <c:v>2142</c:v>
                </c:pt>
                <c:pt idx="266">
                  <c:v>2143</c:v>
                </c:pt>
                <c:pt idx="267">
                  <c:v>2144</c:v>
                </c:pt>
                <c:pt idx="268">
                  <c:v>2145</c:v>
                </c:pt>
                <c:pt idx="269">
                  <c:v>2146</c:v>
                </c:pt>
                <c:pt idx="270">
                  <c:v>2147</c:v>
                </c:pt>
                <c:pt idx="271">
                  <c:v>2148</c:v>
                </c:pt>
                <c:pt idx="272">
                  <c:v>2149</c:v>
                </c:pt>
                <c:pt idx="273">
                  <c:v>2150</c:v>
                </c:pt>
              </c:numCache>
            </c:numRef>
          </c:xVal>
          <c:yVal>
            <c:numRef>
              <c:f>Australia!$F$57:$F$334</c:f>
              <c:numCache>
                <c:formatCode>#,##0.0</c:formatCode>
                <c:ptCount val="278"/>
                <c:pt idx="0">
                  <c:v>1.8293740710059292E-2</c:v>
                </c:pt>
                <c:pt idx="1">
                  <c:v>2.0112943315151361E-2</c:v>
                </c:pt>
                <c:pt idx="2">
                  <c:v>2.2012627460166991E-2</c:v>
                </c:pt>
                <c:pt idx="3">
                  <c:v>2.3878736799224132E-2</c:v>
                </c:pt>
                <c:pt idx="4">
                  <c:v>2.6097736799224131E-2</c:v>
                </c:pt>
                <c:pt idx="5">
                  <c:v>2.8709736799224131E-2</c:v>
                </c:pt>
                <c:pt idx="6">
                  <c:v>3.181673679922413E-2</c:v>
                </c:pt>
                <c:pt idx="7">
                  <c:v>3.5231736799224131E-2</c:v>
                </c:pt>
                <c:pt idx="8">
                  <c:v>3.8896736799224133E-2</c:v>
                </c:pt>
                <c:pt idx="9">
                  <c:v>4.2558736799224131E-2</c:v>
                </c:pt>
                <c:pt idx="10">
                  <c:v>4.6369736799224133E-2</c:v>
                </c:pt>
                <c:pt idx="11">
                  <c:v>5.0615736799224133E-2</c:v>
                </c:pt>
                <c:pt idx="12">
                  <c:v>5.5248736799224131E-2</c:v>
                </c:pt>
                <c:pt idx="13">
                  <c:v>5.9426736799224132E-2</c:v>
                </c:pt>
                <c:pt idx="14">
                  <c:v>6.4558736799224137E-2</c:v>
                </c:pt>
                <c:pt idx="15">
                  <c:v>6.9420736799224142E-2</c:v>
                </c:pt>
                <c:pt idx="16">
                  <c:v>7.3851736799224146E-2</c:v>
                </c:pt>
                <c:pt idx="17">
                  <c:v>7.8797736799224152E-2</c:v>
                </c:pt>
                <c:pt idx="18">
                  <c:v>8.3894736799224157E-2</c:v>
                </c:pt>
                <c:pt idx="19">
                  <c:v>8.9328736799224151E-2</c:v>
                </c:pt>
                <c:pt idx="20">
                  <c:v>9.5288736799224144E-2</c:v>
                </c:pt>
                <c:pt idx="21">
                  <c:v>0.10170873679922414</c:v>
                </c:pt>
                <c:pt idx="22">
                  <c:v>0.10823773679922413</c:v>
                </c:pt>
                <c:pt idx="23">
                  <c:v>0.11583673679922413</c:v>
                </c:pt>
                <c:pt idx="24">
                  <c:v>0.12403173679922413</c:v>
                </c:pt>
                <c:pt idx="25">
                  <c:v>0.13238473679922413</c:v>
                </c:pt>
                <c:pt idx="26">
                  <c:v>0.14105673679922415</c:v>
                </c:pt>
                <c:pt idx="27">
                  <c:v>0.14958173679922415</c:v>
                </c:pt>
                <c:pt idx="28">
                  <c:v>0.15881373679922414</c:v>
                </c:pt>
                <c:pt idx="29">
                  <c:v>0.16930473679922414</c:v>
                </c:pt>
                <c:pt idx="30">
                  <c:v>0.18101373679922414</c:v>
                </c:pt>
                <c:pt idx="31">
                  <c:v>0.19326173679922415</c:v>
                </c:pt>
                <c:pt idx="32">
                  <c:v>0.20352073679922414</c:v>
                </c:pt>
                <c:pt idx="33">
                  <c:v>0.21566873679922413</c:v>
                </c:pt>
                <c:pt idx="34">
                  <c:v>0.22848773679922413</c:v>
                </c:pt>
                <c:pt idx="35">
                  <c:v>0.24261773679922413</c:v>
                </c:pt>
                <c:pt idx="36">
                  <c:v>0.25715273679922412</c:v>
                </c:pt>
                <c:pt idx="37">
                  <c:v>0.27210773679922412</c:v>
                </c:pt>
                <c:pt idx="38">
                  <c:v>0.28594973679922414</c:v>
                </c:pt>
                <c:pt idx="39">
                  <c:v>0.29821173679922414</c:v>
                </c:pt>
                <c:pt idx="40">
                  <c:v>0.31071373679922415</c:v>
                </c:pt>
                <c:pt idx="41">
                  <c:v>0.32385273679922416</c:v>
                </c:pt>
                <c:pt idx="42">
                  <c:v>0.33636373679922416</c:v>
                </c:pt>
                <c:pt idx="43">
                  <c:v>0.35141273679922413</c:v>
                </c:pt>
                <c:pt idx="44">
                  <c:v>0.36633473679922413</c:v>
                </c:pt>
                <c:pt idx="45">
                  <c:v>0.38071873679922413</c:v>
                </c:pt>
                <c:pt idx="46">
                  <c:v>0.39555773679922412</c:v>
                </c:pt>
                <c:pt idx="47">
                  <c:v>0.41178173679922414</c:v>
                </c:pt>
                <c:pt idx="48">
                  <c:v>0.42866573679922415</c:v>
                </c:pt>
                <c:pt idx="49">
                  <c:v>0.44540073679922415</c:v>
                </c:pt>
                <c:pt idx="50">
                  <c:v>0.46302373679922415</c:v>
                </c:pt>
                <c:pt idx="51">
                  <c:v>0.47914473679922415</c:v>
                </c:pt>
                <c:pt idx="52">
                  <c:v>0.49402073679922415</c:v>
                </c:pt>
                <c:pt idx="53">
                  <c:v>0.50814873679922412</c:v>
                </c:pt>
                <c:pt idx="54">
                  <c:v>0.52110673679922415</c:v>
                </c:pt>
                <c:pt idx="55">
                  <c:v>0.5343557367992241</c:v>
                </c:pt>
                <c:pt idx="56">
                  <c:v>0.54806473679922407</c:v>
                </c:pt>
                <c:pt idx="57">
                  <c:v>0.56277473679922407</c:v>
                </c:pt>
                <c:pt idx="58">
                  <c:v>0.57824273679922411</c:v>
                </c:pt>
                <c:pt idx="59">
                  <c:v>0.59506373679922409</c:v>
                </c:pt>
                <c:pt idx="60">
                  <c:v>0.61309373679922408</c:v>
                </c:pt>
                <c:pt idx="61">
                  <c:v>0.63095273679922403</c:v>
                </c:pt>
                <c:pt idx="62">
                  <c:v>0.65079473679922406</c:v>
                </c:pt>
                <c:pt idx="63">
                  <c:v>0.66961173679922403</c:v>
                </c:pt>
                <c:pt idx="64">
                  <c:v>0.69137173679922403</c:v>
                </c:pt>
                <c:pt idx="65">
                  <c:v>0.71481673679922408</c:v>
                </c:pt>
                <c:pt idx="66">
                  <c:v>0.73718673679922408</c:v>
                </c:pt>
                <c:pt idx="67">
                  <c:v>0.75905173679922411</c:v>
                </c:pt>
                <c:pt idx="68">
                  <c:v>0.78045973679922409</c:v>
                </c:pt>
                <c:pt idx="69">
                  <c:v>0.80320173679922413</c:v>
                </c:pt>
                <c:pt idx="70">
                  <c:v>0.82730573679922415</c:v>
                </c:pt>
                <c:pt idx="71">
                  <c:v>0.85194573679922414</c:v>
                </c:pt>
                <c:pt idx="72">
                  <c:v>0.87647673679922411</c:v>
                </c:pt>
                <c:pt idx="73">
                  <c:v>0.90344373679922407</c:v>
                </c:pt>
                <c:pt idx="74">
                  <c:v>0.93177073679922406</c:v>
                </c:pt>
                <c:pt idx="75">
                  <c:v>0.96251373679922403</c:v>
                </c:pt>
                <c:pt idx="76">
                  <c:v>0.99216773679922399</c:v>
                </c:pt>
                <c:pt idx="77">
                  <c:v>1.0243647367992239</c:v>
                </c:pt>
                <c:pt idx="78">
                  <c:v>1.0568197367992238</c:v>
                </c:pt>
                <c:pt idx="79">
                  <c:v>1.0898017367992239</c:v>
                </c:pt>
                <c:pt idx="80">
                  <c:v>1.1236077367992239</c:v>
                </c:pt>
                <c:pt idx="81">
                  <c:v>1.1589717367992238</c:v>
                </c:pt>
                <c:pt idx="82">
                  <c:v>1.1956947367992239</c:v>
                </c:pt>
                <c:pt idx="83">
                  <c:v>1.2358647367992239</c:v>
                </c:pt>
                <c:pt idx="84">
                  <c:v>1.2785517367992238</c:v>
                </c:pt>
                <c:pt idx="85">
                  <c:v>1.3220557367992238</c:v>
                </c:pt>
                <c:pt idx="86">
                  <c:v>1.3674417367992238</c:v>
                </c:pt>
                <c:pt idx="87">
                  <c:v>1.4159537367992239</c:v>
                </c:pt>
                <c:pt idx="88">
                  <c:v>1.4697107367992239</c:v>
                </c:pt>
                <c:pt idx="89">
                  <c:v>1.5261297367992239</c:v>
                </c:pt>
                <c:pt idx="90">
                  <c:v>1.585100736799224</c:v>
                </c:pt>
                <c:pt idx="91">
                  <c:v>1.6508342367992239</c:v>
                </c:pt>
                <c:pt idx="92">
                  <c:v>1.7225872367992239</c:v>
                </c:pt>
                <c:pt idx="93">
                  <c:v>1.792295236799224</c:v>
                </c:pt>
                <c:pt idx="94">
                  <c:v>1.872687236799224</c:v>
                </c:pt>
                <c:pt idx="95">
                  <c:v>1.955387236799224</c:v>
                </c:pt>
                <c:pt idx="96">
                  <c:v>2.0425702367992238</c:v>
                </c:pt>
                <c:pt idx="97">
                  <c:v>2.1337262367992236</c:v>
                </c:pt>
                <c:pt idx="98">
                  <c:v>2.2279472367992237</c:v>
                </c:pt>
                <c:pt idx="99">
                  <c:v>2.3310842367992235</c:v>
                </c:pt>
                <c:pt idx="100">
                  <c:v>2.4338782367992233</c:v>
                </c:pt>
                <c:pt idx="101">
                  <c:v>2.5402312367992232</c:v>
                </c:pt>
                <c:pt idx="102">
                  <c:v>2.6475692367992232</c:v>
                </c:pt>
                <c:pt idx="103">
                  <c:v>2.7676872367992233</c:v>
                </c:pt>
                <c:pt idx="104">
                  <c:v>2.8968222367992231</c:v>
                </c:pt>
                <c:pt idx="105">
                  <c:v>3.0291997367992232</c:v>
                </c:pt>
                <c:pt idx="106">
                  <c:v>3.1653522367992233</c:v>
                </c:pt>
                <c:pt idx="107">
                  <c:v>3.3079507367992234</c:v>
                </c:pt>
                <c:pt idx="108">
                  <c:v>3.4769482367992235</c:v>
                </c:pt>
                <c:pt idx="109">
                  <c:v>3.6574977367992236</c:v>
                </c:pt>
                <c:pt idx="110">
                  <c:v>3.8474992367992238</c:v>
                </c:pt>
                <c:pt idx="111">
                  <c:v>4.0368132367992242</c:v>
                </c:pt>
                <c:pt idx="112">
                  <c:v>4.2412122367992247</c:v>
                </c:pt>
                <c:pt idx="113">
                  <c:v>4.4542097367992248</c:v>
                </c:pt>
                <c:pt idx="114">
                  <c:v>4.6753042367992252</c:v>
                </c:pt>
                <c:pt idx="115">
                  <c:v>4.9072497367992254</c:v>
                </c:pt>
                <c:pt idx="116">
                  <c:v>5.1384597367992253</c:v>
                </c:pt>
                <c:pt idx="117">
                  <c:v>5.3749812367992256</c:v>
                </c:pt>
                <c:pt idx="118">
                  <c:v>5.6238227367992257</c:v>
                </c:pt>
                <c:pt idx="119">
                  <c:v>5.8818967367992254</c:v>
                </c:pt>
                <c:pt idx="120">
                  <c:v>6.1641342367992253</c:v>
                </c:pt>
                <c:pt idx="121">
                  <c:v>6.4553937367992251</c:v>
                </c:pt>
                <c:pt idx="122">
                  <c:v>6.7608787367992251</c:v>
                </c:pt>
                <c:pt idx="123">
                  <c:v>7.076437236799225</c:v>
                </c:pt>
                <c:pt idx="124">
                  <c:v>7.4149627367992252</c:v>
                </c:pt>
                <c:pt idx="125">
                  <c:v>7.7602247367992252</c:v>
                </c:pt>
                <c:pt idx="126">
                  <c:v>8.1157897367992256</c:v>
                </c:pt>
                <c:pt idx="127">
                  <c:v>8.4852207367992261</c:v>
                </c:pt>
                <c:pt idx="128">
                  <c:v>8.8658423987992254</c:v>
                </c:pt>
                <c:pt idx="129">
                  <c:v>9.2538253097992254</c:v>
                </c:pt>
                <c:pt idx="130">
                  <c:v>9.6513502877992252</c:v>
                </c:pt>
                <c:pt idx="131">
                  <c:v>10.053848034799225</c:v>
                </c:pt>
                <c:pt idx="132">
                  <c:v>10.467640961799225</c:v>
                </c:pt>
              </c:numCache>
            </c:numRef>
          </c:yVal>
          <c:smooth val="1"/>
          <c:extLst>
            <c:ext xmlns:c16="http://schemas.microsoft.com/office/drawing/2014/chart" uri="{C3380CC4-5D6E-409C-BE32-E72D297353CC}">
              <c16:uniqueId val="{00000001-ACBD-AC4C-A756-6513D606A540}"/>
            </c:ext>
          </c:extLst>
        </c:ser>
        <c:ser>
          <c:idx val="1"/>
          <c:order val="2"/>
          <c:tx>
            <c:strRef>
              <c:f>Australia!$J$7</c:f>
              <c:strCache>
                <c:ptCount val="1"/>
                <c:pt idx="0">
                  <c:v>q l</c:v>
                </c:pt>
              </c:strCache>
            </c:strRef>
          </c:tx>
          <c:spPr>
            <a:ln w="15875">
              <a:solidFill>
                <a:srgbClr val="808080"/>
              </a:solidFill>
              <a:prstDash val="dash"/>
            </a:ln>
          </c:spPr>
          <c:marker>
            <c:symbol val="none"/>
          </c:marker>
          <c:xVal>
            <c:numRef>
              <c:f>Australia!$D$58:$D$248</c:f>
              <c:numCache>
                <c:formatCode>General</c:formatCode>
                <c:ptCount val="191"/>
                <c:pt idx="0">
                  <c:v>1878</c:v>
                </c:pt>
                <c:pt idx="1">
                  <c:v>1879</c:v>
                </c:pt>
                <c:pt idx="2">
                  <c:v>1880</c:v>
                </c:pt>
                <c:pt idx="3">
                  <c:v>1881</c:v>
                </c:pt>
                <c:pt idx="4">
                  <c:v>1882</c:v>
                </c:pt>
                <c:pt idx="5">
                  <c:v>1883</c:v>
                </c:pt>
                <c:pt idx="6">
                  <c:v>1884</c:v>
                </c:pt>
                <c:pt idx="7">
                  <c:v>1885</c:v>
                </c:pt>
                <c:pt idx="8">
                  <c:v>1886</c:v>
                </c:pt>
                <c:pt idx="9">
                  <c:v>1887</c:v>
                </c:pt>
                <c:pt idx="10">
                  <c:v>1888</c:v>
                </c:pt>
                <c:pt idx="11">
                  <c:v>1889</c:v>
                </c:pt>
                <c:pt idx="12">
                  <c:v>1890</c:v>
                </c:pt>
                <c:pt idx="13">
                  <c:v>1891</c:v>
                </c:pt>
                <c:pt idx="14">
                  <c:v>1892</c:v>
                </c:pt>
                <c:pt idx="15">
                  <c:v>1893</c:v>
                </c:pt>
                <c:pt idx="16">
                  <c:v>1894</c:v>
                </c:pt>
                <c:pt idx="17">
                  <c:v>1895</c:v>
                </c:pt>
                <c:pt idx="18">
                  <c:v>1896</c:v>
                </c:pt>
                <c:pt idx="19">
                  <c:v>1897</c:v>
                </c:pt>
                <c:pt idx="20">
                  <c:v>1898</c:v>
                </c:pt>
                <c:pt idx="21">
                  <c:v>1899</c:v>
                </c:pt>
                <c:pt idx="22">
                  <c:v>1900</c:v>
                </c:pt>
                <c:pt idx="23">
                  <c:v>1901</c:v>
                </c:pt>
                <c:pt idx="24">
                  <c:v>1902</c:v>
                </c:pt>
                <c:pt idx="25">
                  <c:v>1903</c:v>
                </c:pt>
                <c:pt idx="26">
                  <c:v>1904</c:v>
                </c:pt>
                <c:pt idx="27">
                  <c:v>1905</c:v>
                </c:pt>
                <c:pt idx="28">
                  <c:v>1906</c:v>
                </c:pt>
                <c:pt idx="29">
                  <c:v>1907</c:v>
                </c:pt>
                <c:pt idx="30">
                  <c:v>1908</c:v>
                </c:pt>
                <c:pt idx="31">
                  <c:v>1909</c:v>
                </c:pt>
                <c:pt idx="32">
                  <c:v>1910</c:v>
                </c:pt>
                <c:pt idx="33">
                  <c:v>1911</c:v>
                </c:pt>
                <c:pt idx="34">
                  <c:v>1912</c:v>
                </c:pt>
                <c:pt idx="35">
                  <c:v>1913</c:v>
                </c:pt>
                <c:pt idx="36">
                  <c:v>1914</c:v>
                </c:pt>
                <c:pt idx="37">
                  <c:v>1915</c:v>
                </c:pt>
                <c:pt idx="38">
                  <c:v>1916</c:v>
                </c:pt>
                <c:pt idx="39">
                  <c:v>1917</c:v>
                </c:pt>
                <c:pt idx="40">
                  <c:v>1918</c:v>
                </c:pt>
                <c:pt idx="41">
                  <c:v>1919</c:v>
                </c:pt>
                <c:pt idx="42">
                  <c:v>1920</c:v>
                </c:pt>
                <c:pt idx="43">
                  <c:v>1921</c:v>
                </c:pt>
                <c:pt idx="44">
                  <c:v>1922</c:v>
                </c:pt>
                <c:pt idx="45">
                  <c:v>1923</c:v>
                </c:pt>
                <c:pt idx="46">
                  <c:v>1924</c:v>
                </c:pt>
                <c:pt idx="47">
                  <c:v>1925</c:v>
                </c:pt>
                <c:pt idx="48">
                  <c:v>1926</c:v>
                </c:pt>
                <c:pt idx="49">
                  <c:v>1927</c:v>
                </c:pt>
                <c:pt idx="50">
                  <c:v>1928</c:v>
                </c:pt>
                <c:pt idx="51">
                  <c:v>1929</c:v>
                </c:pt>
                <c:pt idx="52">
                  <c:v>1930</c:v>
                </c:pt>
                <c:pt idx="53">
                  <c:v>1931</c:v>
                </c:pt>
                <c:pt idx="54">
                  <c:v>1932</c:v>
                </c:pt>
                <c:pt idx="55">
                  <c:v>1933</c:v>
                </c:pt>
                <c:pt idx="56">
                  <c:v>1934</c:v>
                </c:pt>
                <c:pt idx="57">
                  <c:v>1935</c:v>
                </c:pt>
                <c:pt idx="58">
                  <c:v>1936</c:v>
                </c:pt>
                <c:pt idx="59">
                  <c:v>1937</c:v>
                </c:pt>
                <c:pt idx="60">
                  <c:v>1938</c:v>
                </c:pt>
                <c:pt idx="61">
                  <c:v>1939</c:v>
                </c:pt>
                <c:pt idx="62">
                  <c:v>1940</c:v>
                </c:pt>
                <c:pt idx="63">
                  <c:v>1941</c:v>
                </c:pt>
                <c:pt idx="64">
                  <c:v>1942</c:v>
                </c:pt>
                <c:pt idx="65">
                  <c:v>1943</c:v>
                </c:pt>
                <c:pt idx="66">
                  <c:v>1944</c:v>
                </c:pt>
                <c:pt idx="67">
                  <c:v>1945</c:v>
                </c:pt>
                <c:pt idx="68">
                  <c:v>1946</c:v>
                </c:pt>
                <c:pt idx="69">
                  <c:v>1947</c:v>
                </c:pt>
                <c:pt idx="70">
                  <c:v>1948</c:v>
                </c:pt>
                <c:pt idx="71">
                  <c:v>1949</c:v>
                </c:pt>
                <c:pt idx="72">
                  <c:v>1950</c:v>
                </c:pt>
                <c:pt idx="73">
                  <c:v>1951</c:v>
                </c:pt>
                <c:pt idx="74">
                  <c:v>1952</c:v>
                </c:pt>
                <c:pt idx="75">
                  <c:v>1953</c:v>
                </c:pt>
                <c:pt idx="76">
                  <c:v>1954</c:v>
                </c:pt>
                <c:pt idx="77">
                  <c:v>1955</c:v>
                </c:pt>
                <c:pt idx="78">
                  <c:v>1956</c:v>
                </c:pt>
                <c:pt idx="79">
                  <c:v>1957</c:v>
                </c:pt>
                <c:pt idx="80">
                  <c:v>1958</c:v>
                </c:pt>
                <c:pt idx="81">
                  <c:v>1959</c:v>
                </c:pt>
                <c:pt idx="82">
                  <c:v>1960</c:v>
                </c:pt>
                <c:pt idx="83">
                  <c:v>1961</c:v>
                </c:pt>
                <c:pt idx="84">
                  <c:v>1962</c:v>
                </c:pt>
                <c:pt idx="85">
                  <c:v>1963</c:v>
                </c:pt>
                <c:pt idx="86">
                  <c:v>1964</c:v>
                </c:pt>
                <c:pt idx="87">
                  <c:v>1965</c:v>
                </c:pt>
                <c:pt idx="88">
                  <c:v>1966</c:v>
                </c:pt>
                <c:pt idx="89">
                  <c:v>1967</c:v>
                </c:pt>
                <c:pt idx="90">
                  <c:v>1968</c:v>
                </c:pt>
                <c:pt idx="91">
                  <c:v>1969</c:v>
                </c:pt>
                <c:pt idx="92">
                  <c:v>1970</c:v>
                </c:pt>
                <c:pt idx="93">
                  <c:v>1971</c:v>
                </c:pt>
                <c:pt idx="94">
                  <c:v>1972</c:v>
                </c:pt>
                <c:pt idx="95">
                  <c:v>1973</c:v>
                </c:pt>
                <c:pt idx="96">
                  <c:v>1974</c:v>
                </c:pt>
                <c:pt idx="97">
                  <c:v>1975</c:v>
                </c:pt>
                <c:pt idx="98">
                  <c:v>1976</c:v>
                </c:pt>
                <c:pt idx="99">
                  <c:v>1977</c:v>
                </c:pt>
                <c:pt idx="100">
                  <c:v>1978</c:v>
                </c:pt>
                <c:pt idx="101">
                  <c:v>1979</c:v>
                </c:pt>
                <c:pt idx="102">
                  <c:v>1980</c:v>
                </c:pt>
                <c:pt idx="103">
                  <c:v>1981</c:v>
                </c:pt>
                <c:pt idx="104">
                  <c:v>1982</c:v>
                </c:pt>
                <c:pt idx="105">
                  <c:v>1983</c:v>
                </c:pt>
                <c:pt idx="106">
                  <c:v>1984</c:v>
                </c:pt>
                <c:pt idx="107">
                  <c:v>1985</c:v>
                </c:pt>
                <c:pt idx="108">
                  <c:v>1986</c:v>
                </c:pt>
                <c:pt idx="109">
                  <c:v>1987</c:v>
                </c:pt>
                <c:pt idx="110">
                  <c:v>1988</c:v>
                </c:pt>
                <c:pt idx="111">
                  <c:v>1989</c:v>
                </c:pt>
                <c:pt idx="112">
                  <c:v>1990</c:v>
                </c:pt>
                <c:pt idx="113">
                  <c:v>1991</c:v>
                </c:pt>
                <c:pt idx="114">
                  <c:v>1992</c:v>
                </c:pt>
                <c:pt idx="115">
                  <c:v>1993</c:v>
                </c:pt>
                <c:pt idx="116">
                  <c:v>1994</c:v>
                </c:pt>
                <c:pt idx="117">
                  <c:v>1995</c:v>
                </c:pt>
                <c:pt idx="118">
                  <c:v>1996</c:v>
                </c:pt>
                <c:pt idx="119">
                  <c:v>1997</c:v>
                </c:pt>
                <c:pt idx="120">
                  <c:v>1998</c:v>
                </c:pt>
                <c:pt idx="121">
                  <c:v>1999</c:v>
                </c:pt>
                <c:pt idx="122">
                  <c:v>2000</c:v>
                </c:pt>
                <c:pt idx="123">
                  <c:v>2001</c:v>
                </c:pt>
                <c:pt idx="124">
                  <c:v>2002</c:v>
                </c:pt>
                <c:pt idx="125">
                  <c:v>2003</c:v>
                </c:pt>
                <c:pt idx="126">
                  <c:v>2004</c:v>
                </c:pt>
                <c:pt idx="127">
                  <c:v>2005</c:v>
                </c:pt>
                <c:pt idx="128">
                  <c:v>2006</c:v>
                </c:pt>
                <c:pt idx="129">
                  <c:v>2007</c:v>
                </c:pt>
                <c:pt idx="130">
                  <c:v>2008</c:v>
                </c:pt>
                <c:pt idx="131">
                  <c:v>2009</c:v>
                </c:pt>
                <c:pt idx="132">
                  <c:v>2010</c:v>
                </c:pt>
                <c:pt idx="133">
                  <c:v>2011</c:v>
                </c:pt>
                <c:pt idx="134">
                  <c:v>2012</c:v>
                </c:pt>
                <c:pt idx="135">
                  <c:v>2013</c:v>
                </c:pt>
                <c:pt idx="136">
                  <c:v>2014</c:v>
                </c:pt>
                <c:pt idx="137">
                  <c:v>2015</c:v>
                </c:pt>
                <c:pt idx="138">
                  <c:v>2016</c:v>
                </c:pt>
                <c:pt idx="139">
                  <c:v>2017</c:v>
                </c:pt>
                <c:pt idx="140">
                  <c:v>2018</c:v>
                </c:pt>
                <c:pt idx="141">
                  <c:v>2019</c:v>
                </c:pt>
                <c:pt idx="142">
                  <c:v>2020</c:v>
                </c:pt>
                <c:pt idx="143">
                  <c:v>2021</c:v>
                </c:pt>
                <c:pt idx="144">
                  <c:v>2022</c:v>
                </c:pt>
                <c:pt idx="145">
                  <c:v>2023</c:v>
                </c:pt>
                <c:pt idx="146">
                  <c:v>2024</c:v>
                </c:pt>
                <c:pt idx="147">
                  <c:v>2025</c:v>
                </c:pt>
                <c:pt idx="148">
                  <c:v>2026</c:v>
                </c:pt>
                <c:pt idx="149">
                  <c:v>2027</c:v>
                </c:pt>
                <c:pt idx="150">
                  <c:v>2028</c:v>
                </c:pt>
                <c:pt idx="151">
                  <c:v>2029</c:v>
                </c:pt>
                <c:pt idx="152">
                  <c:v>2030</c:v>
                </c:pt>
                <c:pt idx="153">
                  <c:v>2031</c:v>
                </c:pt>
                <c:pt idx="154">
                  <c:v>2032</c:v>
                </c:pt>
                <c:pt idx="155">
                  <c:v>2033</c:v>
                </c:pt>
                <c:pt idx="156">
                  <c:v>2034</c:v>
                </c:pt>
                <c:pt idx="157">
                  <c:v>2035</c:v>
                </c:pt>
                <c:pt idx="158">
                  <c:v>2036</c:v>
                </c:pt>
                <c:pt idx="159">
                  <c:v>2037</c:v>
                </c:pt>
                <c:pt idx="160">
                  <c:v>2038</c:v>
                </c:pt>
                <c:pt idx="161">
                  <c:v>2039</c:v>
                </c:pt>
                <c:pt idx="162">
                  <c:v>2040</c:v>
                </c:pt>
                <c:pt idx="163">
                  <c:v>2041</c:v>
                </c:pt>
                <c:pt idx="164">
                  <c:v>2042</c:v>
                </c:pt>
                <c:pt idx="165">
                  <c:v>2043</c:v>
                </c:pt>
                <c:pt idx="166">
                  <c:v>2044</c:v>
                </c:pt>
                <c:pt idx="167">
                  <c:v>2045</c:v>
                </c:pt>
                <c:pt idx="168">
                  <c:v>2046</c:v>
                </c:pt>
                <c:pt idx="169">
                  <c:v>2047</c:v>
                </c:pt>
                <c:pt idx="170">
                  <c:v>2048</c:v>
                </c:pt>
                <c:pt idx="171">
                  <c:v>2049</c:v>
                </c:pt>
                <c:pt idx="172">
                  <c:v>2050</c:v>
                </c:pt>
                <c:pt idx="173">
                  <c:v>2051</c:v>
                </c:pt>
                <c:pt idx="174">
                  <c:v>2052</c:v>
                </c:pt>
                <c:pt idx="175">
                  <c:v>2053</c:v>
                </c:pt>
                <c:pt idx="176">
                  <c:v>2054</c:v>
                </c:pt>
                <c:pt idx="177">
                  <c:v>2055</c:v>
                </c:pt>
                <c:pt idx="178">
                  <c:v>2056</c:v>
                </c:pt>
                <c:pt idx="179">
                  <c:v>2057</c:v>
                </c:pt>
                <c:pt idx="180">
                  <c:v>2058</c:v>
                </c:pt>
                <c:pt idx="181">
                  <c:v>2059</c:v>
                </c:pt>
                <c:pt idx="182">
                  <c:v>2060</c:v>
                </c:pt>
                <c:pt idx="183">
                  <c:v>2061</c:v>
                </c:pt>
                <c:pt idx="184">
                  <c:v>2062</c:v>
                </c:pt>
                <c:pt idx="185">
                  <c:v>2063</c:v>
                </c:pt>
                <c:pt idx="186">
                  <c:v>2064</c:v>
                </c:pt>
                <c:pt idx="187">
                  <c:v>2065</c:v>
                </c:pt>
                <c:pt idx="188">
                  <c:v>2066</c:v>
                </c:pt>
                <c:pt idx="189">
                  <c:v>2067</c:v>
                </c:pt>
                <c:pt idx="190">
                  <c:v>2068</c:v>
                </c:pt>
              </c:numCache>
            </c:numRef>
          </c:xVal>
          <c:yVal>
            <c:numRef>
              <c:f>Australia!$J$58:$J$248</c:f>
              <c:numCache>
                <c:formatCode>0.0</c:formatCode>
                <c:ptCount val="191"/>
                <c:pt idx="105">
                  <c:v>3.1595704333232457</c:v>
                </c:pt>
                <c:pt idx="106">
                  <c:v>3.31918206559356</c:v>
                </c:pt>
                <c:pt idx="107">
                  <c:v>3.4862564813984003</c:v>
                </c:pt>
                <c:pt idx="108">
                  <c:v>3.6610809963249165</c:v>
                </c:pt>
                <c:pt idx="109">
                  <c:v>3.8439476777336057</c:v>
                </c:pt>
                <c:pt idx="110">
                  <c:v>4.0351527202623325</c:v>
                </c:pt>
                <c:pt idx="111">
                  <c:v>4.2349957336781827</c:v>
                </c:pt>
                <c:pt idx="112">
                  <c:v>4.4437789378689079</c:v>
                </c:pt>
                <c:pt idx="113">
                  <c:v>4.6618062600014962</c:v>
                </c:pt>
                <c:pt idx="114">
                  <c:v>4.8893823292153025</c:v>
                </c:pt>
                <c:pt idx="115">
                  <c:v>5.1268113646742446</c:v>
                </c:pt>
                <c:pt idx="116">
                  <c:v>5.3743959533887251</c:v>
                </c:pt>
                <c:pt idx="117">
                  <c:v>5.6324357149456414</c:v>
                </c:pt>
                <c:pt idx="118">
                  <c:v>5.9012258511651998</c:v>
                </c:pt>
                <c:pt idx="119">
                  <c:v>6.1810555797463884</c:v>
                </c:pt>
                <c:pt idx="120">
                  <c:v>6.4722064521770548</c:v>
                </c:pt>
                <c:pt idx="121">
                  <c:v>6.774950557575405</c:v>
                </c:pt>
                <c:pt idx="122">
                  <c:v>7.0895486157004859</c:v>
                </c:pt>
                <c:pt idx="123">
                  <c:v>7.4162479641183561</c:v>
                </c:pt>
                <c:pt idx="124">
                  <c:v>7.7552804464335141</c:v>
                </c:pt>
                <c:pt idx="125">
                  <c:v>8.1068602105806455</c:v>
                </c:pt>
                <c:pt idx="126">
                  <c:v>8.4711814284037317</c:v>
                </c:pt>
                <c:pt idx="127">
                  <c:v>8.8484159501051387</c:v>
                </c:pt>
                <c:pt idx="128">
                  <c:v>9.2387109095964668</c:v>
                </c:pt>
                <c:pt idx="129">
                  <c:v>9.6421862992883547</c:v>
                </c:pt>
                <c:pt idx="130">
                  <c:v>10.058932535373268</c:v>
                </c:pt>
                <c:pt idx="131">
                  <c:v>10.489008037130974</c:v>
                </c:pt>
                <c:pt idx="132">
                  <c:v>10.932436846161329</c:v>
                </c:pt>
                <c:pt idx="133">
                  <c:v>11.389206313657111</c:v>
                </c:pt>
                <c:pt idx="134">
                  <c:v>11.859264885799135</c:v>
                </c:pt>
                <c:pt idx="135">
                  <c:v>12.342520019011628</c:v>
                </c:pt>
                <c:pt idx="136">
                  <c:v>12.838836258080145</c:v>
                </c:pt>
                <c:pt idx="137">
                  <c:v>13.348033510929813</c:v>
                </c:pt>
                <c:pt idx="138">
                  <c:v>13.869885554114266</c:v>
                </c:pt>
                <c:pt idx="139">
                  <c:v>14.40411880270671</c:v>
                </c:pt>
                <c:pt idx="140">
                  <c:v>14.950411377254753</c:v>
                </c:pt>
                <c:pt idx="141">
                  <c:v>15.508392498713</c:v>
                </c:pt>
                <c:pt idx="142">
                  <c:v>16.077642239770558</c:v>
                </c:pt>
                <c:pt idx="143">
                  <c:v>16.657691657731714</c:v>
                </c:pt>
                <c:pt idx="144">
                  <c:v>17.248023330095918</c:v>
                </c:pt>
                <c:pt idx="145">
                  <c:v>17.848072309249396</c:v>
                </c:pt>
                <c:pt idx="146">
                  <c:v>18.457227507282401</c:v>
                </c:pt>
                <c:pt idx="147">
                  <c:v>19.074833515964748</c:v>
                </c:pt>
                <c:pt idx="148">
                  <c:v>19.700192860454052</c:v>
                </c:pt>
                <c:pt idx="149">
                  <c:v>20.332568678505446</c:v>
                </c:pt>
                <c:pt idx="150">
                  <c:v>20.971187809947196</c:v>
                </c:pt>
                <c:pt idx="151">
                  <c:v>21.615244274148015</c:v>
                </c:pt>
                <c:pt idx="152">
                  <c:v>22.263903106305385</c:v>
                </c:pt>
                <c:pt idx="153">
                  <c:v>22.916304516809461</c:v>
                </c:pt>
                <c:pt idx="154">
                  <c:v>23.571568331864476</c:v>
                </c:pt>
                <c:pt idx="155">
                  <c:v>24.228798668149182</c:v>
                </c:pt>
                <c:pt idx="156">
                  <c:v>24.88708878972626</c:v>
                </c:pt>
                <c:pt idx="157">
                  <c:v>25.545526091803836</c:v>
                </c:pt>
                <c:pt idx="158">
                  <c:v>26.203197153416692</c:v>
                </c:pt>
                <c:pt idx="159">
                  <c:v>26.859192799709955</c:v>
                </c:pt>
                <c:pt idx="160">
                  <c:v>27.512613114314199</c:v>
                </c:pt>
                <c:pt idx="161">
                  <c:v>28.162572343305456</c:v>
                </c:pt>
                <c:pt idx="162">
                  <c:v>28.808203634414976</c:v>
                </c:pt>
                <c:pt idx="163">
                  <c:v>29.448663558425956</c:v>
                </c:pt>
                <c:pt idx="164">
                  <c:v>30.08313636396888</c:v>
                </c:pt>
                <c:pt idx="165">
                  <c:v>30.710837922076507</c:v>
                </c:pt>
                <c:pt idx="166">
                  <c:v>31.331019322734047</c:v>
                </c:pt>
                <c:pt idx="167">
                  <c:v>31.94297009209215</c:v>
                </c:pt>
                <c:pt idx="168">
                  <c:v>32.546021005823214</c:v>
                </c:pt>
                <c:pt idx="169">
                  <c:v>33.139546481113584</c:v>
                </c:pt>
                <c:pt idx="170">
                  <c:v>33.722966536818632</c:v>
                </c:pt>
                <c:pt idx="171">
                  <c:v>34.295748318194015</c:v>
                </c:pt>
                <c:pt idx="172">
                  <c:v>34.857407189202142</c:v>
                </c:pt>
                <c:pt idx="173">
                  <c:v>35.407507401540038</c:v>
                </c:pt>
                <c:pt idx="174">
                  <c:v>35.945662355131518</c:v>
                </c:pt>
                <c:pt idx="175">
                  <c:v>36.471534469781588</c:v>
                </c:pt>
                <c:pt idx="176">
                  <c:v>36.984834691940144</c:v>
                </c:pt>
                <c:pt idx="177">
                  <c:v>37.485321664025875</c:v>
                </c:pt>
                <c:pt idx="178">
                  <c:v>37.97280058650275</c:v>
                </c:pt>
                <c:pt idx="179">
                  <c:v>38.447121804888233</c:v>
                </c:pt>
                <c:pt idx="180">
                  <c:v>38.9081791551286</c:v>
                </c:pt>
                <c:pt idx="181">
                  <c:v>39.355908101346103</c:v>
                </c:pt>
                <c:pt idx="182">
                  <c:v>39.790283699899689</c:v>
                </c:pt>
                <c:pt idx="183">
                  <c:v>40.21131842307274</c:v>
                </c:pt>
                <c:pt idx="184">
                  <c:v>40.619059874579392</c:v>
                </c:pt>
                <c:pt idx="185">
                  <c:v>41.013588427543134</c:v>
                </c:pt>
                <c:pt idx="186">
                  <c:v>41.395014813724103</c:v>
                </c:pt>
                <c:pt idx="187">
                  <c:v>41.763477690632854</c:v>
                </c:pt>
                <c:pt idx="188">
                  <c:v>42.119141210838883</c:v>
                </c:pt>
                <c:pt idx="189">
                  <c:v>42.462192615332924</c:v>
                </c:pt>
                <c:pt idx="190">
                  <c:v>42.792839870291829</c:v>
                </c:pt>
              </c:numCache>
            </c:numRef>
          </c:yVal>
          <c:smooth val="1"/>
          <c:extLst>
            <c:ext xmlns:c16="http://schemas.microsoft.com/office/drawing/2014/chart" uri="{C3380CC4-5D6E-409C-BE32-E72D297353CC}">
              <c16:uniqueId val="{00000002-ACBD-AC4C-A756-6513D606A540}"/>
            </c:ext>
          </c:extLst>
        </c:ser>
        <c:ser>
          <c:idx val="2"/>
          <c:order val="3"/>
          <c:tx>
            <c:strRef>
              <c:f>Australia!$H$7</c:f>
              <c:strCache>
                <c:ptCount val="1"/>
                <c:pt idx="0">
                  <c:v>Q historical</c:v>
                </c:pt>
              </c:strCache>
            </c:strRef>
          </c:tx>
          <c:spPr>
            <a:ln w="15875">
              <a:solidFill>
                <a:srgbClr val="333399"/>
              </a:solidFill>
            </a:ln>
          </c:spPr>
          <c:marker>
            <c:symbol val="none"/>
          </c:marker>
          <c:xVal>
            <c:numRef>
              <c:f>Australia!$D$129:$D$269</c:f>
              <c:numCache>
                <c:formatCode>General</c:formatCode>
                <c:ptCount val="141"/>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pt idx="60">
                  <c:v>2009</c:v>
                </c:pt>
                <c:pt idx="61">
                  <c:v>2010</c:v>
                </c:pt>
                <c:pt idx="62">
                  <c:v>2011</c:v>
                </c:pt>
                <c:pt idx="63">
                  <c:v>2012</c:v>
                </c:pt>
                <c:pt idx="64">
                  <c:v>2013</c:v>
                </c:pt>
                <c:pt idx="65">
                  <c:v>2014</c:v>
                </c:pt>
                <c:pt idx="66">
                  <c:v>2015</c:v>
                </c:pt>
                <c:pt idx="67">
                  <c:v>2016</c:v>
                </c:pt>
                <c:pt idx="68">
                  <c:v>2017</c:v>
                </c:pt>
                <c:pt idx="69">
                  <c:v>2018</c:v>
                </c:pt>
                <c:pt idx="70">
                  <c:v>2019</c:v>
                </c:pt>
                <c:pt idx="71">
                  <c:v>2020</c:v>
                </c:pt>
                <c:pt idx="72">
                  <c:v>2021</c:v>
                </c:pt>
                <c:pt idx="73">
                  <c:v>2022</c:v>
                </c:pt>
                <c:pt idx="74">
                  <c:v>2023</c:v>
                </c:pt>
                <c:pt idx="75">
                  <c:v>2024</c:v>
                </c:pt>
                <c:pt idx="76">
                  <c:v>2025</c:v>
                </c:pt>
                <c:pt idx="77">
                  <c:v>2026</c:v>
                </c:pt>
                <c:pt idx="78">
                  <c:v>2027</c:v>
                </c:pt>
                <c:pt idx="79">
                  <c:v>2028</c:v>
                </c:pt>
                <c:pt idx="80">
                  <c:v>2029</c:v>
                </c:pt>
                <c:pt idx="81">
                  <c:v>2030</c:v>
                </c:pt>
                <c:pt idx="82">
                  <c:v>2031</c:v>
                </c:pt>
                <c:pt idx="83">
                  <c:v>2032</c:v>
                </c:pt>
                <c:pt idx="84">
                  <c:v>2033</c:v>
                </c:pt>
                <c:pt idx="85">
                  <c:v>2034</c:v>
                </c:pt>
                <c:pt idx="86">
                  <c:v>2035</c:v>
                </c:pt>
                <c:pt idx="87">
                  <c:v>2036</c:v>
                </c:pt>
                <c:pt idx="88">
                  <c:v>2037</c:v>
                </c:pt>
                <c:pt idx="89">
                  <c:v>2038</c:v>
                </c:pt>
                <c:pt idx="90">
                  <c:v>2039</c:v>
                </c:pt>
                <c:pt idx="91">
                  <c:v>2040</c:v>
                </c:pt>
                <c:pt idx="92">
                  <c:v>2041</c:v>
                </c:pt>
                <c:pt idx="93">
                  <c:v>2042</c:v>
                </c:pt>
                <c:pt idx="94">
                  <c:v>2043</c:v>
                </c:pt>
                <c:pt idx="95">
                  <c:v>2044</c:v>
                </c:pt>
                <c:pt idx="96">
                  <c:v>2045</c:v>
                </c:pt>
                <c:pt idx="97">
                  <c:v>2046</c:v>
                </c:pt>
                <c:pt idx="98">
                  <c:v>2047</c:v>
                </c:pt>
                <c:pt idx="99">
                  <c:v>2048</c:v>
                </c:pt>
                <c:pt idx="100">
                  <c:v>2049</c:v>
                </c:pt>
                <c:pt idx="101">
                  <c:v>2050</c:v>
                </c:pt>
                <c:pt idx="102">
                  <c:v>2051</c:v>
                </c:pt>
                <c:pt idx="103">
                  <c:v>2052</c:v>
                </c:pt>
                <c:pt idx="104">
                  <c:v>2053</c:v>
                </c:pt>
                <c:pt idx="105">
                  <c:v>2054</c:v>
                </c:pt>
                <c:pt idx="106">
                  <c:v>2055</c:v>
                </c:pt>
                <c:pt idx="107">
                  <c:v>2056</c:v>
                </c:pt>
                <c:pt idx="108">
                  <c:v>2057</c:v>
                </c:pt>
                <c:pt idx="109">
                  <c:v>2058</c:v>
                </c:pt>
                <c:pt idx="110">
                  <c:v>2059</c:v>
                </c:pt>
                <c:pt idx="111">
                  <c:v>2060</c:v>
                </c:pt>
                <c:pt idx="112">
                  <c:v>2061</c:v>
                </c:pt>
                <c:pt idx="113">
                  <c:v>2062</c:v>
                </c:pt>
                <c:pt idx="114">
                  <c:v>2063</c:v>
                </c:pt>
                <c:pt idx="115">
                  <c:v>2064</c:v>
                </c:pt>
                <c:pt idx="116">
                  <c:v>2065</c:v>
                </c:pt>
                <c:pt idx="117">
                  <c:v>2066</c:v>
                </c:pt>
                <c:pt idx="118">
                  <c:v>2067</c:v>
                </c:pt>
                <c:pt idx="119">
                  <c:v>2068</c:v>
                </c:pt>
                <c:pt idx="120">
                  <c:v>2069</c:v>
                </c:pt>
                <c:pt idx="121">
                  <c:v>2070</c:v>
                </c:pt>
                <c:pt idx="122">
                  <c:v>2071</c:v>
                </c:pt>
                <c:pt idx="123">
                  <c:v>2072</c:v>
                </c:pt>
                <c:pt idx="124">
                  <c:v>2073</c:v>
                </c:pt>
                <c:pt idx="125">
                  <c:v>2074</c:v>
                </c:pt>
                <c:pt idx="126">
                  <c:v>2075</c:v>
                </c:pt>
                <c:pt idx="127">
                  <c:v>2076</c:v>
                </c:pt>
                <c:pt idx="128">
                  <c:v>2077</c:v>
                </c:pt>
                <c:pt idx="129">
                  <c:v>2078</c:v>
                </c:pt>
                <c:pt idx="130">
                  <c:v>2079</c:v>
                </c:pt>
                <c:pt idx="131">
                  <c:v>2080</c:v>
                </c:pt>
                <c:pt idx="132">
                  <c:v>2081</c:v>
                </c:pt>
                <c:pt idx="133">
                  <c:v>2082</c:v>
                </c:pt>
                <c:pt idx="134">
                  <c:v>2083</c:v>
                </c:pt>
                <c:pt idx="135">
                  <c:v>2084</c:v>
                </c:pt>
                <c:pt idx="136">
                  <c:v>2085</c:v>
                </c:pt>
                <c:pt idx="137">
                  <c:v>2086</c:v>
                </c:pt>
                <c:pt idx="138">
                  <c:v>2087</c:v>
                </c:pt>
                <c:pt idx="139">
                  <c:v>2088</c:v>
                </c:pt>
                <c:pt idx="140">
                  <c:v>2089</c:v>
                </c:pt>
              </c:numCache>
            </c:numRef>
          </c:xVal>
          <c:yVal>
            <c:numRef>
              <c:f>Australia!$H$129:$H$269</c:f>
              <c:numCache>
                <c:formatCode>0.00</c:formatCode>
                <c:ptCount val="141"/>
                <c:pt idx="43" formatCode="0.0">
                  <c:v>340.73540271528708</c:v>
                </c:pt>
                <c:pt idx="44" formatCode="0.0">
                  <c:v>65.309256633123809</c:v>
                </c:pt>
                <c:pt idx="45" formatCode="0.0">
                  <c:v>38.106901005450226</c:v>
                </c:pt>
                <c:pt idx="46" formatCode="0.0">
                  <c:v>30.751982536877566</c:v>
                </c:pt>
                <c:pt idx="47" formatCode="0.0">
                  <c:v>27.847027623326358</c:v>
                </c:pt>
                <c:pt idx="48" formatCode="0.0">
                  <c:v>28.790609454682443</c:v>
                </c:pt>
                <c:pt idx="49" formatCode="0.0">
                  <c:v>30.78334849155393</c:v>
                </c:pt>
                <c:pt idx="50" formatCode="0.0">
                  <c:v>33.586621473077315</c:v>
                </c:pt>
                <c:pt idx="51" formatCode="0.0">
                  <c:v>36.467027897019932</c:v>
                </c:pt>
                <c:pt idx="52" formatCode="0.0">
                  <c:v>40.66023861458747</c:v>
                </c:pt>
                <c:pt idx="53" formatCode="0.0">
                  <c:v>44.693325784120269</c:v>
                </c:pt>
                <c:pt idx="54" formatCode="0.0">
                  <c:v>47.994894911158447</c:v>
                </c:pt>
                <c:pt idx="55" formatCode="0.0">
                  <c:v>50.66130465838485</c:v>
                </c:pt>
                <c:pt idx="56" formatCode="0.0">
                  <c:v>52.486071514247094</c:v>
                </c:pt>
                <c:pt idx="57" formatCode="0.0">
                  <c:v>53.112091872379573</c:v>
                </c:pt>
                <c:pt idx="58" formatCode="0.0">
                  <c:v>52.781686462520405</c:v>
                </c:pt>
                <c:pt idx="59" formatCode="0.0">
                  <c:v>51.544159397749951</c:v>
                </c:pt>
                <c:pt idx="60" formatCode="0.0">
                  <c:v>49.986283305111655</c:v>
                </c:pt>
              </c:numCache>
            </c:numRef>
          </c:yVal>
          <c:smooth val="1"/>
          <c:extLst>
            <c:ext xmlns:c16="http://schemas.microsoft.com/office/drawing/2014/chart" uri="{C3380CC4-5D6E-409C-BE32-E72D297353CC}">
              <c16:uniqueId val="{00000003-ACBD-AC4C-A756-6513D606A540}"/>
            </c:ext>
          </c:extLst>
        </c:ser>
        <c:ser>
          <c:idx val="4"/>
          <c:order val="4"/>
          <c:tx>
            <c:v>Q early</c:v>
          </c:tx>
          <c:spPr>
            <a:ln w="15875">
              <a:solidFill>
                <a:srgbClr val="333399"/>
              </a:solidFill>
              <a:prstDash val="lgDash"/>
            </a:ln>
          </c:spPr>
          <c:marker>
            <c:symbol val="none"/>
          </c:marker>
          <c:xVal>
            <c:numRef>
              <c:f>Australia!$D$72:$D$128</c:f>
              <c:numCache>
                <c:formatCode>General</c:formatCode>
                <c:ptCount val="57"/>
                <c:pt idx="0">
                  <c:v>1892</c:v>
                </c:pt>
                <c:pt idx="1">
                  <c:v>1893</c:v>
                </c:pt>
                <c:pt idx="2">
                  <c:v>1894</c:v>
                </c:pt>
                <c:pt idx="3">
                  <c:v>1895</c:v>
                </c:pt>
                <c:pt idx="4">
                  <c:v>1896</c:v>
                </c:pt>
                <c:pt idx="5">
                  <c:v>1897</c:v>
                </c:pt>
                <c:pt idx="6">
                  <c:v>1898</c:v>
                </c:pt>
                <c:pt idx="7">
                  <c:v>1899</c:v>
                </c:pt>
                <c:pt idx="8">
                  <c:v>1900</c:v>
                </c:pt>
                <c:pt idx="9">
                  <c:v>1901</c:v>
                </c:pt>
                <c:pt idx="10">
                  <c:v>1902</c:v>
                </c:pt>
                <c:pt idx="11">
                  <c:v>1903</c:v>
                </c:pt>
                <c:pt idx="12">
                  <c:v>1904</c:v>
                </c:pt>
                <c:pt idx="13">
                  <c:v>1905</c:v>
                </c:pt>
                <c:pt idx="14">
                  <c:v>1906</c:v>
                </c:pt>
                <c:pt idx="15">
                  <c:v>1907</c:v>
                </c:pt>
                <c:pt idx="16">
                  <c:v>1908</c:v>
                </c:pt>
                <c:pt idx="17">
                  <c:v>1909</c:v>
                </c:pt>
                <c:pt idx="18">
                  <c:v>1910</c:v>
                </c:pt>
                <c:pt idx="19">
                  <c:v>1911</c:v>
                </c:pt>
                <c:pt idx="20">
                  <c:v>1912</c:v>
                </c:pt>
                <c:pt idx="21">
                  <c:v>1913</c:v>
                </c:pt>
                <c:pt idx="22">
                  <c:v>1914</c:v>
                </c:pt>
                <c:pt idx="23">
                  <c:v>1915</c:v>
                </c:pt>
                <c:pt idx="24">
                  <c:v>1916</c:v>
                </c:pt>
                <c:pt idx="25">
                  <c:v>1917</c:v>
                </c:pt>
                <c:pt idx="26">
                  <c:v>1918</c:v>
                </c:pt>
                <c:pt idx="27">
                  <c:v>1919</c:v>
                </c:pt>
                <c:pt idx="28">
                  <c:v>1920</c:v>
                </c:pt>
                <c:pt idx="29">
                  <c:v>1921</c:v>
                </c:pt>
                <c:pt idx="30">
                  <c:v>1922</c:v>
                </c:pt>
                <c:pt idx="31">
                  <c:v>1923</c:v>
                </c:pt>
                <c:pt idx="32">
                  <c:v>1924</c:v>
                </c:pt>
                <c:pt idx="33">
                  <c:v>1925</c:v>
                </c:pt>
                <c:pt idx="34">
                  <c:v>1926</c:v>
                </c:pt>
                <c:pt idx="35">
                  <c:v>1927</c:v>
                </c:pt>
                <c:pt idx="36">
                  <c:v>1928</c:v>
                </c:pt>
                <c:pt idx="37">
                  <c:v>1929</c:v>
                </c:pt>
                <c:pt idx="38">
                  <c:v>1930</c:v>
                </c:pt>
                <c:pt idx="39">
                  <c:v>1931</c:v>
                </c:pt>
                <c:pt idx="40">
                  <c:v>1932</c:v>
                </c:pt>
                <c:pt idx="41">
                  <c:v>1933</c:v>
                </c:pt>
                <c:pt idx="42">
                  <c:v>1934</c:v>
                </c:pt>
                <c:pt idx="43">
                  <c:v>1935</c:v>
                </c:pt>
                <c:pt idx="44">
                  <c:v>1936</c:v>
                </c:pt>
                <c:pt idx="45">
                  <c:v>1937</c:v>
                </c:pt>
                <c:pt idx="46">
                  <c:v>1938</c:v>
                </c:pt>
                <c:pt idx="47">
                  <c:v>1939</c:v>
                </c:pt>
                <c:pt idx="48">
                  <c:v>1940</c:v>
                </c:pt>
                <c:pt idx="49">
                  <c:v>1941</c:v>
                </c:pt>
                <c:pt idx="50">
                  <c:v>1942</c:v>
                </c:pt>
                <c:pt idx="51">
                  <c:v>1943</c:v>
                </c:pt>
                <c:pt idx="52">
                  <c:v>1944</c:v>
                </c:pt>
                <c:pt idx="53">
                  <c:v>1945</c:v>
                </c:pt>
                <c:pt idx="54">
                  <c:v>1946</c:v>
                </c:pt>
                <c:pt idx="55">
                  <c:v>1947</c:v>
                </c:pt>
                <c:pt idx="56">
                  <c:v>1948</c:v>
                </c:pt>
              </c:numCache>
            </c:numRef>
          </c:xVal>
          <c:yVal>
            <c:numRef>
              <c:f>Australia!$H$72:$H$128</c:f>
              <c:numCache>
                <c:formatCode>0.00</c:formatCode>
                <c:ptCount val="57"/>
              </c:numCache>
            </c:numRef>
          </c:yVal>
          <c:smooth val="1"/>
          <c:extLst>
            <c:ext xmlns:c16="http://schemas.microsoft.com/office/drawing/2014/chart" uri="{C3380CC4-5D6E-409C-BE32-E72D297353CC}">
              <c16:uniqueId val="{00000004-ACBD-AC4C-A756-6513D606A540}"/>
            </c:ext>
          </c:extLst>
        </c:ser>
        <c:dLbls>
          <c:showLegendKey val="0"/>
          <c:showVal val="0"/>
          <c:showCatName val="0"/>
          <c:showSerName val="0"/>
          <c:showPercent val="0"/>
          <c:showBubbleSize val="0"/>
        </c:dLbls>
        <c:axId val="132486656"/>
        <c:axId val="132488192"/>
      </c:scatterChart>
      <c:valAx>
        <c:axId val="132486656"/>
        <c:scaling>
          <c:orientation val="minMax"/>
          <c:max val="2020"/>
          <c:min val="196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2488192"/>
        <c:crosses val="autoZero"/>
        <c:crossBetween val="midCat"/>
        <c:majorUnit val="30"/>
        <c:minorUnit val="10"/>
      </c:valAx>
      <c:valAx>
        <c:axId val="132488192"/>
        <c:scaling>
          <c:orientation val="minMax"/>
          <c:max val="60"/>
          <c:min val="0"/>
        </c:scaling>
        <c:delete val="0"/>
        <c:axPos val="r"/>
        <c:title>
          <c:tx>
            <c:rich>
              <a:bodyPr rot="-5400000" vert="horz"/>
              <a:lstStyle/>
              <a:p>
                <a:pPr>
                  <a:defRPr sz="1200" b="0">
                    <a:solidFill>
                      <a:srgbClr val="333399"/>
                    </a:solidFill>
                  </a:defRPr>
                </a:pPr>
                <a:r>
                  <a:rPr lang="en-US" sz="1200" b="0">
                    <a:solidFill>
                      <a:srgbClr val="333399"/>
                    </a:solidFill>
                  </a:rPr>
                  <a:t>Cumulative production, Gt</a:t>
                </a:r>
              </a:p>
            </c:rich>
          </c:tx>
          <c:layout>
            <c:manualLayout>
              <c:xMode val="edge"/>
              <c:yMode val="edge"/>
              <c:x val="0.96240681576144838"/>
              <c:y val="0.13136920384951883"/>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2486656"/>
        <c:crosses val="max"/>
        <c:crossBetween val="midCat"/>
        <c:majorUnit val="3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5263397985794598"/>
          <c:h val="0.77264654418197765"/>
        </c:manualLayout>
      </c:layout>
      <c:scatterChart>
        <c:scatterStyle val="smoothMarker"/>
        <c:varyColors val="0"/>
        <c:ser>
          <c:idx val="2"/>
          <c:order val="0"/>
          <c:tx>
            <c:strRef>
              <c:f>Australia!$H$7</c:f>
              <c:strCache>
                <c:ptCount val="1"/>
                <c:pt idx="0">
                  <c:v>Q historical</c:v>
                </c:pt>
              </c:strCache>
            </c:strRef>
          </c:tx>
          <c:spPr>
            <a:ln w="15875">
              <a:solidFill>
                <a:srgbClr val="333399"/>
              </a:solidFill>
            </a:ln>
          </c:spPr>
          <c:marker>
            <c:symbol val="none"/>
          </c:marker>
          <c:xVal>
            <c:numRef>
              <c:f>Australia!$D$58:$D$269</c:f>
              <c:numCache>
                <c:formatCode>General</c:formatCode>
                <c:ptCount val="212"/>
                <c:pt idx="0">
                  <c:v>1878</c:v>
                </c:pt>
                <c:pt idx="1">
                  <c:v>1879</c:v>
                </c:pt>
                <c:pt idx="2">
                  <c:v>1880</c:v>
                </c:pt>
                <c:pt idx="3">
                  <c:v>1881</c:v>
                </c:pt>
                <c:pt idx="4">
                  <c:v>1882</c:v>
                </c:pt>
                <c:pt idx="5">
                  <c:v>1883</c:v>
                </c:pt>
                <c:pt idx="6">
                  <c:v>1884</c:v>
                </c:pt>
                <c:pt idx="7">
                  <c:v>1885</c:v>
                </c:pt>
                <c:pt idx="8">
                  <c:v>1886</c:v>
                </c:pt>
                <c:pt idx="9">
                  <c:v>1887</c:v>
                </c:pt>
                <c:pt idx="10">
                  <c:v>1888</c:v>
                </c:pt>
                <c:pt idx="11">
                  <c:v>1889</c:v>
                </c:pt>
                <c:pt idx="12">
                  <c:v>1890</c:v>
                </c:pt>
                <c:pt idx="13">
                  <c:v>1891</c:v>
                </c:pt>
                <c:pt idx="14">
                  <c:v>1892</c:v>
                </c:pt>
                <c:pt idx="15">
                  <c:v>1893</c:v>
                </c:pt>
                <c:pt idx="16">
                  <c:v>1894</c:v>
                </c:pt>
                <c:pt idx="17">
                  <c:v>1895</c:v>
                </c:pt>
                <c:pt idx="18">
                  <c:v>1896</c:v>
                </c:pt>
                <c:pt idx="19">
                  <c:v>1897</c:v>
                </c:pt>
                <c:pt idx="20">
                  <c:v>1898</c:v>
                </c:pt>
                <c:pt idx="21">
                  <c:v>1899</c:v>
                </c:pt>
                <c:pt idx="22">
                  <c:v>1900</c:v>
                </c:pt>
                <c:pt idx="23">
                  <c:v>1901</c:v>
                </c:pt>
                <c:pt idx="24">
                  <c:v>1902</c:v>
                </c:pt>
                <c:pt idx="25">
                  <c:v>1903</c:v>
                </c:pt>
                <c:pt idx="26">
                  <c:v>1904</c:v>
                </c:pt>
                <c:pt idx="27">
                  <c:v>1905</c:v>
                </c:pt>
                <c:pt idx="28">
                  <c:v>1906</c:v>
                </c:pt>
                <c:pt idx="29">
                  <c:v>1907</c:v>
                </c:pt>
                <c:pt idx="30">
                  <c:v>1908</c:v>
                </c:pt>
                <c:pt idx="31">
                  <c:v>1909</c:v>
                </c:pt>
                <c:pt idx="32">
                  <c:v>1910</c:v>
                </c:pt>
                <c:pt idx="33">
                  <c:v>1911</c:v>
                </c:pt>
                <c:pt idx="34">
                  <c:v>1912</c:v>
                </c:pt>
                <c:pt idx="35">
                  <c:v>1913</c:v>
                </c:pt>
                <c:pt idx="36">
                  <c:v>1914</c:v>
                </c:pt>
                <c:pt idx="37">
                  <c:v>1915</c:v>
                </c:pt>
                <c:pt idx="38">
                  <c:v>1916</c:v>
                </c:pt>
                <c:pt idx="39">
                  <c:v>1917</c:v>
                </c:pt>
                <c:pt idx="40">
                  <c:v>1918</c:v>
                </c:pt>
                <c:pt idx="41">
                  <c:v>1919</c:v>
                </c:pt>
                <c:pt idx="42">
                  <c:v>1920</c:v>
                </c:pt>
                <c:pt idx="43">
                  <c:v>1921</c:v>
                </c:pt>
                <c:pt idx="44">
                  <c:v>1922</c:v>
                </c:pt>
                <c:pt idx="45">
                  <c:v>1923</c:v>
                </c:pt>
                <c:pt idx="46">
                  <c:v>1924</c:v>
                </c:pt>
                <c:pt idx="47">
                  <c:v>1925</c:v>
                </c:pt>
                <c:pt idx="48">
                  <c:v>1926</c:v>
                </c:pt>
                <c:pt idx="49">
                  <c:v>1927</c:v>
                </c:pt>
                <c:pt idx="50">
                  <c:v>1928</c:v>
                </c:pt>
                <c:pt idx="51">
                  <c:v>1929</c:v>
                </c:pt>
                <c:pt idx="52">
                  <c:v>1930</c:v>
                </c:pt>
                <c:pt idx="53">
                  <c:v>1931</c:v>
                </c:pt>
                <c:pt idx="54">
                  <c:v>1932</c:v>
                </c:pt>
                <c:pt idx="55">
                  <c:v>1933</c:v>
                </c:pt>
                <c:pt idx="56">
                  <c:v>1934</c:v>
                </c:pt>
                <c:pt idx="57">
                  <c:v>1935</c:v>
                </c:pt>
                <c:pt idx="58">
                  <c:v>1936</c:v>
                </c:pt>
                <c:pt idx="59">
                  <c:v>1937</c:v>
                </c:pt>
                <c:pt idx="60">
                  <c:v>1938</c:v>
                </c:pt>
                <c:pt idx="61">
                  <c:v>1939</c:v>
                </c:pt>
                <c:pt idx="62">
                  <c:v>1940</c:v>
                </c:pt>
                <c:pt idx="63">
                  <c:v>1941</c:v>
                </c:pt>
                <c:pt idx="64">
                  <c:v>1942</c:v>
                </c:pt>
                <c:pt idx="65">
                  <c:v>1943</c:v>
                </c:pt>
                <c:pt idx="66">
                  <c:v>1944</c:v>
                </c:pt>
                <c:pt idx="67">
                  <c:v>1945</c:v>
                </c:pt>
                <c:pt idx="68">
                  <c:v>1946</c:v>
                </c:pt>
                <c:pt idx="69">
                  <c:v>1947</c:v>
                </c:pt>
                <c:pt idx="70">
                  <c:v>1948</c:v>
                </c:pt>
                <c:pt idx="71">
                  <c:v>1949</c:v>
                </c:pt>
                <c:pt idx="72">
                  <c:v>1950</c:v>
                </c:pt>
                <c:pt idx="73">
                  <c:v>1951</c:v>
                </c:pt>
                <c:pt idx="74">
                  <c:v>1952</c:v>
                </c:pt>
                <c:pt idx="75">
                  <c:v>1953</c:v>
                </c:pt>
                <c:pt idx="76">
                  <c:v>1954</c:v>
                </c:pt>
                <c:pt idx="77">
                  <c:v>1955</c:v>
                </c:pt>
                <c:pt idx="78">
                  <c:v>1956</c:v>
                </c:pt>
                <c:pt idx="79">
                  <c:v>1957</c:v>
                </c:pt>
                <c:pt idx="80">
                  <c:v>1958</c:v>
                </c:pt>
                <c:pt idx="81">
                  <c:v>1959</c:v>
                </c:pt>
                <c:pt idx="82">
                  <c:v>1960</c:v>
                </c:pt>
                <c:pt idx="83">
                  <c:v>1961</c:v>
                </c:pt>
                <c:pt idx="84">
                  <c:v>1962</c:v>
                </c:pt>
                <c:pt idx="85">
                  <c:v>1963</c:v>
                </c:pt>
                <c:pt idx="86">
                  <c:v>1964</c:v>
                </c:pt>
                <c:pt idx="87">
                  <c:v>1965</c:v>
                </c:pt>
                <c:pt idx="88">
                  <c:v>1966</c:v>
                </c:pt>
                <c:pt idx="89">
                  <c:v>1967</c:v>
                </c:pt>
                <c:pt idx="90">
                  <c:v>1968</c:v>
                </c:pt>
                <c:pt idx="91">
                  <c:v>1969</c:v>
                </c:pt>
                <c:pt idx="92">
                  <c:v>1970</c:v>
                </c:pt>
                <c:pt idx="93">
                  <c:v>1971</c:v>
                </c:pt>
                <c:pt idx="94">
                  <c:v>1972</c:v>
                </c:pt>
                <c:pt idx="95">
                  <c:v>1973</c:v>
                </c:pt>
                <c:pt idx="96">
                  <c:v>1974</c:v>
                </c:pt>
                <c:pt idx="97">
                  <c:v>1975</c:v>
                </c:pt>
                <c:pt idx="98">
                  <c:v>1976</c:v>
                </c:pt>
                <c:pt idx="99">
                  <c:v>1977</c:v>
                </c:pt>
                <c:pt idx="100">
                  <c:v>1978</c:v>
                </c:pt>
                <c:pt idx="101">
                  <c:v>1979</c:v>
                </c:pt>
                <c:pt idx="102">
                  <c:v>1980</c:v>
                </c:pt>
                <c:pt idx="103">
                  <c:v>1981</c:v>
                </c:pt>
                <c:pt idx="104">
                  <c:v>1982</c:v>
                </c:pt>
                <c:pt idx="105">
                  <c:v>1983</c:v>
                </c:pt>
                <c:pt idx="106">
                  <c:v>1984</c:v>
                </c:pt>
                <c:pt idx="107">
                  <c:v>1985</c:v>
                </c:pt>
                <c:pt idx="108">
                  <c:v>1986</c:v>
                </c:pt>
                <c:pt idx="109">
                  <c:v>1987</c:v>
                </c:pt>
                <c:pt idx="110">
                  <c:v>1988</c:v>
                </c:pt>
                <c:pt idx="111">
                  <c:v>1989</c:v>
                </c:pt>
                <c:pt idx="112">
                  <c:v>1990</c:v>
                </c:pt>
                <c:pt idx="113">
                  <c:v>1991</c:v>
                </c:pt>
                <c:pt idx="114">
                  <c:v>1992</c:v>
                </c:pt>
                <c:pt idx="115">
                  <c:v>1993</c:v>
                </c:pt>
                <c:pt idx="116">
                  <c:v>1994</c:v>
                </c:pt>
                <c:pt idx="117">
                  <c:v>1995</c:v>
                </c:pt>
                <c:pt idx="118">
                  <c:v>1996</c:v>
                </c:pt>
                <c:pt idx="119">
                  <c:v>1997</c:v>
                </c:pt>
                <c:pt idx="120">
                  <c:v>1998</c:v>
                </c:pt>
                <c:pt idx="121">
                  <c:v>1999</c:v>
                </c:pt>
                <c:pt idx="122">
                  <c:v>2000</c:v>
                </c:pt>
                <c:pt idx="123">
                  <c:v>2001</c:v>
                </c:pt>
                <c:pt idx="124">
                  <c:v>2002</c:v>
                </c:pt>
                <c:pt idx="125">
                  <c:v>2003</c:v>
                </c:pt>
                <c:pt idx="126">
                  <c:v>2004</c:v>
                </c:pt>
                <c:pt idx="127">
                  <c:v>2005</c:v>
                </c:pt>
                <c:pt idx="128">
                  <c:v>2006</c:v>
                </c:pt>
                <c:pt idx="129">
                  <c:v>2007</c:v>
                </c:pt>
                <c:pt idx="130">
                  <c:v>2008</c:v>
                </c:pt>
                <c:pt idx="131">
                  <c:v>2009</c:v>
                </c:pt>
                <c:pt idx="132">
                  <c:v>2010</c:v>
                </c:pt>
                <c:pt idx="133">
                  <c:v>2011</c:v>
                </c:pt>
                <c:pt idx="134">
                  <c:v>2012</c:v>
                </c:pt>
                <c:pt idx="135">
                  <c:v>2013</c:v>
                </c:pt>
                <c:pt idx="136">
                  <c:v>2014</c:v>
                </c:pt>
                <c:pt idx="137">
                  <c:v>2015</c:v>
                </c:pt>
                <c:pt idx="138">
                  <c:v>2016</c:v>
                </c:pt>
                <c:pt idx="139">
                  <c:v>2017</c:v>
                </c:pt>
                <c:pt idx="140">
                  <c:v>2018</c:v>
                </c:pt>
                <c:pt idx="141">
                  <c:v>2019</c:v>
                </c:pt>
                <c:pt idx="142">
                  <c:v>2020</c:v>
                </c:pt>
                <c:pt idx="143">
                  <c:v>2021</c:v>
                </c:pt>
                <c:pt idx="144">
                  <c:v>2022</c:v>
                </c:pt>
                <c:pt idx="145">
                  <c:v>2023</c:v>
                </c:pt>
                <c:pt idx="146">
                  <c:v>2024</c:v>
                </c:pt>
                <c:pt idx="147">
                  <c:v>2025</c:v>
                </c:pt>
                <c:pt idx="148">
                  <c:v>2026</c:v>
                </c:pt>
                <c:pt idx="149">
                  <c:v>2027</c:v>
                </c:pt>
                <c:pt idx="150">
                  <c:v>2028</c:v>
                </c:pt>
                <c:pt idx="151">
                  <c:v>2029</c:v>
                </c:pt>
                <c:pt idx="152">
                  <c:v>2030</c:v>
                </c:pt>
                <c:pt idx="153">
                  <c:v>2031</c:v>
                </c:pt>
                <c:pt idx="154">
                  <c:v>2032</c:v>
                </c:pt>
                <c:pt idx="155">
                  <c:v>2033</c:v>
                </c:pt>
                <c:pt idx="156">
                  <c:v>2034</c:v>
                </c:pt>
                <c:pt idx="157">
                  <c:v>2035</c:v>
                </c:pt>
                <c:pt idx="158">
                  <c:v>2036</c:v>
                </c:pt>
                <c:pt idx="159">
                  <c:v>2037</c:v>
                </c:pt>
                <c:pt idx="160">
                  <c:v>2038</c:v>
                </c:pt>
                <c:pt idx="161">
                  <c:v>2039</c:v>
                </c:pt>
                <c:pt idx="162">
                  <c:v>2040</c:v>
                </c:pt>
                <c:pt idx="163">
                  <c:v>2041</c:v>
                </c:pt>
                <c:pt idx="164">
                  <c:v>2042</c:v>
                </c:pt>
                <c:pt idx="165">
                  <c:v>2043</c:v>
                </c:pt>
                <c:pt idx="166">
                  <c:v>2044</c:v>
                </c:pt>
                <c:pt idx="167">
                  <c:v>2045</c:v>
                </c:pt>
                <c:pt idx="168">
                  <c:v>2046</c:v>
                </c:pt>
                <c:pt idx="169">
                  <c:v>2047</c:v>
                </c:pt>
                <c:pt idx="170">
                  <c:v>2048</c:v>
                </c:pt>
                <c:pt idx="171">
                  <c:v>2049</c:v>
                </c:pt>
                <c:pt idx="172">
                  <c:v>2050</c:v>
                </c:pt>
                <c:pt idx="173">
                  <c:v>2051</c:v>
                </c:pt>
                <c:pt idx="174">
                  <c:v>2052</c:v>
                </c:pt>
                <c:pt idx="175">
                  <c:v>2053</c:v>
                </c:pt>
                <c:pt idx="176">
                  <c:v>2054</c:v>
                </c:pt>
                <c:pt idx="177">
                  <c:v>2055</c:v>
                </c:pt>
                <c:pt idx="178">
                  <c:v>2056</c:v>
                </c:pt>
                <c:pt idx="179">
                  <c:v>2057</c:v>
                </c:pt>
                <c:pt idx="180">
                  <c:v>2058</c:v>
                </c:pt>
                <c:pt idx="181">
                  <c:v>2059</c:v>
                </c:pt>
                <c:pt idx="182">
                  <c:v>2060</c:v>
                </c:pt>
                <c:pt idx="183">
                  <c:v>2061</c:v>
                </c:pt>
                <c:pt idx="184">
                  <c:v>2062</c:v>
                </c:pt>
                <c:pt idx="185">
                  <c:v>2063</c:v>
                </c:pt>
                <c:pt idx="186">
                  <c:v>2064</c:v>
                </c:pt>
                <c:pt idx="187">
                  <c:v>2065</c:v>
                </c:pt>
                <c:pt idx="188">
                  <c:v>2066</c:v>
                </c:pt>
                <c:pt idx="189">
                  <c:v>2067</c:v>
                </c:pt>
                <c:pt idx="190">
                  <c:v>2068</c:v>
                </c:pt>
                <c:pt idx="191">
                  <c:v>2069</c:v>
                </c:pt>
                <c:pt idx="192">
                  <c:v>2070</c:v>
                </c:pt>
                <c:pt idx="193">
                  <c:v>2071</c:v>
                </c:pt>
                <c:pt idx="194">
                  <c:v>2072</c:v>
                </c:pt>
                <c:pt idx="195">
                  <c:v>2073</c:v>
                </c:pt>
                <c:pt idx="196">
                  <c:v>2074</c:v>
                </c:pt>
                <c:pt idx="197">
                  <c:v>2075</c:v>
                </c:pt>
                <c:pt idx="198">
                  <c:v>2076</c:v>
                </c:pt>
                <c:pt idx="199">
                  <c:v>2077</c:v>
                </c:pt>
                <c:pt idx="200">
                  <c:v>2078</c:v>
                </c:pt>
                <c:pt idx="201">
                  <c:v>2079</c:v>
                </c:pt>
                <c:pt idx="202">
                  <c:v>2080</c:v>
                </c:pt>
                <c:pt idx="203">
                  <c:v>2081</c:v>
                </c:pt>
                <c:pt idx="204">
                  <c:v>2082</c:v>
                </c:pt>
                <c:pt idx="205">
                  <c:v>2083</c:v>
                </c:pt>
                <c:pt idx="206">
                  <c:v>2084</c:v>
                </c:pt>
                <c:pt idx="207">
                  <c:v>2085</c:v>
                </c:pt>
                <c:pt idx="208">
                  <c:v>2086</c:v>
                </c:pt>
                <c:pt idx="209">
                  <c:v>2087</c:v>
                </c:pt>
                <c:pt idx="210">
                  <c:v>2088</c:v>
                </c:pt>
                <c:pt idx="211">
                  <c:v>2089</c:v>
                </c:pt>
              </c:numCache>
            </c:numRef>
          </c:xVal>
          <c:yVal>
            <c:numRef>
              <c:f>Australia!$H$58:$H$269</c:f>
              <c:numCache>
                <c:formatCode>General</c:formatCode>
                <c:ptCount val="212"/>
                <c:pt idx="114" formatCode="0.0">
                  <c:v>340.73540271528708</c:v>
                </c:pt>
                <c:pt idx="115" formatCode="0.0">
                  <c:v>65.309256633123809</c:v>
                </c:pt>
                <c:pt idx="116" formatCode="0.0">
                  <c:v>38.106901005450226</c:v>
                </c:pt>
                <c:pt idx="117" formatCode="0.0">
                  <c:v>30.751982536877566</c:v>
                </c:pt>
                <c:pt idx="118" formatCode="0.0">
                  <c:v>27.847027623326358</c:v>
                </c:pt>
                <c:pt idx="119" formatCode="0.0">
                  <c:v>28.790609454682443</c:v>
                </c:pt>
                <c:pt idx="120" formatCode="0.0">
                  <c:v>30.78334849155393</c:v>
                </c:pt>
                <c:pt idx="121" formatCode="0.0">
                  <c:v>33.586621473077315</c:v>
                </c:pt>
                <c:pt idx="122" formatCode="0.0">
                  <c:v>36.467027897019932</c:v>
                </c:pt>
                <c:pt idx="123" formatCode="0.0">
                  <c:v>40.66023861458747</c:v>
                </c:pt>
                <c:pt idx="124" formatCode="0.0">
                  <c:v>44.693325784120269</c:v>
                </c:pt>
                <c:pt idx="125" formatCode="0.0">
                  <c:v>47.994894911158447</c:v>
                </c:pt>
                <c:pt idx="126" formatCode="0.0">
                  <c:v>50.66130465838485</c:v>
                </c:pt>
                <c:pt idx="127" formatCode="0.0">
                  <c:v>52.486071514247094</c:v>
                </c:pt>
                <c:pt idx="128" formatCode="0.0">
                  <c:v>53.112091872379573</c:v>
                </c:pt>
                <c:pt idx="129" formatCode="0.0">
                  <c:v>52.781686462520405</c:v>
                </c:pt>
                <c:pt idx="130" formatCode="0.0">
                  <c:v>51.544159397749951</c:v>
                </c:pt>
                <c:pt idx="131" formatCode="0.0">
                  <c:v>49.986283305111655</c:v>
                </c:pt>
              </c:numCache>
            </c:numRef>
          </c:yVal>
          <c:smooth val="1"/>
          <c:extLst>
            <c:ext xmlns:c16="http://schemas.microsoft.com/office/drawing/2014/chart" uri="{C3380CC4-5D6E-409C-BE32-E72D297353CC}">
              <c16:uniqueId val="{00000000-3714-5744-B9DB-615A923ADF9A}"/>
            </c:ext>
          </c:extLst>
        </c:ser>
        <c:ser>
          <c:idx val="0"/>
          <c:order val="1"/>
          <c:tx>
            <c:strRef>
              <c:f>Australia!$T$7</c:f>
              <c:strCache>
                <c:ptCount val="1"/>
                <c:pt idx="0">
                  <c:v>Q reserves</c:v>
                </c:pt>
              </c:strCache>
            </c:strRef>
          </c:tx>
          <c:spPr>
            <a:ln>
              <a:noFill/>
            </a:ln>
          </c:spPr>
          <c:marker>
            <c:symbol val="circle"/>
            <c:size val="6"/>
            <c:spPr>
              <a:noFill/>
              <a:ln>
                <a:solidFill>
                  <a:srgbClr val="333399"/>
                </a:solidFill>
              </a:ln>
            </c:spPr>
          </c:marker>
          <c:xVal>
            <c:numRef>
              <c:f>Australia!$S$8:$S$99</c:f>
              <c:numCache>
                <c:formatCode>General</c:formatCode>
                <c:ptCount val="92"/>
                <c:pt idx="0">
                  <c:v>1913</c:v>
                </c:pt>
                <c:pt idx="1">
                  <c:v>1936</c:v>
                </c:pt>
                <c:pt idx="2">
                  <c:v>1937</c:v>
                </c:pt>
                <c:pt idx="3">
                  <c:v>1938</c:v>
                </c:pt>
                <c:pt idx="4">
                  <c:v>1948</c:v>
                </c:pt>
                <c:pt idx="5">
                  <c:v>1952</c:v>
                </c:pt>
                <c:pt idx="6">
                  <c:v>1954</c:v>
                </c:pt>
                <c:pt idx="7">
                  <c:v>1956</c:v>
                </c:pt>
                <c:pt idx="8">
                  <c:v>1960</c:v>
                </c:pt>
                <c:pt idx="9">
                  <c:v>1962</c:v>
                </c:pt>
                <c:pt idx="10">
                  <c:v>1968</c:v>
                </c:pt>
                <c:pt idx="11">
                  <c:v>1974</c:v>
                </c:pt>
                <c:pt idx="12">
                  <c:v>1980</c:v>
                </c:pt>
                <c:pt idx="13">
                  <c:v>1986</c:v>
                </c:pt>
                <c:pt idx="14">
                  <c:v>1989</c:v>
                </c:pt>
                <c:pt idx="15">
                  <c:v>1992</c:v>
                </c:pt>
                <c:pt idx="16">
                  <c:v>1995</c:v>
                </c:pt>
                <c:pt idx="17">
                  <c:v>1998</c:v>
                </c:pt>
                <c:pt idx="18">
                  <c:v>2001</c:v>
                </c:pt>
                <c:pt idx="19">
                  <c:v>2004</c:v>
                </c:pt>
                <c:pt idx="20">
                  <c:v>2007</c:v>
                </c:pt>
                <c:pt idx="21">
                  <c:v>2010</c:v>
                </c:pt>
              </c:numCache>
            </c:numRef>
          </c:xVal>
          <c:yVal>
            <c:numRef>
              <c:f>Australia!$T$8:$T$99</c:f>
              <c:numCache>
                <c:formatCode>#,##0.0</c:formatCode>
                <c:ptCount val="92"/>
                <c:pt idx="0">
                  <c:v>170.21515273679924</c:v>
                </c:pt>
                <c:pt idx="1">
                  <c:v>152.49966373679919</c:v>
                </c:pt>
                <c:pt idx="2">
                  <c:v>151.1570237367992</c:v>
                </c:pt>
                <c:pt idx="3">
                  <c:v>59.164514736799227</c:v>
                </c:pt>
                <c:pt idx="4">
                  <c:v>54.429298736799225</c:v>
                </c:pt>
                <c:pt idx="5">
                  <c:v>55.422443736799224</c:v>
                </c:pt>
                <c:pt idx="6">
                  <c:v>59.80860973679922</c:v>
                </c:pt>
                <c:pt idx="7">
                  <c:v>59.694464736799219</c:v>
                </c:pt>
                <c:pt idx="8">
                  <c:v>66.123284736799221</c:v>
                </c:pt>
                <c:pt idx="9">
                  <c:v>112.32351973679923</c:v>
                </c:pt>
                <c:pt idx="10">
                  <c:v>114.34453673679921</c:v>
                </c:pt>
                <c:pt idx="11">
                  <c:v>26.548409236799223</c:v>
                </c:pt>
                <c:pt idx="12">
                  <c:v>62.398569236799226</c:v>
                </c:pt>
                <c:pt idx="13">
                  <c:v>69.209950736799229</c:v>
                </c:pt>
                <c:pt idx="14">
                  <c:v>94.904499236799225</c:v>
                </c:pt>
                <c:pt idx="15">
                  <c:v>95.511209736799231</c:v>
                </c:pt>
                <c:pt idx="16">
                  <c:v>96.195459736799236</c:v>
                </c:pt>
                <c:pt idx="17">
                  <c:v>96.852896736799224</c:v>
                </c:pt>
                <c:pt idx="18">
                  <c:v>89.422878736799234</c:v>
                </c:pt>
                <c:pt idx="19">
                  <c:v>86.831224736799228</c:v>
                </c:pt>
                <c:pt idx="20">
                  <c:v>86.036842398799209</c:v>
                </c:pt>
                <c:pt idx="21" formatCode="0.0">
                  <c:v>87.024848034799234</c:v>
                </c:pt>
              </c:numCache>
            </c:numRef>
          </c:yVal>
          <c:smooth val="1"/>
          <c:extLst>
            <c:ext xmlns:c16="http://schemas.microsoft.com/office/drawing/2014/chart" uri="{C3380CC4-5D6E-409C-BE32-E72D297353CC}">
              <c16:uniqueId val="{00000001-3714-5744-B9DB-615A923ADF9A}"/>
            </c:ext>
          </c:extLst>
        </c:ser>
        <c:dLbls>
          <c:showLegendKey val="0"/>
          <c:showVal val="0"/>
          <c:showCatName val="0"/>
          <c:showSerName val="0"/>
          <c:showPercent val="0"/>
          <c:showBubbleSize val="0"/>
        </c:dLbls>
        <c:axId val="132633728"/>
        <c:axId val="132712320"/>
      </c:scatterChart>
      <c:valAx>
        <c:axId val="132633728"/>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2712320"/>
        <c:crosses val="autoZero"/>
        <c:crossBetween val="midCat"/>
        <c:majorUnit val="50"/>
        <c:minorUnit val="10"/>
      </c:valAx>
      <c:valAx>
        <c:axId val="132712320"/>
        <c:scaling>
          <c:orientation val="minMax"/>
          <c:max val="200"/>
          <c:min val="0"/>
        </c:scaling>
        <c:delete val="0"/>
        <c:axPos val="r"/>
        <c:title>
          <c:tx>
            <c:rich>
              <a:bodyPr rot="-5400000" vert="horz"/>
              <a:lstStyle/>
              <a:p>
                <a:pPr>
                  <a:defRPr sz="1200" b="0">
                    <a:solidFill>
                      <a:srgbClr val="333399"/>
                    </a:solidFill>
                  </a:defRPr>
                </a:pPr>
                <a:r>
                  <a:rPr lang="en-US" sz="1200" b="0">
                    <a:solidFill>
                      <a:srgbClr val="333399"/>
                    </a:solidFill>
                  </a:rPr>
                  <a:t>Long-term production , Gt</a:t>
                </a:r>
              </a:p>
            </c:rich>
          </c:tx>
          <c:layout>
            <c:manualLayout>
              <c:xMode val="edge"/>
              <c:yMode val="edge"/>
              <c:x val="0.96240681576144838"/>
              <c:y val="0.13599883347914943"/>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2633728"/>
        <c:crosses val="max"/>
        <c:crossBetween val="midCat"/>
        <c:majorUnit val="100"/>
        <c:minorUnit val="5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778487916283264"/>
          <c:h val="0.77264654418197765"/>
        </c:manualLayout>
      </c:layout>
      <c:scatterChart>
        <c:scatterStyle val="smoothMarker"/>
        <c:varyColors val="0"/>
        <c:ser>
          <c:idx val="3"/>
          <c:order val="0"/>
          <c:tx>
            <c:v>logit early</c:v>
          </c:tx>
          <c:spPr>
            <a:ln w="15875">
              <a:solidFill>
                <a:srgbClr val="008000"/>
              </a:solidFill>
              <a:prstDash val="solid"/>
            </a:ln>
          </c:spPr>
          <c:marker>
            <c:symbol val="none"/>
          </c:marker>
          <c:xVal>
            <c:numRef>
              <c:f>China!$D$40:$D$61</c:f>
              <c:numCache>
                <c:formatCode>General</c:formatCode>
                <c:ptCount val="22"/>
                <c:pt idx="0">
                  <c:v>1924</c:v>
                </c:pt>
                <c:pt idx="1">
                  <c:v>1925</c:v>
                </c:pt>
                <c:pt idx="2">
                  <c:v>1926</c:v>
                </c:pt>
                <c:pt idx="3">
                  <c:v>1927</c:v>
                </c:pt>
                <c:pt idx="4">
                  <c:v>1928</c:v>
                </c:pt>
                <c:pt idx="5">
                  <c:v>1929</c:v>
                </c:pt>
                <c:pt idx="6">
                  <c:v>1930</c:v>
                </c:pt>
                <c:pt idx="7">
                  <c:v>1931</c:v>
                </c:pt>
                <c:pt idx="8">
                  <c:v>1932</c:v>
                </c:pt>
                <c:pt idx="9">
                  <c:v>1933</c:v>
                </c:pt>
                <c:pt idx="10">
                  <c:v>1934</c:v>
                </c:pt>
                <c:pt idx="11">
                  <c:v>1935</c:v>
                </c:pt>
                <c:pt idx="12">
                  <c:v>1936</c:v>
                </c:pt>
                <c:pt idx="13">
                  <c:v>1937</c:v>
                </c:pt>
                <c:pt idx="14">
                  <c:v>1938</c:v>
                </c:pt>
                <c:pt idx="15">
                  <c:v>1939</c:v>
                </c:pt>
                <c:pt idx="16">
                  <c:v>1940</c:v>
                </c:pt>
                <c:pt idx="17">
                  <c:v>1941</c:v>
                </c:pt>
                <c:pt idx="18">
                  <c:v>1942</c:v>
                </c:pt>
                <c:pt idx="19">
                  <c:v>1943</c:v>
                </c:pt>
                <c:pt idx="20">
                  <c:v>1944</c:v>
                </c:pt>
                <c:pt idx="21">
                  <c:v>1945</c:v>
                </c:pt>
              </c:numCache>
            </c:numRef>
          </c:xVal>
          <c:yVal>
            <c:numRef>
              <c:f>China!$G$40:$G$61</c:f>
              <c:numCache>
                <c:formatCode>0.00</c:formatCode>
                <c:ptCount val="22"/>
                <c:pt idx="0">
                  <c:v>-6.2712138164423488</c:v>
                </c:pt>
                <c:pt idx="1">
                  <c:v>-6.1825503608682784</c:v>
                </c:pt>
                <c:pt idx="2">
                  <c:v>-6.1050119097775672</c:v>
                </c:pt>
                <c:pt idx="3">
                  <c:v>-6.0296253691038411</c:v>
                </c:pt>
                <c:pt idx="4">
                  <c:v>-5.956927462484785</c:v>
                </c:pt>
                <c:pt idx="5">
                  <c:v>-5.8882335534634889</c:v>
                </c:pt>
                <c:pt idx="6">
                  <c:v>-5.8224656944060138</c:v>
                </c:pt>
                <c:pt idx="7">
                  <c:v>-5.7579610137041772</c:v>
                </c:pt>
                <c:pt idx="8">
                  <c:v>-5.6992212608983301</c:v>
                </c:pt>
                <c:pt idx="9">
                  <c:v>-5.6396691414251654</c:v>
                </c:pt>
                <c:pt idx="10">
                  <c:v>-5.5750584254403979</c:v>
                </c:pt>
                <c:pt idx="11">
                  <c:v>-5.5048316493809049</c:v>
                </c:pt>
                <c:pt idx="12">
                  <c:v>-5.4369928447084437</c:v>
                </c:pt>
                <c:pt idx="13">
                  <c:v>-5.3772407563403748</c:v>
                </c:pt>
                <c:pt idx="14">
                  <c:v>-5.3282434564292069</c:v>
                </c:pt>
                <c:pt idx="15">
                  <c:v>-5.2721240981486721</c:v>
                </c:pt>
                <c:pt idx="16">
                  <c:v>-5.2078850581377942</c:v>
                </c:pt>
                <c:pt idx="17">
                  <c:v>-5.1325768462791261</c:v>
                </c:pt>
                <c:pt idx="18">
                  <c:v>-5.0546171178214454</c:v>
                </c:pt>
                <c:pt idx="19">
                  <c:v>-4.9918480565195429</c:v>
                </c:pt>
                <c:pt idx="20">
                  <c:v>-4.9356869657470712</c:v>
                </c:pt>
                <c:pt idx="21">
                  <c:v>-4.9064435504418684</c:v>
                </c:pt>
              </c:numCache>
            </c:numRef>
          </c:yVal>
          <c:smooth val="1"/>
          <c:extLst>
            <c:ext xmlns:c16="http://schemas.microsoft.com/office/drawing/2014/chart" uri="{C3380CC4-5D6E-409C-BE32-E72D297353CC}">
              <c16:uniqueId val="{00000000-E3D1-BC4F-A79D-9F0ABD9C5300}"/>
            </c:ext>
          </c:extLst>
        </c:ser>
        <c:ser>
          <c:idx val="0"/>
          <c:order val="1"/>
          <c:tx>
            <c:strRef>
              <c:f>China!$G$10</c:f>
              <c:strCache>
                <c:ptCount val="1"/>
                <c:pt idx="0">
                  <c:v>logit</c:v>
                </c:pt>
              </c:strCache>
            </c:strRef>
          </c:tx>
          <c:spPr>
            <a:ln w="15875">
              <a:solidFill>
                <a:srgbClr val="008000"/>
              </a:solidFill>
            </a:ln>
          </c:spPr>
          <c:marker>
            <c:symbol val="none"/>
          </c:marker>
          <c:xVal>
            <c:numRef>
              <c:f>China!$D$76:$D$192</c:f>
              <c:numCache>
                <c:formatCode>General</c:formatCode>
                <c:ptCount val="117"/>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pt idx="71">
                  <c:v>2031</c:v>
                </c:pt>
                <c:pt idx="72">
                  <c:v>2032</c:v>
                </c:pt>
                <c:pt idx="73">
                  <c:v>2033</c:v>
                </c:pt>
                <c:pt idx="74">
                  <c:v>2034</c:v>
                </c:pt>
                <c:pt idx="75">
                  <c:v>2035</c:v>
                </c:pt>
                <c:pt idx="76">
                  <c:v>2036</c:v>
                </c:pt>
                <c:pt idx="77">
                  <c:v>2037</c:v>
                </c:pt>
                <c:pt idx="78">
                  <c:v>2038</c:v>
                </c:pt>
                <c:pt idx="79">
                  <c:v>2039</c:v>
                </c:pt>
                <c:pt idx="80">
                  <c:v>2040</c:v>
                </c:pt>
                <c:pt idx="81">
                  <c:v>2041</c:v>
                </c:pt>
                <c:pt idx="82">
                  <c:v>2042</c:v>
                </c:pt>
                <c:pt idx="83">
                  <c:v>2043</c:v>
                </c:pt>
                <c:pt idx="84">
                  <c:v>2044</c:v>
                </c:pt>
                <c:pt idx="85">
                  <c:v>2045</c:v>
                </c:pt>
                <c:pt idx="86">
                  <c:v>2046</c:v>
                </c:pt>
                <c:pt idx="87">
                  <c:v>2047</c:v>
                </c:pt>
                <c:pt idx="88">
                  <c:v>2048</c:v>
                </c:pt>
                <c:pt idx="89">
                  <c:v>2049</c:v>
                </c:pt>
                <c:pt idx="90">
                  <c:v>2050</c:v>
                </c:pt>
                <c:pt idx="91">
                  <c:v>2051</c:v>
                </c:pt>
                <c:pt idx="92">
                  <c:v>2052</c:v>
                </c:pt>
                <c:pt idx="93">
                  <c:v>2053</c:v>
                </c:pt>
                <c:pt idx="94">
                  <c:v>2054</c:v>
                </c:pt>
                <c:pt idx="95">
                  <c:v>2055</c:v>
                </c:pt>
                <c:pt idx="96">
                  <c:v>2056</c:v>
                </c:pt>
                <c:pt idx="97">
                  <c:v>2057</c:v>
                </c:pt>
                <c:pt idx="98">
                  <c:v>2058</c:v>
                </c:pt>
                <c:pt idx="99">
                  <c:v>2059</c:v>
                </c:pt>
                <c:pt idx="100">
                  <c:v>2060</c:v>
                </c:pt>
                <c:pt idx="101">
                  <c:v>2061</c:v>
                </c:pt>
                <c:pt idx="102">
                  <c:v>2062</c:v>
                </c:pt>
                <c:pt idx="103">
                  <c:v>2063</c:v>
                </c:pt>
                <c:pt idx="104">
                  <c:v>2064</c:v>
                </c:pt>
                <c:pt idx="105">
                  <c:v>2065</c:v>
                </c:pt>
                <c:pt idx="106">
                  <c:v>2066</c:v>
                </c:pt>
                <c:pt idx="107">
                  <c:v>2067</c:v>
                </c:pt>
                <c:pt idx="108">
                  <c:v>2068</c:v>
                </c:pt>
                <c:pt idx="109">
                  <c:v>2069</c:v>
                </c:pt>
                <c:pt idx="110">
                  <c:v>2070</c:v>
                </c:pt>
                <c:pt idx="111">
                  <c:v>2071</c:v>
                </c:pt>
                <c:pt idx="112">
                  <c:v>2072</c:v>
                </c:pt>
                <c:pt idx="113">
                  <c:v>2073</c:v>
                </c:pt>
                <c:pt idx="114">
                  <c:v>2074</c:v>
                </c:pt>
                <c:pt idx="115">
                  <c:v>2075</c:v>
                </c:pt>
                <c:pt idx="116">
                  <c:v>2076</c:v>
                </c:pt>
              </c:numCache>
            </c:numRef>
          </c:xVal>
          <c:yVal>
            <c:numRef>
              <c:f>China!$G$76:$G$192</c:f>
              <c:numCache>
                <c:formatCode>0.00</c:formatCode>
                <c:ptCount val="117"/>
                <c:pt idx="0">
                  <c:v>-3.8824016225375297</c:v>
                </c:pt>
                <c:pt idx="1">
                  <c:v>-3.7859919176881949</c:v>
                </c:pt>
                <c:pt idx="2">
                  <c:v>-3.7155800835659187</c:v>
                </c:pt>
                <c:pt idx="3">
                  <c:v>-3.6503179765256544</c:v>
                </c:pt>
                <c:pt idx="4">
                  <c:v>-3.5895523626070194</c:v>
                </c:pt>
                <c:pt idx="5">
                  <c:v>-3.5276100321842412</c:v>
                </c:pt>
                <c:pt idx="6">
                  <c:v>-3.4642659252875352</c:v>
                </c:pt>
                <c:pt idx="7">
                  <c:v>-3.4151153683571018</c:v>
                </c:pt>
                <c:pt idx="8">
                  <c:v>-3.3650279578058915</c:v>
                </c:pt>
                <c:pt idx="9">
                  <c:v>-3.3073422016750067</c:v>
                </c:pt>
                <c:pt idx="10">
                  <c:v>-3.2350631101236536</c:v>
                </c:pt>
                <c:pt idx="11">
                  <c:v>-3.1602268929027719</c:v>
                </c:pt>
                <c:pt idx="12">
                  <c:v>-3.0870694867324202</c:v>
                </c:pt>
                <c:pt idx="13">
                  <c:v>-3.0174406696182272</c:v>
                </c:pt>
                <c:pt idx="14">
                  <c:v>-2.9525278858953126</c:v>
                </c:pt>
                <c:pt idx="15">
                  <c:v>-2.8812712546427308</c:v>
                </c:pt>
                <c:pt idx="16">
                  <c:v>-2.8141197154910587</c:v>
                </c:pt>
                <c:pt idx="17">
                  <c:v>-2.7422046091557553</c:v>
                </c:pt>
                <c:pt idx="18">
                  <c:v>-2.6665820073233557</c:v>
                </c:pt>
                <c:pt idx="19">
                  <c:v>-2.5936621985578121</c:v>
                </c:pt>
                <c:pt idx="20">
                  <c:v>-2.526668250424295</c:v>
                </c:pt>
                <c:pt idx="21">
                  <c:v>-2.463654151936836</c:v>
                </c:pt>
                <c:pt idx="22">
                  <c:v>-2.3991130056702175</c:v>
                </c:pt>
                <c:pt idx="23">
                  <c:v>-2.3335544983616936</c:v>
                </c:pt>
                <c:pt idx="24">
                  <c:v>-2.2650300267620578</c:v>
                </c:pt>
                <c:pt idx="25">
                  <c:v>-2.1934804618316757</c:v>
                </c:pt>
                <c:pt idx="26">
                  <c:v>-2.1241632077608448</c:v>
                </c:pt>
                <c:pt idx="27">
                  <c:v>-2.0559959741481486</c:v>
                </c:pt>
                <c:pt idx="28">
                  <c:v>-1.9877139582492027</c:v>
                </c:pt>
                <c:pt idx="29">
                  <c:v>-1.9180049719248715</c:v>
                </c:pt>
                <c:pt idx="30">
                  <c:v>-1.8501556307994507</c:v>
                </c:pt>
                <c:pt idx="31">
                  <c:v>-1.7850617880442645</c:v>
                </c:pt>
                <c:pt idx="32">
                  <c:v>-1.7212339352631494</c:v>
                </c:pt>
                <c:pt idx="33">
                  <c:v>-1.6582868992761739</c:v>
                </c:pt>
                <c:pt idx="34">
                  <c:v>-1.5933438402530573</c:v>
                </c:pt>
                <c:pt idx="35">
                  <c:v>-1.5251440658537279</c:v>
                </c:pt>
                <c:pt idx="36">
                  <c:v>-1.4581174752914197</c:v>
                </c:pt>
                <c:pt idx="37">
                  <c:v>-1.3948555152613704</c:v>
                </c:pt>
                <c:pt idx="38">
                  <c:v>-1.3392812823720659</c:v>
                </c:pt>
                <c:pt idx="39">
                  <c:v>-1.2841849839408161</c:v>
                </c:pt>
                <c:pt idx="40">
                  <c:v>-1.2299662687319086</c:v>
                </c:pt>
                <c:pt idx="41">
                  <c:v>-1.174024857962634</c:v>
                </c:pt>
                <c:pt idx="42">
                  <c:v>-1.1168570942725007</c:v>
                </c:pt>
                <c:pt idx="43">
                  <c:v>-1.0512475511968651</c:v>
                </c:pt>
                <c:pt idx="44">
                  <c:v>-0.97783480996536198</c:v>
                </c:pt>
                <c:pt idx="45">
                  <c:v>-0.89930547453823673</c:v>
                </c:pt>
                <c:pt idx="46">
                  <c:v>-0.81762290085782185</c:v>
                </c:pt>
                <c:pt idx="47">
                  <c:v>-0.73342108810326367</c:v>
                </c:pt>
                <c:pt idx="48">
                  <c:v>-0.64279040301410073</c:v>
                </c:pt>
                <c:pt idx="49">
                  <c:v>-0.54699133368680053</c:v>
                </c:pt>
              </c:numCache>
            </c:numRef>
          </c:yVal>
          <c:smooth val="1"/>
          <c:extLst>
            <c:ext xmlns:c16="http://schemas.microsoft.com/office/drawing/2014/chart" uri="{C3380CC4-5D6E-409C-BE32-E72D297353CC}">
              <c16:uniqueId val="{00000001-E3D1-BC4F-A79D-9F0ABD9C5300}"/>
            </c:ext>
          </c:extLst>
        </c:ser>
        <c:ser>
          <c:idx val="1"/>
          <c:order val="2"/>
          <c:tx>
            <c:strRef>
              <c:f>China!$G$6</c:f>
              <c:strCache>
                <c:ptCount val="1"/>
                <c:pt idx="0">
                  <c:v>trend early</c:v>
                </c:pt>
              </c:strCache>
            </c:strRef>
          </c:tx>
          <c:spPr>
            <a:ln w="15875">
              <a:solidFill>
                <a:srgbClr val="808080"/>
              </a:solidFill>
              <a:prstDash val="dash"/>
            </a:ln>
          </c:spPr>
          <c:marker>
            <c:symbol val="none"/>
          </c:marker>
          <c:xVal>
            <c:numRef>
              <c:f>China!$E$6:$E$7</c:f>
              <c:numCache>
                <c:formatCode>0</c:formatCode>
                <c:ptCount val="2"/>
                <c:pt idx="0" formatCode="General">
                  <c:v>1924</c:v>
                </c:pt>
                <c:pt idx="1">
                  <c:v>1945</c:v>
                </c:pt>
              </c:numCache>
            </c:numRef>
          </c:xVal>
          <c:yVal>
            <c:numRef>
              <c:f>China!$F$6:$F$7</c:f>
              <c:numCache>
                <c:formatCode>0.00</c:formatCode>
                <c:ptCount val="2"/>
                <c:pt idx="0">
                  <c:v>-6.2268878700268449</c:v>
                </c:pt>
                <c:pt idx="1">
                  <c:v>-4.8709692579703416</c:v>
                </c:pt>
              </c:numCache>
            </c:numRef>
          </c:yVal>
          <c:smooth val="1"/>
          <c:extLst>
            <c:ext xmlns:c16="http://schemas.microsoft.com/office/drawing/2014/chart" uri="{C3380CC4-5D6E-409C-BE32-E72D297353CC}">
              <c16:uniqueId val="{00000002-E3D1-BC4F-A79D-9F0ABD9C5300}"/>
            </c:ext>
          </c:extLst>
        </c:ser>
        <c:ser>
          <c:idx val="2"/>
          <c:order val="3"/>
          <c:tx>
            <c:strRef>
              <c:f>China!$G$3</c:f>
              <c:strCache>
                <c:ptCount val="1"/>
                <c:pt idx="0">
                  <c:v>trend current</c:v>
                </c:pt>
              </c:strCache>
            </c:strRef>
          </c:tx>
          <c:spPr>
            <a:ln w="15875">
              <a:solidFill>
                <a:srgbClr val="808080"/>
              </a:solidFill>
              <a:prstDash val="dash"/>
            </a:ln>
          </c:spPr>
          <c:marker>
            <c:symbol val="none"/>
          </c:marker>
          <c:xVal>
            <c:numRef>
              <c:f>China!$E$3:$E$4</c:f>
              <c:numCache>
                <c:formatCode>0</c:formatCode>
                <c:ptCount val="2"/>
                <c:pt idx="0">
                  <c:v>1960</c:v>
                </c:pt>
                <c:pt idx="1">
                  <c:v>2009</c:v>
                </c:pt>
              </c:numCache>
            </c:numRef>
          </c:xVal>
          <c:yVal>
            <c:numRef>
              <c:f>China!$F$3:$F$4</c:f>
              <c:numCache>
                <c:formatCode>0.00</c:formatCode>
                <c:ptCount val="2"/>
                <c:pt idx="0">
                  <c:v>-3.8707811369257032</c:v>
                </c:pt>
                <c:pt idx="1">
                  <c:v>-0.60603802245157434</c:v>
                </c:pt>
              </c:numCache>
            </c:numRef>
          </c:yVal>
          <c:smooth val="1"/>
          <c:extLst>
            <c:ext xmlns:c16="http://schemas.microsoft.com/office/drawing/2014/chart" uri="{C3380CC4-5D6E-409C-BE32-E72D297353CC}">
              <c16:uniqueId val="{00000003-E3D1-BC4F-A79D-9F0ABD9C5300}"/>
            </c:ext>
          </c:extLst>
        </c:ser>
        <c:ser>
          <c:idx val="4"/>
          <c:order val="4"/>
          <c:tx>
            <c:v>early logit early</c:v>
          </c:tx>
          <c:spPr>
            <a:ln w="15875">
              <a:solidFill>
                <a:srgbClr val="008000"/>
              </a:solidFill>
              <a:prstDash val="lgDash"/>
            </a:ln>
          </c:spPr>
          <c:marker>
            <c:symbol val="none"/>
          </c:marker>
          <c:xVal>
            <c:numRef>
              <c:f>China!$D$12:$D$39</c:f>
              <c:numCache>
                <c:formatCode>General</c:formatCode>
                <c:ptCount val="28"/>
                <c:pt idx="0">
                  <c:v>1896</c:v>
                </c:pt>
                <c:pt idx="1">
                  <c:v>1897</c:v>
                </c:pt>
                <c:pt idx="2">
                  <c:v>1898</c:v>
                </c:pt>
                <c:pt idx="3">
                  <c:v>1899</c:v>
                </c:pt>
                <c:pt idx="4">
                  <c:v>1900</c:v>
                </c:pt>
                <c:pt idx="5">
                  <c:v>1901</c:v>
                </c:pt>
                <c:pt idx="6">
                  <c:v>1902</c:v>
                </c:pt>
                <c:pt idx="7">
                  <c:v>1903</c:v>
                </c:pt>
                <c:pt idx="8">
                  <c:v>1904</c:v>
                </c:pt>
                <c:pt idx="9">
                  <c:v>1905</c:v>
                </c:pt>
                <c:pt idx="10">
                  <c:v>1906</c:v>
                </c:pt>
                <c:pt idx="11">
                  <c:v>1907</c:v>
                </c:pt>
                <c:pt idx="12">
                  <c:v>1908</c:v>
                </c:pt>
                <c:pt idx="13">
                  <c:v>1909</c:v>
                </c:pt>
                <c:pt idx="14">
                  <c:v>1910</c:v>
                </c:pt>
                <c:pt idx="15">
                  <c:v>1911</c:v>
                </c:pt>
                <c:pt idx="16">
                  <c:v>1912</c:v>
                </c:pt>
                <c:pt idx="17">
                  <c:v>1913</c:v>
                </c:pt>
                <c:pt idx="18">
                  <c:v>1914</c:v>
                </c:pt>
                <c:pt idx="19">
                  <c:v>1915</c:v>
                </c:pt>
                <c:pt idx="20">
                  <c:v>1916</c:v>
                </c:pt>
                <c:pt idx="21">
                  <c:v>1917</c:v>
                </c:pt>
                <c:pt idx="22">
                  <c:v>1918</c:v>
                </c:pt>
                <c:pt idx="23">
                  <c:v>1919</c:v>
                </c:pt>
                <c:pt idx="24">
                  <c:v>1920</c:v>
                </c:pt>
                <c:pt idx="25">
                  <c:v>1921</c:v>
                </c:pt>
                <c:pt idx="26">
                  <c:v>1922</c:v>
                </c:pt>
                <c:pt idx="27">
                  <c:v>1923</c:v>
                </c:pt>
              </c:numCache>
            </c:numRef>
          </c:xVal>
          <c:yVal>
            <c:numRef>
              <c:f>China!$G$12:$G$39</c:f>
              <c:numCache>
                <c:formatCode>0.00</c:formatCode>
                <c:ptCount val="28"/>
                <c:pt idx="0">
                  <c:v>-12.557425261375775</c:v>
                </c:pt>
                <c:pt idx="1">
                  <c:v>-11.814413426367199</c:v>
                </c:pt>
                <c:pt idx="2">
                  <c:v>-11.248143780259282</c:v>
                </c:pt>
                <c:pt idx="3">
                  <c:v>-10.866325825183127</c:v>
                </c:pt>
                <c:pt idx="4">
                  <c:v>-10.637689253317735</c:v>
                </c:pt>
                <c:pt idx="5">
                  <c:v>-10.492507547094357</c:v>
                </c:pt>
                <c:pt idx="6">
                  <c:v>-10.271408253925069</c:v>
                </c:pt>
                <c:pt idx="7">
                  <c:v>-10.078034047661244</c:v>
                </c:pt>
                <c:pt idx="8">
                  <c:v>-9.8805529140114867</c:v>
                </c:pt>
                <c:pt idx="9">
                  <c:v>-9.7072763091986261</c:v>
                </c:pt>
                <c:pt idx="10">
                  <c:v>-9.5244399832231164</c:v>
                </c:pt>
                <c:pt idx="11">
                  <c:v>-9.3291416970443652</c:v>
                </c:pt>
                <c:pt idx="12">
                  <c:v>-9.1254128531352148</c:v>
                </c:pt>
                <c:pt idx="13">
                  <c:v>-8.8976971875070099</c:v>
                </c:pt>
                <c:pt idx="14">
                  <c:v>-8.6963166435298778</c:v>
                </c:pt>
                <c:pt idx="15">
                  <c:v>-8.4919794504019297</c:v>
                </c:pt>
                <c:pt idx="16">
                  <c:v>-8.2177853468284177</c:v>
                </c:pt>
                <c:pt idx="17">
                  <c:v>-7.9239374303478636</c:v>
                </c:pt>
                <c:pt idx="18">
                  <c:v>-7.6766375213073559</c:v>
                </c:pt>
                <c:pt idx="19">
                  <c:v>-7.4872638510218446</c:v>
                </c:pt>
                <c:pt idx="20">
                  <c:v>-7.3011725707791868</c:v>
                </c:pt>
                <c:pt idx="21">
                  <c:v>-7.1352247395770423</c:v>
                </c:pt>
                <c:pt idx="22">
                  <c:v>-6.9816790692925252</c:v>
                </c:pt>
                <c:pt idx="23">
                  <c:v>-6.836980008153807</c:v>
                </c:pt>
                <c:pt idx="24">
                  <c:v>-6.7034510875771041</c:v>
                </c:pt>
                <c:pt idx="25">
                  <c:v>-6.5898326857080445</c:v>
                </c:pt>
                <c:pt idx="26">
                  <c:v>-6.4847666987444912</c:v>
                </c:pt>
                <c:pt idx="27">
                  <c:v>-6.3749205039426622</c:v>
                </c:pt>
              </c:numCache>
            </c:numRef>
          </c:yVal>
          <c:smooth val="1"/>
          <c:extLst>
            <c:ext xmlns:c16="http://schemas.microsoft.com/office/drawing/2014/chart" uri="{C3380CC4-5D6E-409C-BE32-E72D297353CC}">
              <c16:uniqueId val="{00000004-E3D1-BC4F-A79D-9F0ABD9C5300}"/>
            </c:ext>
          </c:extLst>
        </c:ser>
        <c:ser>
          <c:idx val="5"/>
          <c:order val="5"/>
          <c:tx>
            <c:v>early logit</c:v>
          </c:tx>
          <c:spPr>
            <a:ln w="15875">
              <a:solidFill>
                <a:srgbClr val="008000"/>
              </a:solidFill>
              <a:prstDash val="lgDash"/>
            </a:ln>
          </c:spPr>
          <c:marker>
            <c:symbol val="none"/>
          </c:marker>
          <c:xVal>
            <c:numRef>
              <c:f>China!$D$62:$D$75</c:f>
              <c:numCache>
                <c:formatCode>General</c:formatCode>
                <c:ptCount val="14"/>
                <c:pt idx="0">
                  <c:v>1946</c:v>
                </c:pt>
                <c:pt idx="1">
                  <c:v>1947</c:v>
                </c:pt>
                <c:pt idx="2">
                  <c:v>1948</c:v>
                </c:pt>
                <c:pt idx="3">
                  <c:v>1949</c:v>
                </c:pt>
                <c:pt idx="4">
                  <c:v>1950</c:v>
                </c:pt>
                <c:pt idx="5">
                  <c:v>1951</c:v>
                </c:pt>
                <c:pt idx="6">
                  <c:v>1952</c:v>
                </c:pt>
                <c:pt idx="7">
                  <c:v>1953</c:v>
                </c:pt>
                <c:pt idx="8">
                  <c:v>1954</c:v>
                </c:pt>
                <c:pt idx="9">
                  <c:v>1955</c:v>
                </c:pt>
                <c:pt idx="10">
                  <c:v>1956</c:v>
                </c:pt>
                <c:pt idx="11">
                  <c:v>1957</c:v>
                </c:pt>
                <c:pt idx="12">
                  <c:v>1958</c:v>
                </c:pt>
                <c:pt idx="13">
                  <c:v>1959</c:v>
                </c:pt>
              </c:numCache>
            </c:numRef>
          </c:xVal>
          <c:yVal>
            <c:numRef>
              <c:f>China!$G$62:$G$75</c:f>
              <c:numCache>
                <c:formatCode>0.00</c:formatCode>
                <c:ptCount val="14"/>
                <c:pt idx="0">
                  <c:v>-4.8879606997729228</c:v>
                </c:pt>
                <c:pt idx="1">
                  <c:v>-4.8669506333026833</c:v>
                </c:pt>
                <c:pt idx="2">
                  <c:v>-4.8480404857192774</c:v>
                </c:pt>
                <c:pt idx="3">
                  <c:v>-4.8182622112561626</c:v>
                </c:pt>
                <c:pt idx="4">
                  <c:v>-4.7801471533797537</c:v>
                </c:pt>
                <c:pt idx="5">
                  <c:v>-4.7349034202354972</c:v>
                </c:pt>
                <c:pt idx="6">
                  <c:v>-4.6809275237573731</c:v>
                </c:pt>
                <c:pt idx="7">
                  <c:v>-4.6272725440533424</c:v>
                </c:pt>
                <c:pt idx="8">
                  <c:v>-4.5663730816756676</c:v>
                </c:pt>
                <c:pt idx="9">
                  <c:v>-4.4991695849028552</c:v>
                </c:pt>
                <c:pt idx="10">
                  <c:v>-4.4286366417870742</c:v>
                </c:pt>
                <c:pt idx="11">
                  <c:v>-4.3509212484241724</c:v>
                </c:pt>
                <c:pt idx="12">
                  <c:v>-4.2069239104979186</c:v>
                </c:pt>
                <c:pt idx="13">
                  <c:v>-4.0379948708144653</c:v>
                </c:pt>
              </c:numCache>
            </c:numRef>
          </c:yVal>
          <c:smooth val="1"/>
          <c:extLst>
            <c:ext xmlns:c16="http://schemas.microsoft.com/office/drawing/2014/chart" uri="{C3380CC4-5D6E-409C-BE32-E72D297353CC}">
              <c16:uniqueId val="{00000005-E3D1-BC4F-A79D-9F0ABD9C5300}"/>
            </c:ext>
          </c:extLst>
        </c:ser>
        <c:dLbls>
          <c:showLegendKey val="0"/>
          <c:showVal val="0"/>
          <c:showCatName val="0"/>
          <c:showSerName val="0"/>
          <c:showPercent val="0"/>
          <c:showBubbleSize val="0"/>
        </c:dLbls>
        <c:axId val="132881408"/>
        <c:axId val="132899584"/>
      </c:scatterChart>
      <c:valAx>
        <c:axId val="132881408"/>
        <c:scaling>
          <c:orientation val="minMax"/>
          <c:max val="2010"/>
          <c:min val="1910"/>
        </c:scaling>
        <c:delete val="0"/>
        <c:axPos val="b"/>
        <c:numFmt formatCode="General" sourceLinked="1"/>
        <c:majorTickMark val="in"/>
        <c:minorTickMark val="in"/>
        <c:tickLblPos val="nextTo"/>
        <c:spPr>
          <a:ln>
            <a:solidFill>
              <a:srgbClr val="333399"/>
            </a:solidFill>
          </a:ln>
        </c:spPr>
        <c:crossAx val="132899584"/>
        <c:crossesAt val="-100"/>
        <c:crossBetween val="midCat"/>
        <c:majorUnit val="50"/>
        <c:minorUnit val="10"/>
      </c:valAx>
      <c:valAx>
        <c:axId val="132899584"/>
        <c:scaling>
          <c:orientation val="minMax"/>
          <c:max val="0"/>
          <c:min val="-8"/>
        </c:scaling>
        <c:delete val="0"/>
        <c:axPos val="r"/>
        <c:title>
          <c:tx>
            <c:rich>
              <a:bodyPr rot="-5400000" vert="horz"/>
              <a:lstStyle/>
              <a:p>
                <a:pPr>
                  <a:defRPr b="0"/>
                </a:pPr>
                <a:r>
                  <a:rPr lang="en-US" b="0"/>
                  <a:t>logit (</a:t>
                </a:r>
                <a:r>
                  <a:rPr lang="en-US" b="0" i="1"/>
                  <a:t>q</a:t>
                </a:r>
                <a:r>
                  <a:rPr lang="en-US" b="0"/>
                  <a:t>/</a:t>
                </a:r>
                <a:r>
                  <a:rPr lang="en-US" b="0" i="1"/>
                  <a:t>Q</a:t>
                </a:r>
                <a:r>
                  <a:rPr lang="en-US" b="0"/>
                  <a:t>)</a:t>
                </a:r>
              </a:p>
            </c:rich>
          </c:tx>
          <c:layout>
            <c:manualLayout>
              <c:xMode val="edge"/>
              <c:yMode val="edge"/>
              <c:x val="0.96179653679653765"/>
              <c:y val="0.28854512977544688"/>
            </c:manualLayout>
          </c:layout>
          <c:overlay val="0"/>
        </c:title>
        <c:numFmt formatCode="0" sourceLinked="0"/>
        <c:majorTickMark val="in"/>
        <c:minorTickMark val="in"/>
        <c:tickLblPos val="nextTo"/>
        <c:spPr>
          <a:ln>
            <a:solidFill>
              <a:srgbClr val="333399"/>
            </a:solidFill>
          </a:ln>
        </c:spPr>
        <c:crossAx val="132881408"/>
        <c:crosses val="max"/>
        <c:crossBetween val="midCat"/>
        <c:majorUnit val="4"/>
        <c:minorUnit val="1"/>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2426764836213651"/>
          <c:h val="0.77264654418197765"/>
        </c:manualLayout>
      </c:layout>
      <c:scatterChart>
        <c:scatterStyle val="smoothMarker"/>
        <c:varyColors val="0"/>
        <c:ser>
          <c:idx val="0"/>
          <c:order val="0"/>
          <c:tx>
            <c:strRef>
              <c:f>China!$E$10</c:f>
              <c:strCache>
                <c:ptCount val="1"/>
                <c:pt idx="0">
                  <c:v>p Mt</c:v>
                </c:pt>
              </c:strCache>
            </c:strRef>
          </c:tx>
          <c:spPr>
            <a:ln w="15875">
              <a:solidFill>
                <a:srgbClr val="008000"/>
              </a:solidFill>
            </a:ln>
          </c:spPr>
          <c:marker>
            <c:symbol val="none"/>
          </c:marker>
          <c:xVal>
            <c:numRef>
              <c:f>China!$D$12:$D$283</c:f>
              <c:numCache>
                <c:formatCode>General</c:formatCode>
                <c:ptCount val="272"/>
                <c:pt idx="0">
                  <c:v>1896</c:v>
                </c:pt>
                <c:pt idx="1">
                  <c:v>1897</c:v>
                </c:pt>
                <c:pt idx="2">
                  <c:v>1898</c:v>
                </c:pt>
                <c:pt idx="3">
                  <c:v>1899</c:v>
                </c:pt>
                <c:pt idx="4">
                  <c:v>1900</c:v>
                </c:pt>
                <c:pt idx="5">
                  <c:v>1901</c:v>
                </c:pt>
                <c:pt idx="6">
                  <c:v>1902</c:v>
                </c:pt>
                <c:pt idx="7">
                  <c:v>1903</c:v>
                </c:pt>
                <c:pt idx="8">
                  <c:v>1904</c:v>
                </c:pt>
                <c:pt idx="9">
                  <c:v>1905</c:v>
                </c:pt>
                <c:pt idx="10">
                  <c:v>1906</c:v>
                </c:pt>
                <c:pt idx="11">
                  <c:v>1907</c:v>
                </c:pt>
                <c:pt idx="12">
                  <c:v>1908</c:v>
                </c:pt>
                <c:pt idx="13">
                  <c:v>1909</c:v>
                </c:pt>
                <c:pt idx="14">
                  <c:v>1910</c:v>
                </c:pt>
                <c:pt idx="15">
                  <c:v>1911</c:v>
                </c:pt>
                <c:pt idx="16">
                  <c:v>1912</c:v>
                </c:pt>
                <c:pt idx="17">
                  <c:v>1913</c:v>
                </c:pt>
                <c:pt idx="18">
                  <c:v>1914</c:v>
                </c:pt>
                <c:pt idx="19">
                  <c:v>1915</c:v>
                </c:pt>
                <c:pt idx="20">
                  <c:v>1916</c:v>
                </c:pt>
                <c:pt idx="21">
                  <c:v>1917</c:v>
                </c:pt>
                <c:pt idx="22">
                  <c:v>1918</c:v>
                </c:pt>
                <c:pt idx="23">
                  <c:v>1919</c:v>
                </c:pt>
                <c:pt idx="24">
                  <c:v>1920</c:v>
                </c:pt>
                <c:pt idx="25">
                  <c:v>1921</c:v>
                </c:pt>
                <c:pt idx="26">
                  <c:v>1922</c:v>
                </c:pt>
                <c:pt idx="27">
                  <c:v>1923</c:v>
                </c:pt>
                <c:pt idx="28">
                  <c:v>1924</c:v>
                </c:pt>
                <c:pt idx="29">
                  <c:v>1925</c:v>
                </c:pt>
                <c:pt idx="30">
                  <c:v>1926</c:v>
                </c:pt>
                <c:pt idx="31">
                  <c:v>1927</c:v>
                </c:pt>
                <c:pt idx="32">
                  <c:v>1928</c:v>
                </c:pt>
                <c:pt idx="33">
                  <c:v>1929</c:v>
                </c:pt>
                <c:pt idx="34">
                  <c:v>1930</c:v>
                </c:pt>
                <c:pt idx="35">
                  <c:v>1931</c:v>
                </c:pt>
                <c:pt idx="36">
                  <c:v>1932</c:v>
                </c:pt>
                <c:pt idx="37">
                  <c:v>1933</c:v>
                </c:pt>
                <c:pt idx="38">
                  <c:v>1934</c:v>
                </c:pt>
                <c:pt idx="39">
                  <c:v>1935</c:v>
                </c:pt>
                <c:pt idx="40">
                  <c:v>1936</c:v>
                </c:pt>
                <c:pt idx="41">
                  <c:v>1937</c:v>
                </c:pt>
                <c:pt idx="42">
                  <c:v>1938</c:v>
                </c:pt>
                <c:pt idx="43">
                  <c:v>1939</c:v>
                </c:pt>
                <c:pt idx="44">
                  <c:v>1940</c:v>
                </c:pt>
                <c:pt idx="45">
                  <c:v>1941</c:v>
                </c:pt>
                <c:pt idx="46">
                  <c:v>1942</c:v>
                </c:pt>
                <c:pt idx="47">
                  <c:v>1943</c:v>
                </c:pt>
                <c:pt idx="48">
                  <c:v>1944</c:v>
                </c:pt>
                <c:pt idx="49">
                  <c:v>1945</c:v>
                </c:pt>
                <c:pt idx="50">
                  <c:v>1946</c:v>
                </c:pt>
                <c:pt idx="51">
                  <c:v>1947</c:v>
                </c:pt>
                <c:pt idx="52">
                  <c:v>1948</c:v>
                </c:pt>
                <c:pt idx="53">
                  <c:v>1949</c:v>
                </c:pt>
                <c:pt idx="54">
                  <c:v>1950</c:v>
                </c:pt>
                <c:pt idx="55">
                  <c:v>1951</c:v>
                </c:pt>
                <c:pt idx="56">
                  <c:v>1952</c:v>
                </c:pt>
                <c:pt idx="57">
                  <c:v>1953</c:v>
                </c:pt>
                <c:pt idx="58">
                  <c:v>1954</c:v>
                </c:pt>
                <c:pt idx="59">
                  <c:v>1955</c:v>
                </c:pt>
                <c:pt idx="60">
                  <c:v>1956</c:v>
                </c:pt>
                <c:pt idx="61">
                  <c:v>1957</c:v>
                </c:pt>
                <c:pt idx="62">
                  <c:v>1958</c:v>
                </c:pt>
                <c:pt idx="63">
                  <c:v>1959</c:v>
                </c:pt>
                <c:pt idx="64">
                  <c:v>1960</c:v>
                </c:pt>
                <c:pt idx="65">
                  <c:v>1961</c:v>
                </c:pt>
                <c:pt idx="66">
                  <c:v>1962</c:v>
                </c:pt>
                <c:pt idx="67">
                  <c:v>1963</c:v>
                </c:pt>
                <c:pt idx="68">
                  <c:v>1964</c:v>
                </c:pt>
                <c:pt idx="69">
                  <c:v>1965</c:v>
                </c:pt>
                <c:pt idx="70">
                  <c:v>1966</c:v>
                </c:pt>
                <c:pt idx="71">
                  <c:v>1967</c:v>
                </c:pt>
                <c:pt idx="72">
                  <c:v>1968</c:v>
                </c:pt>
                <c:pt idx="73">
                  <c:v>1969</c:v>
                </c:pt>
                <c:pt idx="74">
                  <c:v>1970</c:v>
                </c:pt>
                <c:pt idx="75">
                  <c:v>1971</c:v>
                </c:pt>
                <c:pt idx="76">
                  <c:v>1972</c:v>
                </c:pt>
                <c:pt idx="77">
                  <c:v>1973</c:v>
                </c:pt>
                <c:pt idx="78">
                  <c:v>1974</c:v>
                </c:pt>
                <c:pt idx="79">
                  <c:v>1975</c:v>
                </c:pt>
                <c:pt idx="80">
                  <c:v>1976</c:v>
                </c:pt>
                <c:pt idx="81">
                  <c:v>1977</c:v>
                </c:pt>
                <c:pt idx="82">
                  <c:v>1978</c:v>
                </c:pt>
                <c:pt idx="83">
                  <c:v>1979</c:v>
                </c:pt>
                <c:pt idx="84">
                  <c:v>1980</c:v>
                </c:pt>
                <c:pt idx="85">
                  <c:v>1981</c:v>
                </c:pt>
                <c:pt idx="86">
                  <c:v>1982</c:v>
                </c:pt>
                <c:pt idx="87">
                  <c:v>1983</c:v>
                </c:pt>
                <c:pt idx="88">
                  <c:v>1984</c:v>
                </c:pt>
                <c:pt idx="89">
                  <c:v>1985</c:v>
                </c:pt>
                <c:pt idx="90">
                  <c:v>1986</c:v>
                </c:pt>
                <c:pt idx="91">
                  <c:v>1987</c:v>
                </c:pt>
                <c:pt idx="92">
                  <c:v>1988</c:v>
                </c:pt>
                <c:pt idx="93">
                  <c:v>1989</c:v>
                </c:pt>
                <c:pt idx="94">
                  <c:v>1990</c:v>
                </c:pt>
                <c:pt idx="95">
                  <c:v>1991</c:v>
                </c:pt>
                <c:pt idx="96">
                  <c:v>1992</c:v>
                </c:pt>
                <c:pt idx="97">
                  <c:v>1993</c:v>
                </c:pt>
                <c:pt idx="98">
                  <c:v>1994</c:v>
                </c:pt>
                <c:pt idx="99">
                  <c:v>1995</c:v>
                </c:pt>
                <c:pt idx="100">
                  <c:v>1996</c:v>
                </c:pt>
                <c:pt idx="101">
                  <c:v>1997</c:v>
                </c:pt>
                <c:pt idx="102">
                  <c:v>1998</c:v>
                </c:pt>
                <c:pt idx="103">
                  <c:v>1999</c:v>
                </c:pt>
                <c:pt idx="104">
                  <c:v>2000</c:v>
                </c:pt>
                <c:pt idx="105">
                  <c:v>2001</c:v>
                </c:pt>
                <c:pt idx="106">
                  <c:v>2002</c:v>
                </c:pt>
                <c:pt idx="107">
                  <c:v>2003</c:v>
                </c:pt>
                <c:pt idx="108">
                  <c:v>2004</c:v>
                </c:pt>
                <c:pt idx="109">
                  <c:v>2005</c:v>
                </c:pt>
                <c:pt idx="110">
                  <c:v>2006</c:v>
                </c:pt>
                <c:pt idx="111">
                  <c:v>2007</c:v>
                </c:pt>
                <c:pt idx="112">
                  <c:v>2008</c:v>
                </c:pt>
                <c:pt idx="113">
                  <c:v>2009</c:v>
                </c:pt>
                <c:pt idx="114">
                  <c:v>2010</c:v>
                </c:pt>
                <c:pt idx="115">
                  <c:v>2011</c:v>
                </c:pt>
                <c:pt idx="116">
                  <c:v>2012</c:v>
                </c:pt>
                <c:pt idx="117">
                  <c:v>2013</c:v>
                </c:pt>
                <c:pt idx="118">
                  <c:v>2014</c:v>
                </c:pt>
                <c:pt idx="119">
                  <c:v>2015</c:v>
                </c:pt>
                <c:pt idx="120">
                  <c:v>2016</c:v>
                </c:pt>
                <c:pt idx="121">
                  <c:v>2017</c:v>
                </c:pt>
                <c:pt idx="122">
                  <c:v>2018</c:v>
                </c:pt>
                <c:pt idx="123">
                  <c:v>2019</c:v>
                </c:pt>
                <c:pt idx="124">
                  <c:v>2020</c:v>
                </c:pt>
                <c:pt idx="125">
                  <c:v>2021</c:v>
                </c:pt>
                <c:pt idx="126">
                  <c:v>2022</c:v>
                </c:pt>
                <c:pt idx="127">
                  <c:v>2023</c:v>
                </c:pt>
                <c:pt idx="128">
                  <c:v>2024</c:v>
                </c:pt>
                <c:pt idx="129">
                  <c:v>2025</c:v>
                </c:pt>
                <c:pt idx="130">
                  <c:v>2026</c:v>
                </c:pt>
                <c:pt idx="131">
                  <c:v>2027</c:v>
                </c:pt>
                <c:pt idx="132">
                  <c:v>2028</c:v>
                </c:pt>
                <c:pt idx="133">
                  <c:v>2029</c:v>
                </c:pt>
                <c:pt idx="134">
                  <c:v>2030</c:v>
                </c:pt>
                <c:pt idx="135">
                  <c:v>2031</c:v>
                </c:pt>
                <c:pt idx="136">
                  <c:v>2032</c:v>
                </c:pt>
                <c:pt idx="137">
                  <c:v>2033</c:v>
                </c:pt>
                <c:pt idx="138">
                  <c:v>2034</c:v>
                </c:pt>
                <c:pt idx="139">
                  <c:v>2035</c:v>
                </c:pt>
                <c:pt idx="140">
                  <c:v>2036</c:v>
                </c:pt>
                <c:pt idx="141">
                  <c:v>2037</c:v>
                </c:pt>
                <c:pt idx="142">
                  <c:v>2038</c:v>
                </c:pt>
                <c:pt idx="143">
                  <c:v>2039</c:v>
                </c:pt>
                <c:pt idx="144">
                  <c:v>2040</c:v>
                </c:pt>
                <c:pt idx="145">
                  <c:v>2041</c:v>
                </c:pt>
                <c:pt idx="146">
                  <c:v>2042</c:v>
                </c:pt>
                <c:pt idx="147">
                  <c:v>2043</c:v>
                </c:pt>
                <c:pt idx="148">
                  <c:v>2044</c:v>
                </c:pt>
                <c:pt idx="149">
                  <c:v>2045</c:v>
                </c:pt>
                <c:pt idx="150">
                  <c:v>2046</c:v>
                </c:pt>
                <c:pt idx="151">
                  <c:v>2047</c:v>
                </c:pt>
                <c:pt idx="152">
                  <c:v>2048</c:v>
                </c:pt>
                <c:pt idx="153">
                  <c:v>2049</c:v>
                </c:pt>
                <c:pt idx="154">
                  <c:v>2050</c:v>
                </c:pt>
                <c:pt idx="155">
                  <c:v>2051</c:v>
                </c:pt>
                <c:pt idx="156">
                  <c:v>2052</c:v>
                </c:pt>
                <c:pt idx="157">
                  <c:v>2053</c:v>
                </c:pt>
                <c:pt idx="158">
                  <c:v>2054</c:v>
                </c:pt>
                <c:pt idx="159">
                  <c:v>2055</c:v>
                </c:pt>
                <c:pt idx="160">
                  <c:v>2056</c:v>
                </c:pt>
                <c:pt idx="161">
                  <c:v>2057</c:v>
                </c:pt>
                <c:pt idx="162">
                  <c:v>2058</c:v>
                </c:pt>
                <c:pt idx="163">
                  <c:v>2059</c:v>
                </c:pt>
                <c:pt idx="164">
                  <c:v>2060</c:v>
                </c:pt>
                <c:pt idx="165">
                  <c:v>2061</c:v>
                </c:pt>
                <c:pt idx="166">
                  <c:v>2062</c:v>
                </c:pt>
                <c:pt idx="167">
                  <c:v>2063</c:v>
                </c:pt>
                <c:pt idx="168">
                  <c:v>2064</c:v>
                </c:pt>
                <c:pt idx="169">
                  <c:v>2065</c:v>
                </c:pt>
                <c:pt idx="170">
                  <c:v>2066</c:v>
                </c:pt>
                <c:pt idx="171">
                  <c:v>2067</c:v>
                </c:pt>
                <c:pt idx="172">
                  <c:v>2068</c:v>
                </c:pt>
                <c:pt idx="173">
                  <c:v>2069</c:v>
                </c:pt>
                <c:pt idx="174">
                  <c:v>2070</c:v>
                </c:pt>
                <c:pt idx="175">
                  <c:v>2071</c:v>
                </c:pt>
                <c:pt idx="176">
                  <c:v>2072</c:v>
                </c:pt>
                <c:pt idx="177">
                  <c:v>2073</c:v>
                </c:pt>
                <c:pt idx="178">
                  <c:v>2074</c:v>
                </c:pt>
                <c:pt idx="179">
                  <c:v>2075</c:v>
                </c:pt>
                <c:pt idx="180">
                  <c:v>2076</c:v>
                </c:pt>
                <c:pt idx="181">
                  <c:v>2077</c:v>
                </c:pt>
                <c:pt idx="182">
                  <c:v>2078</c:v>
                </c:pt>
                <c:pt idx="183">
                  <c:v>2079</c:v>
                </c:pt>
                <c:pt idx="184">
                  <c:v>2080</c:v>
                </c:pt>
                <c:pt idx="185">
                  <c:v>2081</c:v>
                </c:pt>
                <c:pt idx="186">
                  <c:v>2082</c:v>
                </c:pt>
                <c:pt idx="187">
                  <c:v>2083</c:v>
                </c:pt>
                <c:pt idx="188">
                  <c:v>2084</c:v>
                </c:pt>
                <c:pt idx="189">
                  <c:v>2085</c:v>
                </c:pt>
                <c:pt idx="190">
                  <c:v>2086</c:v>
                </c:pt>
                <c:pt idx="191">
                  <c:v>2087</c:v>
                </c:pt>
                <c:pt idx="192">
                  <c:v>2088</c:v>
                </c:pt>
                <c:pt idx="193">
                  <c:v>2089</c:v>
                </c:pt>
                <c:pt idx="194">
                  <c:v>2090</c:v>
                </c:pt>
                <c:pt idx="195">
                  <c:v>2091</c:v>
                </c:pt>
                <c:pt idx="196">
                  <c:v>2092</c:v>
                </c:pt>
                <c:pt idx="197">
                  <c:v>2093</c:v>
                </c:pt>
                <c:pt idx="198">
                  <c:v>2094</c:v>
                </c:pt>
                <c:pt idx="199">
                  <c:v>2095</c:v>
                </c:pt>
                <c:pt idx="200">
                  <c:v>2096</c:v>
                </c:pt>
                <c:pt idx="201">
                  <c:v>2097</c:v>
                </c:pt>
                <c:pt idx="202">
                  <c:v>2098</c:v>
                </c:pt>
                <c:pt idx="203">
                  <c:v>2099</c:v>
                </c:pt>
                <c:pt idx="204">
                  <c:v>2100</c:v>
                </c:pt>
                <c:pt idx="205">
                  <c:v>2101</c:v>
                </c:pt>
                <c:pt idx="206">
                  <c:v>2102</c:v>
                </c:pt>
                <c:pt idx="207">
                  <c:v>2103</c:v>
                </c:pt>
                <c:pt idx="208">
                  <c:v>2104</c:v>
                </c:pt>
                <c:pt idx="209">
                  <c:v>2105</c:v>
                </c:pt>
                <c:pt idx="210">
                  <c:v>2106</c:v>
                </c:pt>
                <c:pt idx="211">
                  <c:v>2107</c:v>
                </c:pt>
                <c:pt idx="212">
                  <c:v>2108</c:v>
                </c:pt>
                <c:pt idx="213">
                  <c:v>2109</c:v>
                </c:pt>
                <c:pt idx="214">
                  <c:v>2110</c:v>
                </c:pt>
                <c:pt idx="215">
                  <c:v>2111</c:v>
                </c:pt>
                <c:pt idx="216">
                  <c:v>2112</c:v>
                </c:pt>
                <c:pt idx="217">
                  <c:v>2113</c:v>
                </c:pt>
                <c:pt idx="218">
                  <c:v>2114</c:v>
                </c:pt>
                <c:pt idx="219">
                  <c:v>2115</c:v>
                </c:pt>
                <c:pt idx="220">
                  <c:v>2116</c:v>
                </c:pt>
                <c:pt idx="221">
                  <c:v>2117</c:v>
                </c:pt>
                <c:pt idx="222">
                  <c:v>2118</c:v>
                </c:pt>
                <c:pt idx="223">
                  <c:v>2119</c:v>
                </c:pt>
                <c:pt idx="224">
                  <c:v>2120</c:v>
                </c:pt>
                <c:pt idx="225">
                  <c:v>2121</c:v>
                </c:pt>
                <c:pt idx="226">
                  <c:v>2122</c:v>
                </c:pt>
                <c:pt idx="227">
                  <c:v>2123</c:v>
                </c:pt>
                <c:pt idx="228">
                  <c:v>2124</c:v>
                </c:pt>
                <c:pt idx="229">
                  <c:v>2125</c:v>
                </c:pt>
                <c:pt idx="230">
                  <c:v>2126</c:v>
                </c:pt>
                <c:pt idx="231">
                  <c:v>2127</c:v>
                </c:pt>
                <c:pt idx="232">
                  <c:v>2128</c:v>
                </c:pt>
                <c:pt idx="233">
                  <c:v>2129</c:v>
                </c:pt>
                <c:pt idx="234">
                  <c:v>2130</c:v>
                </c:pt>
                <c:pt idx="235">
                  <c:v>2131</c:v>
                </c:pt>
                <c:pt idx="236">
                  <c:v>2132</c:v>
                </c:pt>
                <c:pt idx="237">
                  <c:v>2133</c:v>
                </c:pt>
                <c:pt idx="238">
                  <c:v>2134</c:v>
                </c:pt>
                <c:pt idx="239">
                  <c:v>2135</c:v>
                </c:pt>
                <c:pt idx="240">
                  <c:v>2136</c:v>
                </c:pt>
                <c:pt idx="241">
                  <c:v>2137</c:v>
                </c:pt>
                <c:pt idx="242">
                  <c:v>2138</c:v>
                </c:pt>
                <c:pt idx="243">
                  <c:v>2139</c:v>
                </c:pt>
                <c:pt idx="244">
                  <c:v>2140</c:v>
                </c:pt>
                <c:pt idx="245">
                  <c:v>2141</c:v>
                </c:pt>
                <c:pt idx="246">
                  <c:v>2142</c:v>
                </c:pt>
                <c:pt idx="247">
                  <c:v>2143</c:v>
                </c:pt>
                <c:pt idx="248">
                  <c:v>2144</c:v>
                </c:pt>
                <c:pt idx="249">
                  <c:v>2145</c:v>
                </c:pt>
                <c:pt idx="250">
                  <c:v>2146</c:v>
                </c:pt>
                <c:pt idx="251">
                  <c:v>2147</c:v>
                </c:pt>
                <c:pt idx="252">
                  <c:v>2148</c:v>
                </c:pt>
                <c:pt idx="253">
                  <c:v>2149</c:v>
                </c:pt>
                <c:pt idx="254">
                  <c:v>2150</c:v>
                </c:pt>
              </c:numCache>
            </c:numRef>
          </c:xVal>
          <c:yVal>
            <c:numRef>
              <c:f>China!$E$12:$E$283</c:f>
              <c:numCache>
                <c:formatCode>#,##0.0</c:formatCode>
                <c:ptCount val="272"/>
                <c:pt idx="0">
                  <c:v>0.48899999999999999</c:v>
                </c:pt>
                <c:pt idx="1">
                  <c:v>0.53900000000000003</c:v>
                </c:pt>
                <c:pt idx="2">
                  <c:v>0.78300000000000003</c:v>
                </c:pt>
                <c:pt idx="3">
                  <c:v>0.84199999999999997</c:v>
                </c:pt>
                <c:pt idx="4">
                  <c:v>0.68149999999999999</c:v>
                </c:pt>
                <c:pt idx="5">
                  <c:v>0.52100000000000002</c:v>
                </c:pt>
                <c:pt idx="6">
                  <c:v>0.95399999999999996</c:v>
                </c:pt>
                <c:pt idx="7">
                  <c:v>1.026</c:v>
                </c:pt>
                <c:pt idx="8">
                  <c:v>1.274</c:v>
                </c:pt>
                <c:pt idx="9">
                  <c:v>1.345</c:v>
                </c:pt>
                <c:pt idx="10">
                  <c:v>1.696</c:v>
                </c:pt>
                <c:pt idx="11">
                  <c:v>2.1890000000000001</c:v>
                </c:pt>
                <c:pt idx="12">
                  <c:v>2.7879999999999998</c:v>
                </c:pt>
                <c:pt idx="13">
                  <c:v>3.8679999999999999</c:v>
                </c:pt>
                <c:pt idx="14">
                  <c:v>4.2370000000000001</c:v>
                </c:pt>
                <c:pt idx="15">
                  <c:v>5.266</c:v>
                </c:pt>
                <c:pt idx="16">
                  <c:v>8.9879999999999995</c:v>
                </c:pt>
                <c:pt idx="17">
                  <c:v>12.8</c:v>
                </c:pt>
                <c:pt idx="18">
                  <c:v>14.102</c:v>
                </c:pt>
                <c:pt idx="19">
                  <c:v>13.417</c:v>
                </c:pt>
                <c:pt idx="20">
                  <c:v>15.903</c:v>
                </c:pt>
                <c:pt idx="21">
                  <c:v>16.902000000000001</c:v>
                </c:pt>
                <c:pt idx="22">
                  <c:v>18.34</c:v>
                </c:pt>
                <c:pt idx="23">
                  <c:v>20.055</c:v>
                </c:pt>
                <c:pt idx="24">
                  <c:v>21.26</c:v>
                </c:pt>
                <c:pt idx="25">
                  <c:v>20.459</c:v>
                </c:pt>
                <c:pt idx="26">
                  <c:v>21.097000000000001</c:v>
                </c:pt>
                <c:pt idx="27">
                  <c:v>24.552</c:v>
                </c:pt>
                <c:pt idx="28">
                  <c:v>25.780999999999999</c:v>
                </c:pt>
                <c:pt idx="29">
                  <c:v>24.254999999999999</c:v>
                </c:pt>
                <c:pt idx="30">
                  <c:v>23.04</c:v>
                </c:pt>
                <c:pt idx="31">
                  <c:v>24.172000000000001</c:v>
                </c:pt>
                <c:pt idx="32">
                  <c:v>25.091999999999999</c:v>
                </c:pt>
                <c:pt idx="33">
                  <c:v>25.437000000000001</c:v>
                </c:pt>
                <c:pt idx="34">
                  <c:v>26.036999999999999</c:v>
                </c:pt>
                <c:pt idx="35">
                  <c:v>27.245000000000001</c:v>
                </c:pt>
                <c:pt idx="36">
                  <c:v>26.376000000000001</c:v>
                </c:pt>
                <c:pt idx="37">
                  <c:v>28.359000000000002</c:v>
                </c:pt>
                <c:pt idx="38">
                  <c:v>32.725000000000001</c:v>
                </c:pt>
                <c:pt idx="39">
                  <c:v>38.031999999999996</c:v>
                </c:pt>
                <c:pt idx="40">
                  <c:v>39.341999999999999</c:v>
                </c:pt>
                <c:pt idx="41">
                  <c:v>36.912999999999997</c:v>
                </c:pt>
                <c:pt idx="42">
                  <c:v>31.943000000000001</c:v>
                </c:pt>
                <c:pt idx="43">
                  <c:v>38.542000000000002</c:v>
                </c:pt>
                <c:pt idx="44">
                  <c:v>46.828000000000003</c:v>
                </c:pt>
                <c:pt idx="45">
                  <c:v>58.823</c:v>
                </c:pt>
                <c:pt idx="46">
                  <c:v>65.686000000000007</c:v>
                </c:pt>
                <c:pt idx="47">
                  <c:v>56.686999999999998</c:v>
                </c:pt>
                <c:pt idx="48">
                  <c:v>53.781999999999996</c:v>
                </c:pt>
                <c:pt idx="49">
                  <c:v>29.206</c:v>
                </c:pt>
                <c:pt idx="50">
                  <c:v>18.898</c:v>
                </c:pt>
                <c:pt idx="51">
                  <c:v>21.904</c:v>
                </c:pt>
                <c:pt idx="52">
                  <c:v>20.106000000000002</c:v>
                </c:pt>
                <c:pt idx="53">
                  <c:v>32.43</c:v>
                </c:pt>
                <c:pt idx="54">
                  <c:v>42.92</c:v>
                </c:pt>
                <c:pt idx="55">
                  <c:v>53.08</c:v>
                </c:pt>
                <c:pt idx="56">
                  <c:v>66.489999999999995</c:v>
                </c:pt>
                <c:pt idx="57">
                  <c:v>69.680000000000007</c:v>
                </c:pt>
                <c:pt idx="58">
                  <c:v>83.66</c:v>
                </c:pt>
                <c:pt idx="59">
                  <c:v>98.3</c:v>
                </c:pt>
                <c:pt idx="60">
                  <c:v>110.36</c:v>
                </c:pt>
                <c:pt idx="61">
                  <c:v>130.72999999999999</c:v>
                </c:pt>
                <c:pt idx="62">
                  <c:v>270</c:v>
                </c:pt>
                <c:pt idx="63">
                  <c:v>368.79</c:v>
                </c:pt>
                <c:pt idx="64">
                  <c:v>397.21</c:v>
                </c:pt>
                <c:pt idx="65">
                  <c:v>277.62</c:v>
                </c:pt>
                <c:pt idx="66">
                  <c:v>219.55</c:v>
                </c:pt>
                <c:pt idx="67">
                  <c:v>217.07</c:v>
                </c:pt>
                <c:pt idx="68">
                  <c:v>214.57</c:v>
                </c:pt>
                <c:pt idx="69">
                  <c:v>231.8</c:v>
                </c:pt>
                <c:pt idx="70">
                  <c:v>251.47</c:v>
                </c:pt>
                <c:pt idx="71">
                  <c:v>205.7</c:v>
                </c:pt>
                <c:pt idx="72">
                  <c:v>219.59</c:v>
                </c:pt>
                <c:pt idx="73">
                  <c:v>265.95</c:v>
                </c:pt>
                <c:pt idx="74">
                  <c:v>353.99</c:v>
                </c:pt>
                <c:pt idx="75">
                  <c:v>392.3</c:v>
                </c:pt>
                <c:pt idx="76">
                  <c:v>410.47</c:v>
                </c:pt>
                <c:pt idx="77">
                  <c:v>416.97</c:v>
                </c:pt>
                <c:pt idx="78">
                  <c:v>413.17</c:v>
                </c:pt>
                <c:pt idx="79">
                  <c:v>482.24</c:v>
                </c:pt>
                <c:pt idx="80">
                  <c:v>483.45</c:v>
                </c:pt>
                <c:pt idx="81">
                  <c:v>550.67999999999995</c:v>
                </c:pt>
                <c:pt idx="82">
                  <c:v>617.86</c:v>
                </c:pt>
                <c:pt idx="83">
                  <c:v>635.54</c:v>
                </c:pt>
                <c:pt idx="84">
                  <c:v>620.13</c:v>
                </c:pt>
                <c:pt idx="85">
                  <c:v>616.5</c:v>
                </c:pt>
                <c:pt idx="86">
                  <c:v>666.32</c:v>
                </c:pt>
                <c:pt idx="87">
                  <c:v>714.53</c:v>
                </c:pt>
                <c:pt idx="88">
                  <c:v>789.23</c:v>
                </c:pt>
                <c:pt idx="89">
                  <c:v>872.28</c:v>
                </c:pt>
                <c:pt idx="90">
                  <c:v>894</c:v>
                </c:pt>
                <c:pt idx="91">
                  <c:v>928</c:v>
                </c:pt>
                <c:pt idx="92">
                  <c:v>979.9</c:v>
                </c:pt>
                <c:pt idx="93">
                  <c:v>1054.1500000000001</c:v>
                </c:pt>
                <c:pt idx="94">
                  <c:v>1079.8800000000001</c:v>
                </c:pt>
                <c:pt idx="95">
                  <c:v>1087.4100000000001</c:v>
                </c:pt>
                <c:pt idx="96">
                  <c:v>1116.3800000000001</c:v>
                </c:pt>
                <c:pt idx="97">
                  <c:v>1150.67</c:v>
                </c:pt>
                <c:pt idx="98">
                  <c:v>1239.9000000000001</c:v>
                </c:pt>
                <c:pt idx="99">
                  <c:v>1360.73</c:v>
                </c:pt>
                <c:pt idx="100">
                  <c:v>1396.7</c:v>
                </c:pt>
                <c:pt idx="101">
                  <c:v>1372.82</c:v>
                </c:pt>
                <c:pt idx="102">
                  <c:v>1250</c:v>
                </c:pt>
                <c:pt idx="103">
                  <c:v>1280</c:v>
                </c:pt>
                <c:pt idx="104">
                  <c:v>1299.21</c:v>
                </c:pt>
                <c:pt idx="105">
                  <c:v>1381.52</c:v>
                </c:pt>
                <c:pt idx="106">
                  <c:v>1454.56</c:v>
                </c:pt>
                <c:pt idx="107">
                  <c:v>1722</c:v>
                </c:pt>
                <c:pt idx="108">
                  <c:v>1992.32</c:v>
                </c:pt>
                <c:pt idx="109">
                  <c:v>2205.73</c:v>
                </c:pt>
                <c:pt idx="110">
                  <c:v>2373</c:v>
                </c:pt>
                <c:pt idx="111">
                  <c:v>2525.9699999999998</c:v>
                </c:pt>
                <c:pt idx="112">
                  <c:v>2803.31</c:v>
                </c:pt>
                <c:pt idx="113">
                  <c:v>3050</c:v>
                </c:pt>
              </c:numCache>
            </c:numRef>
          </c:yVal>
          <c:smooth val="1"/>
          <c:extLst>
            <c:ext xmlns:c16="http://schemas.microsoft.com/office/drawing/2014/chart" uri="{C3380CC4-5D6E-409C-BE32-E72D297353CC}">
              <c16:uniqueId val="{00000000-01B8-3D4B-AEAC-F48CAC14D9B1}"/>
            </c:ext>
          </c:extLst>
        </c:ser>
        <c:dLbls>
          <c:showLegendKey val="0"/>
          <c:showVal val="0"/>
          <c:showCatName val="0"/>
          <c:showSerName val="0"/>
          <c:showPercent val="0"/>
          <c:showBubbleSize val="0"/>
        </c:dLbls>
        <c:axId val="132669440"/>
        <c:axId val="132670976"/>
      </c:scatterChart>
      <c:valAx>
        <c:axId val="132669440"/>
        <c:scaling>
          <c:orientation val="minMax"/>
          <c:max val="2020"/>
          <c:min val="192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2670976"/>
        <c:crossesAt val="-1000"/>
        <c:crossBetween val="midCat"/>
        <c:majorUnit val="50"/>
        <c:minorUnit val="10"/>
      </c:valAx>
      <c:valAx>
        <c:axId val="132670976"/>
        <c:scaling>
          <c:orientation val="minMax"/>
          <c:max val="310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179653679653765"/>
              <c:y val="0.17303587051618549"/>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2669440"/>
        <c:crosses val="max"/>
        <c:crossBetween val="midCat"/>
        <c:majorUnit val="1000"/>
        <c:minorUnit val="50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778487916283264"/>
          <c:h val="0.77264654418197765"/>
        </c:manualLayout>
      </c:layout>
      <c:scatterChart>
        <c:scatterStyle val="smoothMarker"/>
        <c:varyColors val="0"/>
        <c:ser>
          <c:idx val="0"/>
          <c:order val="0"/>
          <c:tx>
            <c:strRef>
              <c:f>China!$I$10</c:f>
              <c:strCache>
                <c:ptCount val="1"/>
                <c:pt idx="0">
                  <c:v>r m</c:v>
                </c:pt>
              </c:strCache>
            </c:strRef>
          </c:tx>
          <c:spPr>
            <a:ln w="15875">
              <a:solidFill>
                <a:srgbClr val="008000"/>
              </a:solidFill>
            </a:ln>
          </c:spPr>
          <c:marker>
            <c:symbol val="none"/>
          </c:marker>
          <c:xVal>
            <c:numRef>
              <c:f>China!$D$76:$D$192</c:f>
              <c:numCache>
                <c:formatCode>General</c:formatCode>
                <c:ptCount val="117"/>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pt idx="71">
                  <c:v>2031</c:v>
                </c:pt>
                <c:pt idx="72">
                  <c:v>2032</c:v>
                </c:pt>
                <c:pt idx="73">
                  <c:v>2033</c:v>
                </c:pt>
                <c:pt idx="74">
                  <c:v>2034</c:v>
                </c:pt>
                <c:pt idx="75">
                  <c:v>2035</c:v>
                </c:pt>
                <c:pt idx="76">
                  <c:v>2036</c:v>
                </c:pt>
                <c:pt idx="77">
                  <c:v>2037</c:v>
                </c:pt>
                <c:pt idx="78">
                  <c:v>2038</c:v>
                </c:pt>
                <c:pt idx="79">
                  <c:v>2039</c:v>
                </c:pt>
                <c:pt idx="80">
                  <c:v>2040</c:v>
                </c:pt>
                <c:pt idx="81">
                  <c:v>2041</c:v>
                </c:pt>
                <c:pt idx="82">
                  <c:v>2042</c:v>
                </c:pt>
                <c:pt idx="83">
                  <c:v>2043</c:v>
                </c:pt>
                <c:pt idx="84">
                  <c:v>2044</c:v>
                </c:pt>
                <c:pt idx="85">
                  <c:v>2045</c:v>
                </c:pt>
                <c:pt idx="86">
                  <c:v>2046</c:v>
                </c:pt>
                <c:pt idx="87">
                  <c:v>2047</c:v>
                </c:pt>
                <c:pt idx="88">
                  <c:v>2048</c:v>
                </c:pt>
                <c:pt idx="89">
                  <c:v>2049</c:v>
                </c:pt>
                <c:pt idx="90">
                  <c:v>2050</c:v>
                </c:pt>
                <c:pt idx="91">
                  <c:v>2051</c:v>
                </c:pt>
                <c:pt idx="92">
                  <c:v>2052</c:v>
                </c:pt>
                <c:pt idx="93">
                  <c:v>2053</c:v>
                </c:pt>
                <c:pt idx="94">
                  <c:v>2054</c:v>
                </c:pt>
                <c:pt idx="95">
                  <c:v>2055</c:v>
                </c:pt>
                <c:pt idx="96">
                  <c:v>2056</c:v>
                </c:pt>
                <c:pt idx="97">
                  <c:v>2057</c:v>
                </c:pt>
                <c:pt idx="98">
                  <c:v>2058</c:v>
                </c:pt>
                <c:pt idx="99">
                  <c:v>2059</c:v>
                </c:pt>
                <c:pt idx="100">
                  <c:v>2060</c:v>
                </c:pt>
                <c:pt idx="101">
                  <c:v>2061</c:v>
                </c:pt>
                <c:pt idx="102">
                  <c:v>2062</c:v>
                </c:pt>
                <c:pt idx="103">
                  <c:v>2063</c:v>
                </c:pt>
                <c:pt idx="104">
                  <c:v>2064</c:v>
                </c:pt>
                <c:pt idx="105">
                  <c:v>2065</c:v>
                </c:pt>
                <c:pt idx="106">
                  <c:v>2066</c:v>
                </c:pt>
                <c:pt idx="107">
                  <c:v>2067</c:v>
                </c:pt>
                <c:pt idx="108">
                  <c:v>2068</c:v>
                </c:pt>
                <c:pt idx="109">
                  <c:v>2069</c:v>
                </c:pt>
                <c:pt idx="110">
                  <c:v>2070</c:v>
                </c:pt>
                <c:pt idx="111">
                  <c:v>2071</c:v>
                </c:pt>
                <c:pt idx="112">
                  <c:v>2072</c:v>
                </c:pt>
                <c:pt idx="113">
                  <c:v>2073</c:v>
                </c:pt>
                <c:pt idx="114">
                  <c:v>2074</c:v>
                </c:pt>
                <c:pt idx="115">
                  <c:v>2075</c:v>
                </c:pt>
                <c:pt idx="116">
                  <c:v>2076</c:v>
                </c:pt>
              </c:numCache>
            </c:numRef>
          </c:xVal>
          <c:yVal>
            <c:numRef>
              <c:f>China!$I$76:$I$192</c:f>
              <c:numCache>
                <c:formatCode>0.0</c:formatCode>
                <c:ptCount val="117"/>
                <c:pt idx="0">
                  <c:v>-2.0929198102785449</c:v>
                </c:pt>
                <c:pt idx="1">
                  <c:v>3.2710517071373033</c:v>
                </c:pt>
                <c:pt idx="2">
                  <c:v>3.9526493128851143</c:v>
                </c:pt>
                <c:pt idx="3">
                  <c:v>3.7067498941969461</c:v>
                </c:pt>
                <c:pt idx="4">
                  <c:v>2.6510048420823296</c:v>
                </c:pt>
                <c:pt idx="5">
                  <c:v>1.8071935563239094</c:v>
                </c:pt>
                <c:pt idx="6">
                  <c:v>1.2158507000149257</c:v>
                </c:pt>
                <c:pt idx="7">
                  <c:v>-1.9318364343962457</c:v>
                </c:pt>
                <c:pt idx="8">
                  <c:v>-4.9107905599030346</c:v>
                </c:pt>
                <c:pt idx="9">
                  <c:v>-6.5212366453606592</c:v>
                </c:pt>
                <c:pt idx="10">
                  <c:v>-5.5033346720701957</c:v>
                </c:pt>
                <c:pt idx="11">
                  <c:v>-4.0248788846029129</c:v>
                </c:pt>
                <c:pt idx="12">
                  <c:v>-2.8487871310280752</c:v>
                </c:pt>
                <c:pt idx="13">
                  <c:v>-2.3082156288992337</c:v>
                </c:pt>
                <c:pt idx="14">
                  <c:v>-2.617030291879928</c:v>
                </c:pt>
                <c:pt idx="15">
                  <c:v>-1.7832796084758229</c:v>
                </c:pt>
                <c:pt idx="16">
                  <c:v>-1.688880865088322</c:v>
                </c:pt>
                <c:pt idx="17">
                  <c:v>-0.73653483281304943</c:v>
                </c:pt>
                <c:pt idx="18">
                  <c:v>0.88355358404169237</c:v>
                </c:pt>
                <c:pt idx="19">
                  <c:v>2.0168526065726837</c:v>
                </c:pt>
                <c:pt idx="20">
                  <c:v>2.0828682535202461</c:v>
                </c:pt>
                <c:pt idx="21">
                  <c:v>1.4320888848033064</c:v>
                </c:pt>
                <c:pt idx="22">
                  <c:v>1.0563400660130355</c:v>
                </c:pt>
                <c:pt idx="23">
                  <c:v>0.86382413007413561</c:v>
                </c:pt>
                <c:pt idx="24">
                  <c:v>1.2054963192122159</c:v>
                </c:pt>
                <c:pt idx="25">
                  <c:v>2.0920061314391205</c:v>
                </c:pt>
                <c:pt idx="26">
                  <c:v>2.5764632432219514</c:v>
                </c:pt>
                <c:pt idx="27">
                  <c:v>2.8537947081576931</c:v>
                </c:pt>
                <c:pt idx="28">
                  <c:v>3.1517991577511566</c:v>
                </c:pt>
                <c:pt idx="29">
                  <c:v>3.7068096199800493</c:v>
                </c:pt>
                <c:pt idx="30">
                  <c:v>3.9268867234031859</c:v>
                </c:pt>
                <c:pt idx="31">
                  <c:v>3.6506818882826337</c:v>
                </c:pt>
                <c:pt idx="32">
                  <c:v>3.1464645944042786</c:v>
                </c:pt>
                <c:pt idx="33">
                  <c:v>2.4836068633458126</c:v>
                </c:pt>
                <c:pt idx="34">
                  <c:v>2.1802449652204814</c:v>
                </c:pt>
                <c:pt idx="35">
                  <c:v>2.4634372228329084</c:v>
                </c:pt>
                <c:pt idx="36">
                  <c:v>2.5353319688283591</c:v>
                </c:pt>
                <c:pt idx="37">
                  <c:v>1.9291939645081584</c:v>
                </c:pt>
                <c:pt idx="38">
                  <c:v>-6.1550240130600287E-2</c:v>
                </c:pt>
                <c:pt idx="39">
                  <c:v>-2.1383733341299376</c:v>
                </c:pt>
                <c:pt idx="40">
                  <c:v>-4.3732544794520436</c:v>
                </c:pt>
                <c:pt idx="41">
                  <c:v>-6.2978677249766406</c:v>
                </c:pt>
                <c:pt idx="42">
                  <c:v>-8.0016073849910754</c:v>
                </c:pt>
                <c:pt idx="43">
                  <c:v>-8.1849314702967604</c:v>
                </c:pt>
                <c:pt idx="44">
                  <c:v>-6.9628523263827446</c:v>
                </c:pt>
                <c:pt idx="45">
                  <c:v>-4.8192435914615999</c:v>
                </c:pt>
                <c:pt idx="46">
                  <c:v>-2.1077175571026601</c:v>
                </c:pt>
                <c:pt idx="47">
                  <c:v>1.0575386862374216</c:v>
                </c:pt>
                <c:pt idx="48">
                  <c:v>5.3806737580798654</c:v>
                </c:pt>
                <c:pt idx="49">
                  <c:v>10.634666121130067</c:v>
                </c:pt>
              </c:numCache>
            </c:numRef>
          </c:yVal>
          <c:smooth val="1"/>
          <c:extLst>
            <c:ext xmlns:c16="http://schemas.microsoft.com/office/drawing/2014/chart" uri="{C3380CC4-5D6E-409C-BE32-E72D297353CC}">
              <c16:uniqueId val="{00000000-D4BC-5B4D-AA60-663247651378}"/>
            </c:ext>
          </c:extLst>
        </c:ser>
        <c:ser>
          <c:idx val="1"/>
          <c:order val="1"/>
          <c:tx>
            <c:v>early r m</c:v>
          </c:tx>
          <c:spPr>
            <a:ln w="15875">
              <a:solidFill>
                <a:srgbClr val="008000"/>
              </a:solidFill>
              <a:prstDash val="lgDash"/>
            </a:ln>
          </c:spPr>
          <c:marker>
            <c:symbol val="none"/>
          </c:marker>
          <c:xVal>
            <c:numRef>
              <c:f>China!$D$62:$D$75</c:f>
              <c:numCache>
                <c:formatCode>General</c:formatCode>
                <c:ptCount val="14"/>
                <c:pt idx="0">
                  <c:v>1946</c:v>
                </c:pt>
                <c:pt idx="1">
                  <c:v>1947</c:v>
                </c:pt>
                <c:pt idx="2">
                  <c:v>1948</c:v>
                </c:pt>
                <c:pt idx="3">
                  <c:v>1949</c:v>
                </c:pt>
                <c:pt idx="4">
                  <c:v>1950</c:v>
                </c:pt>
                <c:pt idx="5">
                  <c:v>1951</c:v>
                </c:pt>
                <c:pt idx="6">
                  <c:v>1952</c:v>
                </c:pt>
                <c:pt idx="7">
                  <c:v>1953</c:v>
                </c:pt>
                <c:pt idx="8">
                  <c:v>1954</c:v>
                </c:pt>
                <c:pt idx="9">
                  <c:v>1955</c:v>
                </c:pt>
                <c:pt idx="10">
                  <c:v>1956</c:v>
                </c:pt>
                <c:pt idx="11">
                  <c:v>1957</c:v>
                </c:pt>
                <c:pt idx="12">
                  <c:v>1958</c:v>
                </c:pt>
                <c:pt idx="13">
                  <c:v>1959</c:v>
                </c:pt>
              </c:numCache>
            </c:numRef>
          </c:xVal>
          <c:yVal>
            <c:numRef>
              <c:f>China!$I$62:$I$75</c:f>
              <c:numCache>
                <c:formatCode>0.0</c:formatCode>
                <c:ptCount val="14"/>
                <c:pt idx="0">
                  <c:v>-15.157891112474317</c:v>
                </c:pt>
                <c:pt idx="1">
                  <c:v>-23.253131119195132</c:v>
                </c:pt>
                <c:pt idx="2">
                  <c:v>-31.738644962984836</c:v>
                </c:pt>
                <c:pt idx="3">
                  <c:v>-38.204297179881905</c:v>
                </c:pt>
                <c:pt idx="4">
                  <c:v>-43.120542668770213</c:v>
                </c:pt>
                <c:pt idx="5">
                  <c:v>-46.711910579076175</c:v>
                </c:pt>
                <c:pt idx="6">
                  <c:v>-48.680389666579686</c:v>
                </c:pt>
                <c:pt idx="7">
                  <c:v>-52.248682298760286</c:v>
                </c:pt>
                <c:pt idx="8">
                  <c:v>-53.280320433070301</c:v>
                </c:pt>
                <c:pt idx="9">
                  <c:v>-53.176563807558523</c:v>
                </c:pt>
                <c:pt idx="10">
                  <c:v>-52.473153738873407</c:v>
                </c:pt>
                <c:pt idx="11">
                  <c:v>-50.476140897404548</c:v>
                </c:pt>
                <c:pt idx="12">
                  <c:v>-36.541348562519488</c:v>
                </c:pt>
                <c:pt idx="13">
                  <c:v>-18.116205802130935</c:v>
                </c:pt>
              </c:numCache>
            </c:numRef>
          </c:yVal>
          <c:smooth val="1"/>
          <c:extLst>
            <c:ext xmlns:c16="http://schemas.microsoft.com/office/drawing/2014/chart" uri="{C3380CC4-5D6E-409C-BE32-E72D297353CC}">
              <c16:uniqueId val="{00000001-D4BC-5B4D-AA60-663247651378}"/>
            </c:ext>
          </c:extLst>
        </c:ser>
        <c:ser>
          <c:idx val="4"/>
          <c:order val="2"/>
          <c:tx>
            <c:v>r m early</c:v>
          </c:tx>
          <c:spPr>
            <a:ln w="15875">
              <a:solidFill>
                <a:srgbClr val="008000"/>
              </a:solidFill>
            </a:ln>
          </c:spPr>
          <c:marker>
            <c:symbol val="none"/>
          </c:marker>
          <c:xVal>
            <c:numRef>
              <c:f>China!$D$40:$D$61</c:f>
              <c:numCache>
                <c:formatCode>General</c:formatCode>
                <c:ptCount val="22"/>
                <c:pt idx="0">
                  <c:v>1924</c:v>
                </c:pt>
                <c:pt idx="1">
                  <c:v>1925</c:v>
                </c:pt>
                <c:pt idx="2">
                  <c:v>1926</c:v>
                </c:pt>
                <c:pt idx="3">
                  <c:v>1927</c:v>
                </c:pt>
                <c:pt idx="4">
                  <c:v>1928</c:v>
                </c:pt>
                <c:pt idx="5">
                  <c:v>1929</c:v>
                </c:pt>
                <c:pt idx="6">
                  <c:v>1930</c:v>
                </c:pt>
                <c:pt idx="7">
                  <c:v>1931</c:v>
                </c:pt>
                <c:pt idx="8">
                  <c:v>1932</c:v>
                </c:pt>
                <c:pt idx="9">
                  <c:v>1933</c:v>
                </c:pt>
                <c:pt idx="10">
                  <c:v>1934</c:v>
                </c:pt>
                <c:pt idx="11">
                  <c:v>1935</c:v>
                </c:pt>
                <c:pt idx="12">
                  <c:v>1936</c:v>
                </c:pt>
                <c:pt idx="13">
                  <c:v>1937</c:v>
                </c:pt>
                <c:pt idx="14">
                  <c:v>1938</c:v>
                </c:pt>
                <c:pt idx="15">
                  <c:v>1939</c:v>
                </c:pt>
                <c:pt idx="16">
                  <c:v>1940</c:v>
                </c:pt>
                <c:pt idx="17">
                  <c:v>1941</c:v>
                </c:pt>
                <c:pt idx="18">
                  <c:v>1942</c:v>
                </c:pt>
                <c:pt idx="19">
                  <c:v>1943</c:v>
                </c:pt>
                <c:pt idx="20">
                  <c:v>1944</c:v>
                </c:pt>
                <c:pt idx="21">
                  <c:v>1945</c:v>
                </c:pt>
              </c:numCache>
            </c:numRef>
          </c:xVal>
          <c:yVal>
            <c:numRef>
              <c:f>China!$I$40:$I$61</c:f>
              <c:numCache>
                <c:formatCode>0.0</c:formatCode>
                <c:ptCount val="22"/>
                <c:pt idx="0">
                  <c:v>-8.2380597164055871</c:v>
                </c:pt>
                <c:pt idx="1">
                  <c:v>-3.7597913262552538</c:v>
                </c:pt>
                <c:pt idx="2">
                  <c:v>-1.3491257441810376</c:v>
                </c:pt>
                <c:pt idx="3">
                  <c:v>0.66160327809302544</c:v>
                </c:pt>
                <c:pt idx="4">
                  <c:v>2.1726446526317886</c:v>
                </c:pt>
                <c:pt idx="5">
                  <c:v>2.9395356145523692</c:v>
                </c:pt>
                <c:pt idx="6">
                  <c:v>3.1626147397419118</c:v>
                </c:pt>
                <c:pt idx="7">
                  <c:v>3.1509298143528213</c:v>
                </c:pt>
                <c:pt idx="8">
                  <c:v>2.0678222999758873</c:v>
                </c:pt>
                <c:pt idx="9">
                  <c:v>1.1356946440801039</c:v>
                </c:pt>
                <c:pt idx="10">
                  <c:v>1.1437165735578674</c:v>
                </c:pt>
                <c:pt idx="11">
                  <c:v>2.1954937301179598</c:v>
                </c:pt>
                <c:pt idx="12">
                  <c:v>2.8034619558275153</c:v>
                </c:pt>
                <c:pt idx="13">
                  <c:v>1.908498891576528</c:v>
                </c:pt>
                <c:pt idx="14">
                  <c:v>-0.98526164255781623</c:v>
                </c:pt>
                <c:pt idx="15">
                  <c:v>-2.5553743610144011</c:v>
                </c:pt>
                <c:pt idx="16">
                  <c:v>-2.6164291036811846</c:v>
                </c:pt>
                <c:pt idx="17">
                  <c:v>-0.6202576376063007</c:v>
                </c:pt>
                <c:pt idx="18">
                  <c:v>1.8687031279214352</c:v>
                </c:pt>
                <c:pt idx="19">
                  <c:v>1.5344501037570808</c:v>
                </c:pt>
                <c:pt idx="20">
                  <c:v>-2.7906553329557937E-2</c:v>
                </c:pt>
                <c:pt idx="21">
                  <c:v>-6.5929633411142277</c:v>
                </c:pt>
              </c:numCache>
            </c:numRef>
          </c:yVal>
          <c:smooth val="1"/>
          <c:extLst>
            <c:ext xmlns:c16="http://schemas.microsoft.com/office/drawing/2014/chart" uri="{C3380CC4-5D6E-409C-BE32-E72D297353CC}">
              <c16:uniqueId val="{00000002-D4BC-5B4D-AA60-663247651378}"/>
            </c:ext>
          </c:extLst>
        </c:ser>
        <c:ser>
          <c:idx val="2"/>
          <c:order val="3"/>
          <c:tx>
            <c:v>zero</c:v>
          </c:tx>
          <c:spPr>
            <a:ln w="15875">
              <a:solidFill>
                <a:srgbClr val="808080"/>
              </a:solidFill>
            </a:ln>
          </c:spPr>
          <c:marker>
            <c:symbol val="none"/>
          </c:marker>
          <c:xVal>
            <c:numRef>
              <c:f>China!$E$3:$E$4</c:f>
              <c:numCache>
                <c:formatCode>0</c:formatCode>
                <c:ptCount val="2"/>
                <c:pt idx="0">
                  <c:v>1960</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3-D4BC-5B4D-AA60-663247651378}"/>
            </c:ext>
          </c:extLst>
        </c:ser>
        <c:ser>
          <c:idx val="3"/>
          <c:order val="4"/>
          <c:tx>
            <c:v>early zero</c:v>
          </c:tx>
          <c:spPr>
            <a:ln w="15875">
              <a:solidFill>
                <a:srgbClr val="808080"/>
              </a:solidFill>
            </a:ln>
          </c:spPr>
          <c:marker>
            <c:symbol val="none"/>
          </c:marker>
          <c:xVal>
            <c:numRef>
              <c:f>China!$E$6:$E$7</c:f>
              <c:numCache>
                <c:formatCode>0</c:formatCode>
                <c:ptCount val="2"/>
                <c:pt idx="0" formatCode="General">
                  <c:v>1924</c:v>
                </c:pt>
                <c:pt idx="1">
                  <c:v>1945</c:v>
                </c:pt>
              </c:numCache>
            </c:numRef>
          </c:xVal>
          <c:yVal>
            <c:numLit>
              <c:formatCode>General</c:formatCode>
              <c:ptCount val="2"/>
              <c:pt idx="0">
                <c:v>0</c:v>
              </c:pt>
              <c:pt idx="1">
                <c:v>0</c:v>
              </c:pt>
            </c:numLit>
          </c:yVal>
          <c:smooth val="1"/>
          <c:extLst>
            <c:ext xmlns:c16="http://schemas.microsoft.com/office/drawing/2014/chart" uri="{C3380CC4-5D6E-409C-BE32-E72D297353CC}">
              <c16:uniqueId val="{00000004-D4BC-5B4D-AA60-663247651378}"/>
            </c:ext>
          </c:extLst>
        </c:ser>
        <c:ser>
          <c:idx val="5"/>
          <c:order val="5"/>
          <c:tx>
            <c:v>early r m early</c:v>
          </c:tx>
          <c:spPr>
            <a:ln w="15875">
              <a:solidFill>
                <a:srgbClr val="008000"/>
              </a:solidFill>
              <a:prstDash val="lgDash"/>
            </a:ln>
          </c:spPr>
          <c:marker>
            <c:symbol val="none"/>
          </c:marker>
          <c:xVal>
            <c:numRef>
              <c:f>China!$D$12:$D$39</c:f>
              <c:numCache>
                <c:formatCode>General</c:formatCode>
                <c:ptCount val="28"/>
                <c:pt idx="0">
                  <c:v>1896</c:v>
                </c:pt>
                <c:pt idx="1">
                  <c:v>1897</c:v>
                </c:pt>
                <c:pt idx="2">
                  <c:v>1898</c:v>
                </c:pt>
                <c:pt idx="3">
                  <c:v>1899</c:v>
                </c:pt>
                <c:pt idx="4">
                  <c:v>1900</c:v>
                </c:pt>
                <c:pt idx="5">
                  <c:v>1901</c:v>
                </c:pt>
                <c:pt idx="6">
                  <c:v>1902</c:v>
                </c:pt>
                <c:pt idx="7">
                  <c:v>1903</c:v>
                </c:pt>
                <c:pt idx="8">
                  <c:v>1904</c:v>
                </c:pt>
                <c:pt idx="9">
                  <c:v>1905</c:v>
                </c:pt>
                <c:pt idx="10">
                  <c:v>1906</c:v>
                </c:pt>
                <c:pt idx="11">
                  <c:v>1907</c:v>
                </c:pt>
                <c:pt idx="12">
                  <c:v>1908</c:v>
                </c:pt>
                <c:pt idx="13">
                  <c:v>1909</c:v>
                </c:pt>
                <c:pt idx="14">
                  <c:v>1910</c:v>
                </c:pt>
                <c:pt idx="15">
                  <c:v>1911</c:v>
                </c:pt>
                <c:pt idx="16">
                  <c:v>1912</c:v>
                </c:pt>
                <c:pt idx="17">
                  <c:v>1913</c:v>
                </c:pt>
                <c:pt idx="18">
                  <c:v>1914</c:v>
                </c:pt>
                <c:pt idx="19">
                  <c:v>1915</c:v>
                </c:pt>
                <c:pt idx="20">
                  <c:v>1916</c:v>
                </c:pt>
                <c:pt idx="21">
                  <c:v>1917</c:v>
                </c:pt>
                <c:pt idx="22">
                  <c:v>1918</c:v>
                </c:pt>
                <c:pt idx="23">
                  <c:v>1919</c:v>
                </c:pt>
                <c:pt idx="24">
                  <c:v>1920</c:v>
                </c:pt>
                <c:pt idx="25">
                  <c:v>1921</c:v>
                </c:pt>
                <c:pt idx="26">
                  <c:v>1922</c:v>
                </c:pt>
                <c:pt idx="27">
                  <c:v>1923</c:v>
                </c:pt>
              </c:numCache>
            </c:numRef>
          </c:xVal>
          <c:yVal>
            <c:numRef>
              <c:f>China!$I$12:$I$39</c:f>
              <c:numCache>
                <c:formatCode>0.0</c:formatCode>
                <c:ptCount val="28"/>
                <c:pt idx="0">
                  <c:v>-840.54216738006471</c:v>
                </c:pt>
                <c:pt idx="1">
                  <c:v>-714.45203368231159</c:v>
                </c:pt>
                <c:pt idx="2">
                  <c:v>-621.2097650458727</c:v>
                </c:pt>
                <c:pt idx="3">
                  <c:v>-562.24818680389944</c:v>
                </c:pt>
                <c:pt idx="4">
                  <c:v>-531.7556539942143</c:v>
                </c:pt>
                <c:pt idx="5">
                  <c:v>-516.77336343268507</c:v>
                </c:pt>
                <c:pt idx="6">
                  <c:v>-487.68164790991068</c:v>
                </c:pt>
                <c:pt idx="7">
                  <c:v>-463.74269143775746</c:v>
                </c:pt>
                <c:pt idx="8">
                  <c:v>-439.04045486010546</c:v>
                </c:pt>
                <c:pt idx="9">
                  <c:v>-418.83667505755693</c:v>
                </c:pt>
                <c:pt idx="10">
                  <c:v>-396.85620326807111</c:v>
                </c:pt>
                <c:pt idx="11">
                  <c:v>-372.55965295934766</c:v>
                </c:pt>
                <c:pt idx="12">
                  <c:v>-346.69626779108512</c:v>
                </c:pt>
                <c:pt idx="13">
                  <c:v>-316.374887121141</c:v>
                </c:pt>
                <c:pt idx="14">
                  <c:v>-290.94793786991249</c:v>
                </c:pt>
                <c:pt idx="15">
                  <c:v>-264.97148986604043</c:v>
                </c:pt>
                <c:pt idx="16">
                  <c:v>-226.01200491898635</c:v>
                </c:pt>
                <c:pt idx="17">
                  <c:v>-183.39982222994513</c:v>
                </c:pt>
                <c:pt idx="18">
                  <c:v>-149.43867343821512</c:v>
                </c:pt>
                <c:pt idx="19">
                  <c:v>-126.24322403025326</c:v>
                </c:pt>
                <c:pt idx="20">
                  <c:v>-103.65781292653992</c:v>
                </c:pt>
                <c:pt idx="21">
                  <c:v>-84.816099352362471</c:v>
                </c:pt>
                <c:pt idx="22">
                  <c:v>-68.27935048879317</c:v>
                </c:pt>
                <c:pt idx="23">
                  <c:v>-53.386760415372009</c:v>
                </c:pt>
                <c:pt idx="24">
                  <c:v>-40.570161774327971</c:v>
                </c:pt>
                <c:pt idx="25">
                  <c:v>-31.453970126527565</c:v>
                </c:pt>
                <c:pt idx="26">
                  <c:v>-23.927260721263337</c:v>
                </c:pt>
                <c:pt idx="27">
                  <c:v>-15.512140784178882</c:v>
                </c:pt>
              </c:numCache>
            </c:numRef>
          </c:yVal>
          <c:smooth val="1"/>
          <c:extLst>
            <c:ext xmlns:c16="http://schemas.microsoft.com/office/drawing/2014/chart" uri="{C3380CC4-5D6E-409C-BE32-E72D297353CC}">
              <c16:uniqueId val="{00000005-D4BC-5B4D-AA60-663247651378}"/>
            </c:ext>
          </c:extLst>
        </c:ser>
        <c:dLbls>
          <c:showLegendKey val="0"/>
          <c:showVal val="0"/>
          <c:showCatName val="0"/>
          <c:showSerName val="0"/>
          <c:showPercent val="0"/>
          <c:showBubbleSize val="0"/>
        </c:dLbls>
        <c:axId val="134130304"/>
        <c:axId val="134144384"/>
      </c:scatterChart>
      <c:valAx>
        <c:axId val="134130304"/>
        <c:scaling>
          <c:orientation val="minMax"/>
          <c:max val="2010"/>
          <c:min val="1910"/>
        </c:scaling>
        <c:delete val="0"/>
        <c:axPos val="b"/>
        <c:numFmt formatCode="General" sourceLinked="1"/>
        <c:majorTickMark val="in"/>
        <c:minorTickMark val="in"/>
        <c:tickLblPos val="nextTo"/>
        <c:spPr>
          <a:ln>
            <a:solidFill>
              <a:srgbClr val="333399"/>
            </a:solidFill>
          </a:ln>
        </c:spPr>
        <c:crossAx val="134144384"/>
        <c:crossesAt val="-100"/>
        <c:crossBetween val="midCat"/>
        <c:majorUnit val="50"/>
        <c:minorUnit val="10"/>
      </c:valAx>
      <c:valAx>
        <c:axId val="134144384"/>
        <c:scaling>
          <c:orientation val="minMax"/>
          <c:max val="30"/>
          <c:min val="-30"/>
        </c:scaling>
        <c:delete val="0"/>
        <c:axPos val="r"/>
        <c:title>
          <c:tx>
            <c:rich>
              <a:bodyPr rot="-5400000" vert="horz"/>
              <a:lstStyle/>
              <a:p>
                <a:pPr>
                  <a:defRPr b="0"/>
                </a:pPr>
                <a:r>
                  <a:rPr lang="en-US" b="0"/>
                  <a:t>Residual</a:t>
                </a:r>
                <a:r>
                  <a:rPr lang="en-US" b="0" baseline="0"/>
                  <a:t>, months</a:t>
                </a:r>
                <a:endParaRPr lang="en-US" b="0"/>
              </a:p>
            </c:rich>
          </c:tx>
          <c:layout>
            <c:manualLayout>
              <c:xMode val="edge"/>
              <c:yMode val="edge"/>
              <c:x val="0.96179653679653765"/>
              <c:y val="0.26076735199766732"/>
            </c:manualLayout>
          </c:layout>
          <c:overlay val="0"/>
        </c:title>
        <c:numFmt formatCode="0" sourceLinked="0"/>
        <c:majorTickMark val="in"/>
        <c:minorTickMark val="in"/>
        <c:tickLblPos val="nextTo"/>
        <c:spPr>
          <a:ln>
            <a:solidFill>
              <a:srgbClr val="333399"/>
            </a:solidFill>
          </a:ln>
        </c:spPr>
        <c:crossAx val="134130304"/>
        <c:crosses val="max"/>
        <c:crossBetween val="midCat"/>
        <c:majorUnit val="30"/>
        <c:minorUnit val="10"/>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674957297004357E-2"/>
          <c:y val="5.7060002916302532E-2"/>
          <c:w val="0.84826963296254665"/>
          <c:h val="0.77264654418197765"/>
        </c:manualLayout>
      </c:layout>
      <c:scatterChart>
        <c:scatterStyle val="smoothMarker"/>
        <c:varyColors val="0"/>
        <c:ser>
          <c:idx val="2"/>
          <c:order val="0"/>
          <c:tx>
            <c:v>Current long-term fit</c:v>
          </c:tx>
          <c:spPr>
            <a:ln w="15875">
              <a:solidFill>
                <a:srgbClr val="808080"/>
              </a:solidFill>
            </a:ln>
          </c:spPr>
          <c:marker>
            <c:symbol val="none"/>
          </c:marker>
          <c:xVal>
            <c:numLit>
              <c:formatCode>General</c:formatCode>
              <c:ptCount val="2"/>
              <c:pt idx="0">
                <c:v>1995</c:v>
              </c:pt>
              <c:pt idx="1">
                <c:v>2009</c:v>
              </c:pt>
            </c:numLit>
          </c:xVal>
          <c:yVal>
            <c:numRef>
              <c:f>(China!$F$1,China!$F$1)</c:f>
              <c:numCache>
                <c:formatCode>#,##0.0</c:formatCode>
                <c:ptCount val="2"/>
                <c:pt idx="0">
                  <c:v>138.97314479598055</c:v>
                </c:pt>
                <c:pt idx="1">
                  <c:v>138.97314479598055</c:v>
                </c:pt>
              </c:numCache>
            </c:numRef>
          </c:yVal>
          <c:smooth val="1"/>
          <c:extLst>
            <c:ext xmlns:c16="http://schemas.microsoft.com/office/drawing/2014/chart" uri="{C3380CC4-5D6E-409C-BE32-E72D297353CC}">
              <c16:uniqueId val="{00000000-9426-2C48-9498-312766ACB8D9}"/>
            </c:ext>
          </c:extLst>
        </c:ser>
        <c:ser>
          <c:idx val="3"/>
          <c:order val="1"/>
          <c:tx>
            <c:strRef>
              <c:f>China!$H$10</c:f>
              <c:strCache>
                <c:ptCount val="1"/>
                <c:pt idx="0">
                  <c:v>Q historical</c:v>
                </c:pt>
              </c:strCache>
            </c:strRef>
          </c:tx>
          <c:spPr>
            <a:ln w="15875">
              <a:solidFill>
                <a:srgbClr val="333399"/>
              </a:solidFill>
            </a:ln>
          </c:spPr>
          <c:marker>
            <c:symbol val="none"/>
          </c:marker>
          <c:xVal>
            <c:numRef>
              <c:f>China!$D$107:$D$125</c:f>
              <c:numCache>
                <c:formatCode>General</c:formatCode>
                <c:ptCount val="19"/>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numCache>
            </c:numRef>
          </c:xVal>
          <c:yVal>
            <c:numRef>
              <c:f>China!$H$107:$H$125</c:f>
              <c:numCache>
                <c:formatCode>#,##0.0</c:formatCode>
                <c:ptCount val="19"/>
                <c:pt idx="0">
                  <c:v>688.33468377592226</c:v>
                </c:pt>
                <c:pt idx="1">
                  <c:v>405.33139274348804</c:v>
                </c:pt>
                <c:pt idx="2">
                  <c:v>288.31088533229047</c:v>
                </c:pt>
                <c:pt idx="3">
                  <c:v>230.64316775404583</c:v>
                </c:pt>
                <c:pt idx="4">
                  <c:v>200.99029604727457</c:v>
                </c:pt>
                <c:pt idx="5">
                  <c:v>182.57344996182616</c:v>
                </c:pt>
                <c:pt idx="6">
                  <c:v>167.7198336870631</c:v>
                </c:pt>
                <c:pt idx="7">
                  <c:v>152.14071490742478</c:v>
                </c:pt>
                <c:pt idx="8">
                  <c:v>138.32461682256536</c:v>
                </c:pt>
                <c:pt idx="9">
                  <c:v>126.74218584388333</c:v>
                </c:pt>
                <c:pt idx="10">
                  <c:v>117.78801797713734</c:v>
                </c:pt>
                <c:pt idx="11">
                  <c:v>111.12288063237963</c:v>
                </c:pt>
                <c:pt idx="12">
                  <c:v>107.41975620721362</c:v>
                </c:pt>
                <c:pt idx="13">
                  <c:v>106.75477432600478</c:v>
                </c:pt>
                <c:pt idx="14">
                  <c:v>108.80347107825567</c:v>
                </c:pt>
                <c:pt idx="15">
                  <c:v>113.12463402573493</c:v>
                </c:pt>
                <c:pt idx="16">
                  <c:v>119.36082171300512</c:v>
                </c:pt>
                <c:pt idx="17">
                  <c:v>127.9057931544281</c:v>
                </c:pt>
                <c:pt idx="18">
                  <c:v>138.97314479598055</c:v>
                </c:pt>
              </c:numCache>
            </c:numRef>
          </c:yVal>
          <c:smooth val="1"/>
          <c:extLst>
            <c:ext xmlns:c16="http://schemas.microsoft.com/office/drawing/2014/chart" uri="{C3380CC4-5D6E-409C-BE32-E72D297353CC}">
              <c16:uniqueId val="{00000001-9426-2C48-9498-312766ACB8D9}"/>
            </c:ext>
          </c:extLst>
        </c:ser>
        <c:ser>
          <c:idx val="0"/>
          <c:order val="2"/>
          <c:tx>
            <c:strRef>
              <c:f>China!$F$10</c:f>
              <c:strCache>
                <c:ptCount val="1"/>
                <c:pt idx="0">
                  <c:v>q Gt</c:v>
                </c:pt>
              </c:strCache>
            </c:strRef>
          </c:tx>
          <c:spPr>
            <a:ln w="15875">
              <a:solidFill>
                <a:srgbClr val="008000"/>
              </a:solidFill>
            </a:ln>
          </c:spPr>
          <c:marker>
            <c:symbol val="none"/>
          </c:marker>
          <c:xVal>
            <c:numRef>
              <c:f>China!$D$12:$D$125</c:f>
              <c:numCache>
                <c:formatCode>General</c:formatCode>
                <c:ptCount val="114"/>
                <c:pt idx="0">
                  <c:v>1896</c:v>
                </c:pt>
                <c:pt idx="1">
                  <c:v>1897</c:v>
                </c:pt>
                <c:pt idx="2">
                  <c:v>1898</c:v>
                </c:pt>
                <c:pt idx="3">
                  <c:v>1899</c:v>
                </c:pt>
                <c:pt idx="4">
                  <c:v>1900</c:v>
                </c:pt>
                <c:pt idx="5">
                  <c:v>1901</c:v>
                </c:pt>
                <c:pt idx="6">
                  <c:v>1902</c:v>
                </c:pt>
                <c:pt idx="7">
                  <c:v>1903</c:v>
                </c:pt>
                <c:pt idx="8">
                  <c:v>1904</c:v>
                </c:pt>
                <c:pt idx="9">
                  <c:v>1905</c:v>
                </c:pt>
                <c:pt idx="10">
                  <c:v>1906</c:v>
                </c:pt>
                <c:pt idx="11">
                  <c:v>1907</c:v>
                </c:pt>
                <c:pt idx="12">
                  <c:v>1908</c:v>
                </c:pt>
                <c:pt idx="13">
                  <c:v>1909</c:v>
                </c:pt>
                <c:pt idx="14">
                  <c:v>1910</c:v>
                </c:pt>
                <c:pt idx="15">
                  <c:v>1911</c:v>
                </c:pt>
                <c:pt idx="16">
                  <c:v>1912</c:v>
                </c:pt>
                <c:pt idx="17">
                  <c:v>1913</c:v>
                </c:pt>
                <c:pt idx="18">
                  <c:v>1914</c:v>
                </c:pt>
                <c:pt idx="19">
                  <c:v>1915</c:v>
                </c:pt>
                <c:pt idx="20">
                  <c:v>1916</c:v>
                </c:pt>
                <c:pt idx="21">
                  <c:v>1917</c:v>
                </c:pt>
                <c:pt idx="22">
                  <c:v>1918</c:v>
                </c:pt>
                <c:pt idx="23">
                  <c:v>1919</c:v>
                </c:pt>
                <c:pt idx="24">
                  <c:v>1920</c:v>
                </c:pt>
                <c:pt idx="25">
                  <c:v>1921</c:v>
                </c:pt>
                <c:pt idx="26">
                  <c:v>1922</c:v>
                </c:pt>
                <c:pt idx="27">
                  <c:v>1923</c:v>
                </c:pt>
                <c:pt idx="28">
                  <c:v>1924</c:v>
                </c:pt>
                <c:pt idx="29">
                  <c:v>1925</c:v>
                </c:pt>
                <c:pt idx="30">
                  <c:v>1926</c:v>
                </c:pt>
                <c:pt idx="31">
                  <c:v>1927</c:v>
                </c:pt>
                <c:pt idx="32">
                  <c:v>1928</c:v>
                </c:pt>
                <c:pt idx="33">
                  <c:v>1929</c:v>
                </c:pt>
                <c:pt idx="34">
                  <c:v>1930</c:v>
                </c:pt>
                <c:pt idx="35">
                  <c:v>1931</c:v>
                </c:pt>
                <c:pt idx="36">
                  <c:v>1932</c:v>
                </c:pt>
                <c:pt idx="37">
                  <c:v>1933</c:v>
                </c:pt>
                <c:pt idx="38">
                  <c:v>1934</c:v>
                </c:pt>
                <c:pt idx="39">
                  <c:v>1935</c:v>
                </c:pt>
                <c:pt idx="40">
                  <c:v>1936</c:v>
                </c:pt>
                <c:pt idx="41">
                  <c:v>1937</c:v>
                </c:pt>
                <c:pt idx="42">
                  <c:v>1938</c:v>
                </c:pt>
                <c:pt idx="43">
                  <c:v>1939</c:v>
                </c:pt>
                <c:pt idx="44">
                  <c:v>1940</c:v>
                </c:pt>
                <c:pt idx="45">
                  <c:v>1941</c:v>
                </c:pt>
                <c:pt idx="46">
                  <c:v>1942</c:v>
                </c:pt>
                <c:pt idx="47">
                  <c:v>1943</c:v>
                </c:pt>
                <c:pt idx="48">
                  <c:v>1944</c:v>
                </c:pt>
                <c:pt idx="49">
                  <c:v>1945</c:v>
                </c:pt>
                <c:pt idx="50">
                  <c:v>1946</c:v>
                </c:pt>
                <c:pt idx="51">
                  <c:v>1947</c:v>
                </c:pt>
                <c:pt idx="52">
                  <c:v>1948</c:v>
                </c:pt>
                <c:pt idx="53">
                  <c:v>1949</c:v>
                </c:pt>
                <c:pt idx="54">
                  <c:v>1950</c:v>
                </c:pt>
                <c:pt idx="55">
                  <c:v>1951</c:v>
                </c:pt>
                <c:pt idx="56">
                  <c:v>1952</c:v>
                </c:pt>
                <c:pt idx="57">
                  <c:v>1953</c:v>
                </c:pt>
                <c:pt idx="58">
                  <c:v>1954</c:v>
                </c:pt>
                <c:pt idx="59">
                  <c:v>1955</c:v>
                </c:pt>
                <c:pt idx="60">
                  <c:v>1956</c:v>
                </c:pt>
                <c:pt idx="61">
                  <c:v>1957</c:v>
                </c:pt>
                <c:pt idx="62">
                  <c:v>1958</c:v>
                </c:pt>
                <c:pt idx="63">
                  <c:v>1959</c:v>
                </c:pt>
                <c:pt idx="64">
                  <c:v>1960</c:v>
                </c:pt>
                <c:pt idx="65">
                  <c:v>1961</c:v>
                </c:pt>
                <c:pt idx="66">
                  <c:v>1962</c:v>
                </c:pt>
                <c:pt idx="67">
                  <c:v>1963</c:v>
                </c:pt>
                <c:pt idx="68">
                  <c:v>1964</c:v>
                </c:pt>
                <c:pt idx="69">
                  <c:v>1965</c:v>
                </c:pt>
                <c:pt idx="70">
                  <c:v>1966</c:v>
                </c:pt>
                <c:pt idx="71">
                  <c:v>1967</c:v>
                </c:pt>
                <c:pt idx="72">
                  <c:v>1968</c:v>
                </c:pt>
                <c:pt idx="73">
                  <c:v>1969</c:v>
                </c:pt>
                <c:pt idx="74">
                  <c:v>1970</c:v>
                </c:pt>
                <c:pt idx="75">
                  <c:v>1971</c:v>
                </c:pt>
                <c:pt idx="76">
                  <c:v>1972</c:v>
                </c:pt>
                <c:pt idx="77">
                  <c:v>1973</c:v>
                </c:pt>
                <c:pt idx="78">
                  <c:v>1974</c:v>
                </c:pt>
                <c:pt idx="79">
                  <c:v>1975</c:v>
                </c:pt>
                <c:pt idx="80">
                  <c:v>1976</c:v>
                </c:pt>
                <c:pt idx="81">
                  <c:v>1977</c:v>
                </c:pt>
                <c:pt idx="82">
                  <c:v>1978</c:v>
                </c:pt>
                <c:pt idx="83">
                  <c:v>1979</c:v>
                </c:pt>
                <c:pt idx="84">
                  <c:v>1980</c:v>
                </c:pt>
                <c:pt idx="85">
                  <c:v>1981</c:v>
                </c:pt>
                <c:pt idx="86">
                  <c:v>1982</c:v>
                </c:pt>
                <c:pt idx="87">
                  <c:v>1983</c:v>
                </c:pt>
                <c:pt idx="88">
                  <c:v>1984</c:v>
                </c:pt>
                <c:pt idx="89">
                  <c:v>1985</c:v>
                </c:pt>
                <c:pt idx="90">
                  <c:v>1986</c:v>
                </c:pt>
                <c:pt idx="91">
                  <c:v>1987</c:v>
                </c:pt>
                <c:pt idx="92">
                  <c:v>1988</c:v>
                </c:pt>
                <c:pt idx="93">
                  <c:v>1989</c:v>
                </c:pt>
                <c:pt idx="94">
                  <c:v>1990</c:v>
                </c:pt>
                <c:pt idx="95">
                  <c:v>1991</c:v>
                </c:pt>
                <c:pt idx="96">
                  <c:v>1992</c:v>
                </c:pt>
                <c:pt idx="97">
                  <c:v>1993</c:v>
                </c:pt>
                <c:pt idx="98">
                  <c:v>1994</c:v>
                </c:pt>
                <c:pt idx="99">
                  <c:v>1995</c:v>
                </c:pt>
                <c:pt idx="100">
                  <c:v>1996</c:v>
                </c:pt>
                <c:pt idx="101">
                  <c:v>1997</c:v>
                </c:pt>
                <c:pt idx="102">
                  <c:v>1998</c:v>
                </c:pt>
                <c:pt idx="103">
                  <c:v>1999</c:v>
                </c:pt>
                <c:pt idx="104">
                  <c:v>2000</c:v>
                </c:pt>
                <c:pt idx="105">
                  <c:v>2001</c:v>
                </c:pt>
                <c:pt idx="106">
                  <c:v>2002</c:v>
                </c:pt>
                <c:pt idx="107">
                  <c:v>2003</c:v>
                </c:pt>
                <c:pt idx="108">
                  <c:v>2004</c:v>
                </c:pt>
                <c:pt idx="109">
                  <c:v>2005</c:v>
                </c:pt>
                <c:pt idx="110">
                  <c:v>2006</c:v>
                </c:pt>
                <c:pt idx="111">
                  <c:v>2007</c:v>
                </c:pt>
                <c:pt idx="112">
                  <c:v>2008</c:v>
                </c:pt>
                <c:pt idx="113">
                  <c:v>2009</c:v>
                </c:pt>
              </c:numCache>
            </c:numRef>
          </c:xVal>
          <c:yVal>
            <c:numRef>
              <c:f>China!$F$12:$F$125</c:f>
              <c:numCache>
                <c:formatCode>0.0</c:formatCode>
                <c:ptCount val="114"/>
                <c:pt idx="0">
                  <c:v>4.8899999999999996E-4</c:v>
                </c:pt>
                <c:pt idx="1">
                  <c:v>1.0279999999999998E-3</c:v>
                </c:pt>
                <c:pt idx="2">
                  <c:v>1.8109999999999999E-3</c:v>
                </c:pt>
                <c:pt idx="3">
                  <c:v>2.653E-3</c:v>
                </c:pt>
                <c:pt idx="4">
                  <c:v>3.3344999999999998E-3</c:v>
                </c:pt>
                <c:pt idx="5">
                  <c:v>3.8554999999999996E-3</c:v>
                </c:pt>
                <c:pt idx="6">
                  <c:v>4.8094999999999995E-3</c:v>
                </c:pt>
                <c:pt idx="7">
                  <c:v>5.8354999999999995E-3</c:v>
                </c:pt>
                <c:pt idx="8">
                  <c:v>7.1094999999999995E-3</c:v>
                </c:pt>
                <c:pt idx="9">
                  <c:v>8.4545000000000002E-3</c:v>
                </c:pt>
                <c:pt idx="10">
                  <c:v>1.01505E-2</c:v>
                </c:pt>
                <c:pt idx="11">
                  <c:v>1.23395E-2</c:v>
                </c:pt>
                <c:pt idx="12">
                  <c:v>1.5127499999999999E-2</c:v>
                </c:pt>
                <c:pt idx="13">
                  <c:v>1.8995499999999998E-2</c:v>
                </c:pt>
                <c:pt idx="14">
                  <c:v>2.32325E-2</c:v>
                </c:pt>
                <c:pt idx="15">
                  <c:v>2.84985E-2</c:v>
                </c:pt>
                <c:pt idx="16">
                  <c:v>3.7486499999999999E-2</c:v>
                </c:pt>
                <c:pt idx="17">
                  <c:v>5.0286499999999998E-2</c:v>
                </c:pt>
                <c:pt idx="18">
                  <c:v>6.4388500000000001E-2</c:v>
                </c:pt>
                <c:pt idx="19">
                  <c:v>7.78055E-2</c:v>
                </c:pt>
                <c:pt idx="20">
                  <c:v>9.37085E-2</c:v>
                </c:pt>
                <c:pt idx="21">
                  <c:v>0.1106105</c:v>
                </c:pt>
                <c:pt idx="22">
                  <c:v>0.1289505</c:v>
                </c:pt>
                <c:pt idx="23">
                  <c:v>0.14900549999999999</c:v>
                </c:pt>
                <c:pt idx="24">
                  <c:v>0.17026549999999999</c:v>
                </c:pt>
                <c:pt idx="25">
                  <c:v>0.19072449999999999</c:v>
                </c:pt>
                <c:pt idx="26">
                  <c:v>0.2118215</c:v>
                </c:pt>
                <c:pt idx="27">
                  <c:v>0.23637349999999999</c:v>
                </c:pt>
                <c:pt idx="28">
                  <c:v>0.26215449999999996</c:v>
                </c:pt>
                <c:pt idx="29">
                  <c:v>0.28640949999999998</c:v>
                </c:pt>
                <c:pt idx="30">
                  <c:v>0.30944949999999999</c:v>
                </c:pt>
                <c:pt idx="31">
                  <c:v>0.33362150000000002</c:v>
                </c:pt>
                <c:pt idx="32">
                  <c:v>0.35871350000000002</c:v>
                </c:pt>
                <c:pt idx="33">
                  <c:v>0.38415050000000001</c:v>
                </c:pt>
                <c:pt idx="34">
                  <c:v>0.41018749999999998</c:v>
                </c:pt>
                <c:pt idx="35">
                  <c:v>0.4374325</c:v>
                </c:pt>
                <c:pt idx="36">
                  <c:v>0.46380850000000001</c:v>
                </c:pt>
                <c:pt idx="37">
                  <c:v>0.49216750000000004</c:v>
                </c:pt>
                <c:pt idx="38">
                  <c:v>0.52489249999999998</c:v>
                </c:pt>
                <c:pt idx="39">
                  <c:v>0.56292449999999994</c:v>
                </c:pt>
                <c:pt idx="40">
                  <c:v>0.60226649999999993</c:v>
                </c:pt>
                <c:pt idx="41">
                  <c:v>0.6391794999999999</c:v>
                </c:pt>
                <c:pt idx="42">
                  <c:v>0.67112249999999984</c:v>
                </c:pt>
                <c:pt idx="43">
                  <c:v>0.70966449999999981</c:v>
                </c:pt>
                <c:pt idx="44">
                  <c:v>0.75649249999999979</c:v>
                </c:pt>
                <c:pt idx="45">
                  <c:v>0.81531549999999975</c:v>
                </c:pt>
                <c:pt idx="46">
                  <c:v>0.88100149999999977</c:v>
                </c:pt>
                <c:pt idx="47">
                  <c:v>0.93768849999999981</c:v>
                </c:pt>
                <c:pt idx="48">
                  <c:v>0.99147049999999981</c:v>
                </c:pt>
                <c:pt idx="49">
                  <c:v>1.0206764999999998</c:v>
                </c:pt>
                <c:pt idx="50">
                  <c:v>1.0395744999999998</c:v>
                </c:pt>
                <c:pt idx="51">
                  <c:v>1.0614784999999998</c:v>
                </c:pt>
                <c:pt idx="52">
                  <c:v>1.0815844999999997</c:v>
                </c:pt>
                <c:pt idx="53">
                  <c:v>1.1140144999999997</c:v>
                </c:pt>
                <c:pt idx="54">
                  <c:v>1.1569344999999998</c:v>
                </c:pt>
                <c:pt idx="55">
                  <c:v>1.2100144999999998</c:v>
                </c:pt>
                <c:pt idx="56">
                  <c:v>1.2765044999999997</c:v>
                </c:pt>
                <c:pt idx="57">
                  <c:v>1.3461844999999997</c:v>
                </c:pt>
                <c:pt idx="58">
                  <c:v>1.4298444999999997</c:v>
                </c:pt>
                <c:pt idx="59">
                  <c:v>1.5281444999999998</c:v>
                </c:pt>
                <c:pt idx="60">
                  <c:v>1.6385044999999998</c:v>
                </c:pt>
                <c:pt idx="61">
                  <c:v>1.7692344999999998</c:v>
                </c:pt>
                <c:pt idx="62">
                  <c:v>2.0392345000000001</c:v>
                </c:pt>
                <c:pt idx="63">
                  <c:v>2.4080245000000002</c:v>
                </c:pt>
                <c:pt idx="64">
                  <c:v>2.8052345000000001</c:v>
                </c:pt>
                <c:pt idx="65">
                  <c:v>3.0828544999999998</c:v>
                </c:pt>
                <c:pt idx="66">
                  <c:v>3.3024044999999997</c:v>
                </c:pt>
                <c:pt idx="67">
                  <c:v>3.5194744999999998</c:v>
                </c:pt>
                <c:pt idx="68">
                  <c:v>3.7340445</c:v>
                </c:pt>
                <c:pt idx="69">
                  <c:v>3.9658445000000002</c:v>
                </c:pt>
                <c:pt idx="70">
                  <c:v>4.2173145000000005</c:v>
                </c:pt>
                <c:pt idx="71">
                  <c:v>4.4230145000000007</c:v>
                </c:pt>
                <c:pt idx="72">
                  <c:v>4.6426045000000009</c:v>
                </c:pt>
                <c:pt idx="73">
                  <c:v>4.908554500000001</c:v>
                </c:pt>
                <c:pt idx="74">
                  <c:v>5.2625445000000006</c:v>
                </c:pt>
                <c:pt idx="75">
                  <c:v>5.6548445000000003</c:v>
                </c:pt>
                <c:pt idx="76">
                  <c:v>6.0653145000000004</c:v>
                </c:pt>
                <c:pt idx="77">
                  <c:v>6.4822845000000004</c:v>
                </c:pt>
                <c:pt idx="78">
                  <c:v>6.8954545000000005</c:v>
                </c:pt>
                <c:pt idx="79">
                  <c:v>7.3776945000000005</c:v>
                </c:pt>
                <c:pt idx="80">
                  <c:v>7.8611445000000009</c:v>
                </c:pt>
                <c:pt idx="81">
                  <c:v>8.4118245000000016</c:v>
                </c:pt>
                <c:pt idx="82">
                  <c:v>9.0296845000000019</c:v>
                </c:pt>
                <c:pt idx="83">
                  <c:v>9.6652245000000025</c:v>
                </c:pt>
                <c:pt idx="84">
                  <c:v>10.285354500000002</c:v>
                </c:pt>
                <c:pt idx="85">
                  <c:v>10.901854500000002</c:v>
                </c:pt>
                <c:pt idx="86">
                  <c:v>11.568174500000003</c:v>
                </c:pt>
                <c:pt idx="87">
                  <c:v>12.282704500000003</c:v>
                </c:pt>
                <c:pt idx="88">
                  <c:v>13.071934500000003</c:v>
                </c:pt>
                <c:pt idx="89">
                  <c:v>13.944214500000003</c:v>
                </c:pt>
                <c:pt idx="90">
                  <c:v>14.838214500000003</c:v>
                </c:pt>
                <c:pt idx="91">
                  <c:v>15.766214500000004</c:v>
                </c:pt>
                <c:pt idx="92">
                  <c:v>16.746114500000004</c:v>
                </c:pt>
                <c:pt idx="93">
                  <c:v>17.800264500000004</c:v>
                </c:pt>
                <c:pt idx="94">
                  <c:v>18.880144500000004</c:v>
                </c:pt>
                <c:pt idx="95">
                  <c:v>19.967554500000002</c:v>
                </c:pt>
                <c:pt idx="96">
                  <c:v>21.083934500000002</c:v>
                </c:pt>
                <c:pt idx="97">
                  <c:v>22.234604500000003</c:v>
                </c:pt>
                <c:pt idx="98">
                  <c:v>23.474504500000002</c:v>
                </c:pt>
                <c:pt idx="99">
                  <c:v>24.835234500000002</c:v>
                </c:pt>
                <c:pt idx="100">
                  <c:v>26.231934500000001</c:v>
                </c:pt>
                <c:pt idx="101">
                  <c:v>27.604754500000002</c:v>
                </c:pt>
                <c:pt idx="102">
                  <c:v>28.854754500000002</c:v>
                </c:pt>
                <c:pt idx="103">
                  <c:v>30.134754500000003</c:v>
                </c:pt>
                <c:pt idx="104">
                  <c:v>31.433964500000002</c:v>
                </c:pt>
                <c:pt idx="105">
                  <c:v>32.815484500000004</c:v>
                </c:pt>
                <c:pt idx="106">
                  <c:v>34.270044500000004</c:v>
                </c:pt>
                <c:pt idx="107">
                  <c:v>35.992044500000006</c:v>
                </c:pt>
                <c:pt idx="108">
                  <c:v>37.984364500000005</c:v>
                </c:pt>
                <c:pt idx="109">
                  <c:v>40.190094500000008</c:v>
                </c:pt>
                <c:pt idx="110">
                  <c:v>42.563094500000005</c:v>
                </c:pt>
                <c:pt idx="111">
                  <c:v>45.089064500000006</c:v>
                </c:pt>
                <c:pt idx="112">
                  <c:v>47.892374500000003</c:v>
                </c:pt>
                <c:pt idx="113">
                  <c:v>50.9423745</c:v>
                </c:pt>
              </c:numCache>
            </c:numRef>
          </c:yVal>
          <c:smooth val="1"/>
          <c:extLst>
            <c:ext xmlns:c16="http://schemas.microsoft.com/office/drawing/2014/chart" uri="{C3380CC4-5D6E-409C-BE32-E72D297353CC}">
              <c16:uniqueId val="{00000002-9426-2C48-9498-312766ACB8D9}"/>
            </c:ext>
          </c:extLst>
        </c:ser>
        <c:ser>
          <c:idx val="1"/>
          <c:order val="3"/>
          <c:tx>
            <c:v>early q l</c:v>
          </c:tx>
          <c:spPr>
            <a:ln w="15875">
              <a:solidFill>
                <a:srgbClr val="808080"/>
              </a:solidFill>
              <a:prstDash val="dash"/>
            </a:ln>
          </c:spPr>
          <c:marker>
            <c:symbol val="none"/>
          </c:marker>
          <c:xVal>
            <c:numRef>
              <c:f>China!$D$40:$D$61</c:f>
              <c:numCache>
                <c:formatCode>General</c:formatCode>
                <c:ptCount val="22"/>
                <c:pt idx="0">
                  <c:v>1924</c:v>
                </c:pt>
                <c:pt idx="1">
                  <c:v>1925</c:v>
                </c:pt>
                <c:pt idx="2">
                  <c:v>1926</c:v>
                </c:pt>
                <c:pt idx="3">
                  <c:v>1927</c:v>
                </c:pt>
                <c:pt idx="4">
                  <c:v>1928</c:v>
                </c:pt>
                <c:pt idx="5">
                  <c:v>1929</c:v>
                </c:pt>
                <c:pt idx="6">
                  <c:v>1930</c:v>
                </c:pt>
                <c:pt idx="7">
                  <c:v>1931</c:v>
                </c:pt>
                <c:pt idx="8">
                  <c:v>1932</c:v>
                </c:pt>
                <c:pt idx="9">
                  <c:v>1933</c:v>
                </c:pt>
                <c:pt idx="10">
                  <c:v>1934</c:v>
                </c:pt>
                <c:pt idx="11">
                  <c:v>1935</c:v>
                </c:pt>
                <c:pt idx="12">
                  <c:v>1936</c:v>
                </c:pt>
                <c:pt idx="13">
                  <c:v>1937</c:v>
                </c:pt>
                <c:pt idx="14">
                  <c:v>1938</c:v>
                </c:pt>
                <c:pt idx="15">
                  <c:v>1939</c:v>
                </c:pt>
                <c:pt idx="16">
                  <c:v>1940</c:v>
                </c:pt>
                <c:pt idx="17">
                  <c:v>1941</c:v>
                </c:pt>
                <c:pt idx="18">
                  <c:v>1942</c:v>
                </c:pt>
                <c:pt idx="19">
                  <c:v>1943</c:v>
                </c:pt>
                <c:pt idx="20">
                  <c:v>1944</c:v>
                </c:pt>
                <c:pt idx="21">
                  <c:v>1945</c:v>
                </c:pt>
              </c:numCache>
            </c:numRef>
          </c:xVal>
          <c:yVal>
            <c:numRef>
              <c:f>China!$J$40:$J$61</c:f>
              <c:numCache>
                <c:formatCode>0.0</c:formatCode>
                <c:ptCount val="22"/>
                <c:pt idx="0">
                  <c:v>0.27401270633323371</c:v>
                </c:pt>
                <c:pt idx="1">
                  <c:v>0.29225027255950364</c:v>
                </c:pt>
                <c:pt idx="2">
                  <c:v>0.31169895542902615</c:v>
                </c:pt>
                <c:pt idx="3">
                  <c:v>0.3324388074642895</c:v>
                </c:pt>
                <c:pt idx="4">
                  <c:v>0.35455512095399344</c:v>
                </c:pt>
                <c:pt idx="5">
                  <c:v>0.37813876382586392</c:v>
                </c:pt>
                <c:pt idx="6">
                  <c:v>0.40328653607010911</c:v>
                </c:pt>
                <c:pt idx="7">
                  <c:v>0.43010154783417914</c:v>
                </c:pt>
                <c:pt idx="8">
                  <c:v>0.45869362035086553</c:v>
                </c:pt>
                <c:pt idx="9">
                  <c:v>0.48917971090153006</c:v>
                </c:pt>
                <c:pt idx="10">
                  <c:v>0.52168436305374932</c:v>
                </c:pt>
                <c:pt idx="11">
                  <c:v>0.55634018344710312</c:v>
                </c:pt>
                <c:pt idx="12">
                  <c:v>0.59328834643132533</c:v>
                </c:pt>
                <c:pt idx="13">
                  <c:v>0.63267912788656522</c:v>
                </c:pt>
                <c:pt idx="14">
                  <c:v>0.67467246957482851</c:v>
                </c:pt>
                <c:pt idx="15">
                  <c:v>0.71943857538344791</c:v>
                </c:pt>
                <c:pt idx="16">
                  <c:v>0.76715854082407731</c:v>
                </c:pt>
                <c:pt idx="17">
                  <c:v>0.81802501714240661</c:v>
                </c:pt>
                <c:pt idx="18">
                  <c:v>0.8722429113725213</c:v>
                </c:pt>
                <c:pt idx="19">
                  <c:v>0.93003012363324666</c:v>
                </c:pt>
                <c:pt idx="20">
                  <c:v>0.99161832290932095</c:v>
                </c:pt>
                <c:pt idx="21">
                  <c:v>1.0572537624848042</c:v>
                </c:pt>
              </c:numCache>
            </c:numRef>
          </c:yVal>
          <c:smooth val="1"/>
          <c:extLst>
            <c:ext xmlns:c16="http://schemas.microsoft.com/office/drawing/2014/chart" uri="{C3380CC4-5D6E-409C-BE32-E72D297353CC}">
              <c16:uniqueId val="{00000003-9426-2C48-9498-312766ACB8D9}"/>
            </c:ext>
          </c:extLst>
        </c:ser>
        <c:ser>
          <c:idx val="4"/>
          <c:order val="4"/>
          <c:tx>
            <c:strRef>
              <c:f>China!$J$10</c:f>
              <c:strCache>
                <c:ptCount val="1"/>
                <c:pt idx="0">
                  <c:v>q l</c:v>
                </c:pt>
              </c:strCache>
            </c:strRef>
          </c:tx>
          <c:spPr>
            <a:ln w="15875">
              <a:solidFill>
                <a:srgbClr val="808080"/>
              </a:solidFill>
              <a:prstDash val="dash"/>
            </a:ln>
          </c:spPr>
          <c:marker>
            <c:symbol val="none"/>
          </c:marker>
          <c:xVal>
            <c:numRef>
              <c:f>China!$D$76:$D$266</c:f>
              <c:numCache>
                <c:formatCode>General</c:formatCode>
                <c:ptCount val="19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pt idx="71">
                  <c:v>2031</c:v>
                </c:pt>
                <c:pt idx="72">
                  <c:v>2032</c:v>
                </c:pt>
                <c:pt idx="73">
                  <c:v>2033</c:v>
                </c:pt>
                <c:pt idx="74">
                  <c:v>2034</c:v>
                </c:pt>
                <c:pt idx="75">
                  <c:v>2035</c:v>
                </c:pt>
                <c:pt idx="76">
                  <c:v>2036</c:v>
                </c:pt>
                <c:pt idx="77">
                  <c:v>2037</c:v>
                </c:pt>
                <c:pt idx="78">
                  <c:v>2038</c:v>
                </c:pt>
                <c:pt idx="79">
                  <c:v>2039</c:v>
                </c:pt>
                <c:pt idx="80">
                  <c:v>2040</c:v>
                </c:pt>
                <c:pt idx="81">
                  <c:v>2041</c:v>
                </c:pt>
                <c:pt idx="82">
                  <c:v>2042</c:v>
                </c:pt>
                <c:pt idx="83">
                  <c:v>2043</c:v>
                </c:pt>
                <c:pt idx="84">
                  <c:v>2044</c:v>
                </c:pt>
                <c:pt idx="85">
                  <c:v>2045</c:v>
                </c:pt>
                <c:pt idx="86">
                  <c:v>2046</c:v>
                </c:pt>
                <c:pt idx="87">
                  <c:v>2047</c:v>
                </c:pt>
                <c:pt idx="88">
                  <c:v>2048</c:v>
                </c:pt>
                <c:pt idx="89">
                  <c:v>2049</c:v>
                </c:pt>
                <c:pt idx="90">
                  <c:v>2050</c:v>
                </c:pt>
                <c:pt idx="91">
                  <c:v>2051</c:v>
                </c:pt>
                <c:pt idx="92">
                  <c:v>2052</c:v>
                </c:pt>
                <c:pt idx="93">
                  <c:v>2053</c:v>
                </c:pt>
                <c:pt idx="94">
                  <c:v>2054</c:v>
                </c:pt>
                <c:pt idx="95">
                  <c:v>2055</c:v>
                </c:pt>
                <c:pt idx="96">
                  <c:v>2056</c:v>
                </c:pt>
                <c:pt idx="97">
                  <c:v>2057</c:v>
                </c:pt>
                <c:pt idx="98">
                  <c:v>2058</c:v>
                </c:pt>
                <c:pt idx="99">
                  <c:v>2059</c:v>
                </c:pt>
                <c:pt idx="100">
                  <c:v>2060</c:v>
                </c:pt>
                <c:pt idx="101">
                  <c:v>2061</c:v>
                </c:pt>
                <c:pt idx="102">
                  <c:v>2062</c:v>
                </c:pt>
                <c:pt idx="103">
                  <c:v>2063</c:v>
                </c:pt>
                <c:pt idx="104">
                  <c:v>2064</c:v>
                </c:pt>
                <c:pt idx="105">
                  <c:v>2065</c:v>
                </c:pt>
                <c:pt idx="106">
                  <c:v>2066</c:v>
                </c:pt>
                <c:pt idx="107">
                  <c:v>2067</c:v>
                </c:pt>
                <c:pt idx="108">
                  <c:v>2068</c:v>
                </c:pt>
                <c:pt idx="109">
                  <c:v>2069</c:v>
                </c:pt>
                <c:pt idx="110">
                  <c:v>2070</c:v>
                </c:pt>
                <c:pt idx="111">
                  <c:v>2071</c:v>
                </c:pt>
                <c:pt idx="112">
                  <c:v>2072</c:v>
                </c:pt>
                <c:pt idx="113">
                  <c:v>2073</c:v>
                </c:pt>
                <c:pt idx="114">
                  <c:v>2074</c:v>
                </c:pt>
                <c:pt idx="115">
                  <c:v>2075</c:v>
                </c:pt>
                <c:pt idx="116">
                  <c:v>2076</c:v>
                </c:pt>
                <c:pt idx="117">
                  <c:v>2077</c:v>
                </c:pt>
                <c:pt idx="118">
                  <c:v>2078</c:v>
                </c:pt>
                <c:pt idx="119">
                  <c:v>2079</c:v>
                </c:pt>
                <c:pt idx="120">
                  <c:v>2080</c:v>
                </c:pt>
                <c:pt idx="121">
                  <c:v>2081</c:v>
                </c:pt>
                <c:pt idx="122">
                  <c:v>2082</c:v>
                </c:pt>
                <c:pt idx="123">
                  <c:v>2083</c:v>
                </c:pt>
                <c:pt idx="124">
                  <c:v>2084</c:v>
                </c:pt>
                <c:pt idx="125">
                  <c:v>2085</c:v>
                </c:pt>
                <c:pt idx="126">
                  <c:v>2086</c:v>
                </c:pt>
                <c:pt idx="127">
                  <c:v>2087</c:v>
                </c:pt>
                <c:pt idx="128">
                  <c:v>2088</c:v>
                </c:pt>
                <c:pt idx="129">
                  <c:v>2089</c:v>
                </c:pt>
                <c:pt idx="130">
                  <c:v>2090</c:v>
                </c:pt>
                <c:pt idx="131">
                  <c:v>2091</c:v>
                </c:pt>
                <c:pt idx="132">
                  <c:v>2092</c:v>
                </c:pt>
                <c:pt idx="133">
                  <c:v>2093</c:v>
                </c:pt>
                <c:pt idx="134">
                  <c:v>2094</c:v>
                </c:pt>
                <c:pt idx="135">
                  <c:v>2095</c:v>
                </c:pt>
                <c:pt idx="136">
                  <c:v>2096</c:v>
                </c:pt>
                <c:pt idx="137">
                  <c:v>2097</c:v>
                </c:pt>
                <c:pt idx="138">
                  <c:v>2098</c:v>
                </c:pt>
                <c:pt idx="139">
                  <c:v>2099</c:v>
                </c:pt>
                <c:pt idx="140">
                  <c:v>2100</c:v>
                </c:pt>
                <c:pt idx="141">
                  <c:v>2101</c:v>
                </c:pt>
                <c:pt idx="142">
                  <c:v>2102</c:v>
                </c:pt>
                <c:pt idx="143">
                  <c:v>2103</c:v>
                </c:pt>
                <c:pt idx="144">
                  <c:v>2104</c:v>
                </c:pt>
                <c:pt idx="145">
                  <c:v>2105</c:v>
                </c:pt>
                <c:pt idx="146">
                  <c:v>2106</c:v>
                </c:pt>
                <c:pt idx="147">
                  <c:v>2107</c:v>
                </c:pt>
                <c:pt idx="148">
                  <c:v>2108</c:v>
                </c:pt>
                <c:pt idx="149">
                  <c:v>2109</c:v>
                </c:pt>
                <c:pt idx="150">
                  <c:v>2110</c:v>
                </c:pt>
                <c:pt idx="151">
                  <c:v>2111</c:v>
                </c:pt>
                <c:pt idx="152">
                  <c:v>2112</c:v>
                </c:pt>
                <c:pt idx="153">
                  <c:v>2113</c:v>
                </c:pt>
                <c:pt idx="154">
                  <c:v>2114</c:v>
                </c:pt>
                <c:pt idx="155">
                  <c:v>2115</c:v>
                </c:pt>
                <c:pt idx="156">
                  <c:v>2116</c:v>
                </c:pt>
                <c:pt idx="157">
                  <c:v>2117</c:v>
                </c:pt>
                <c:pt idx="158">
                  <c:v>2118</c:v>
                </c:pt>
                <c:pt idx="159">
                  <c:v>2119</c:v>
                </c:pt>
                <c:pt idx="160">
                  <c:v>2120</c:v>
                </c:pt>
                <c:pt idx="161">
                  <c:v>2121</c:v>
                </c:pt>
                <c:pt idx="162">
                  <c:v>2122</c:v>
                </c:pt>
                <c:pt idx="163">
                  <c:v>2123</c:v>
                </c:pt>
                <c:pt idx="164">
                  <c:v>2124</c:v>
                </c:pt>
                <c:pt idx="165">
                  <c:v>2125</c:v>
                </c:pt>
                <c:pt idx="166">
                  <c:v>2126</c:v>
                </c:pt>
                <c:pt idx="167">
                  <c:v>2127</c:v>
                </c:pt>
                <c:pt idx="168">
                  <c:v>2128</c:v>
                </c:pt>
                <c:pt idx="169">
                  <c:v>2129</c:v>
                </c:pt>
                <c:pt idx="170">
                  <c:v>2130</c:v>
                </c:pt>
                <c:pt idx="171">
                  <c:v>2131</c:v>
                </c:pt>
                <c:pt idx="172">
                  <c:v>2132</c:v>
                </c:pt>
                <c:pt idx="173">
                  <c:v>2133</c:v>
                </c:pt>
                <c:pt idx="174">
                  <c:v>2134</c:v>
                </c:pt>
                <c:pt idx="175">
                  <c:v>2135</c:v>
                </c:pt>
                <c:pt idx="176">
                  <c:v>2136</c:v>
                </c:pt>
                <c:pt idx="177">
                  <c:v>2137</c:v>
                </c:pt>
                <c:pt idx="178">
                  <c:v>2138</c:v>
                </c:pt>
                <c:pt idx="179">
                  <c:v>2139</c:v>
                </c:pt>
                <c:pt idx="180">
                  <c:v>2140</c:v>
                </c:pt>
                <c:pt idx="181">
                  <c:v>2141</c:v>
                </c:pt>
                <c:pt idx="182">
                  <c:v>2142</c:v>
                </c:pt>
                <c:pt idx="183">
                  <c:v>2143</c:v>
                </c:pt>
                <c:pt idx="184">
                  <c:v>2144</c:v>
                </c:pt>
                <c:pt idx="185">
                  <c:v>2145</c:v>
                </c:pt>
                <c:pt idx="186">
                  <c:v>2146</c:v>
                </c:pt>
                <c:pt idx="187">
                  <c:v>2147</c:v>
                </c:pt>
                <c:pt idx="188">
                  <c:v>2148</c:v>
                </c:pt>
                <c:pt idx="189">
                  <c:v>2149</c:v>
                </c:pt>
                <c:pt idx="190">
                  <c:v>2150</c:v>
                </c:pt>
              </c:numCache>
            </c:numRef>
          </c:xVal>
          <c:yVal>
            <c:numRef>
              <c:f>China!$J$76:$J$266</c:f>
              <c:numCache>
                <c:formatCode>0.0</c:formatCode>
                <c:ptCount val="191"/>
                <c:pt idx="0">
                  <c:v>2.8373534015200792</c:v>
                </c:pt>
                <c:pt idx="1">
                  <c:v>3.0285788197439945</c:v>
                </c:pt>
                <c:pt idx="2">
                  <c:v>3.2323860037308503</c:v>
                </c:pt>
                <c:pt idx="3">
                  <c:v>3.4495603047832852</c:v>
                </c:pt>
                <c:pt idx="4">
                  <c:v>3.6809302172936453</c:v>
                </c:pt>
                <c:pt idx="5">
                  <c:v>3.9273689254491511</c:v>
                </c:pt>
                <c:pt idx="6">
                  <c:v>4.1897957816657163</c:v>
                </c:pt>
                <c:pt idx="7">
                  <c:v>4.4691776928355615</c:v>
                </c:pt>
                <c:pt idx="8">
                  <c:v>4.7665303871896052</c:v>
                </c:pt>
                <c:pt idx="9">
                  <c:v>5.08291953103108</c:v>
                </c:pt>
                <c:pt idx="10">
                  <c:v>5.4194616608014252</c:v>
                </c:pt>
                <c:pt idx="11">
                  <c:v>5.7773248919114533</c:v>
                </c:pt>
                <c:pt idx="12">
                  <c:v>6.1577293615384763</c:v>
                </c:pt>
                <c:pt idx="13">
                  <c:v>6.5619473581954493</c:v>
                </c:pt>
                <c:pt idx="14">
                  <c:v>6.9913030863774148</c:v>
                </c:pt>
                <c:pt idx="15">
                  <c:v>7.4471720100582752</c:v>
                </c:pt>
                <c:pt idx="16">
                  <c:v>7.9309797143418548</c:v>
                </c:pt>
                <c:pt idx="17">
                  <c:v>8.4442002202826316</c:v>
                </c:pt>
                <c:pt idx="18">
                  <c:v>8.9883536839274143</c:v>
                </c:pt>
                <c:pt idx="19">
                  <c:v>9.5650034071603702</c:v>
                </c:pt>
                <c:pt idx="20">
                  <c:v>10.175752085161591</c:v>
                </c:pt>
                <c:pt idx="21">
                  <c:v>10.822237213445943</c:v>
                </c:pt>
                <c:pt idx="22">
                  <c:v>11.506125576798274</c:v>
                </c:pt>
                <c:pt idx="23">
                  <c:v>12.229106743255903</c:v>
                </c:pt>
                <c:pt idx="24">
                  <c:v>12.992885488932041</c:v>
                </c:pt>
                <c:pt idx="25">
                  <c:v>13.799173084266124</c:v>
                </c:pt>
                <c:pt idx="26">
                  <c:v>14.649677379587898</c:v>
                </c:pt>
                <c:pt idx="27">
                  <c:v>15.546091638052454</c:v>
                </c:pt>
                <c:pt idx="28">
                  <c:v>16.490082077394383</c:v>
                </c:pt>
                <c:pt idx="29">
                  <c:v>17.483274098883697</c:v>
                </c:pt>
                <c:pt idx="30">
                  <c:v>18.52723720261698</c:v>
                </c:pt>
                <c:pt idx="31">
                  <c:v>19.623468613040401</c:v>
                </c:pt>
                <c:pt idx="32">
                  <c:v>20.773375667469285</c:v>
                </c:pt>
                <c:pt idx="33">
                  <c:v>21.978257053296513</c:v>
                </c:pt>
                <c:pt idx="34">
                  <c:v>23.239283016355035</c:v>
                </c:pt>
                <c:pt idx="35">
                  <c:v>24.557474703101061</c:v>
                </c:pt>
                <c:pt idx="36">
                  <c:v>25.933682842264759</c:v>
                </c:pt>
                <c:pt idx="37">
                  <c:v>27.368566016468353</c:v>
                </c:pt>
                <c:pt idx="38">
                  <c:v>28.862568819858435</c:v>
                </c:pt>
                <c:pt idx="39">
                  <c:v>30.415900242584843</c:v>
                </c:pt>
                <c:pt idx="40">
                  <c:v>32.028512665264763</c:v>
                </c:pt>
                <c:pt idx="41">
                  <c:v>33.700081884448025</c:v>
                </c:pt>
                <c:pt idx="42">
                  <c:v>35.429988621421806</c:v>
                </c:pt>
                <c:pt idx="43">
                  <c:v>37.217301989235366</c:v>
                </c:pt>
                <c:pt idx="44">
                  <c:v>39.060765404364382</c:v>
                </c:pt>
                <c:pt idx="45">
                  <c:v>40.958785427875036</c:v>
                </c:pt>
                <c:pt idx="46">
                  <c:v>42.90942400445757</c:v>
                </c:pt>
                <c:pt idx="47">
                  <c:v>44.910394534861936</c:v>
                </c:pt>
                <c:pt idx="48">
                  <c:v>46.959062167233128</c:v>
                </c:pt>
                <c:pt idx="49">
                  <c:v>49.052448625459981</c:v>
                </c:pt>
                <c:pt idx="50">
                  <c:v>51.187241808583629</c:v>
                </c:pt>
                <c:pt idx="51">
                  <c:v>53.359810296111981</c:v>
                </c:pt>
                <c:pt idx="52">
                  <c:v>55.566222782219185</c:v>
                </c:pt>
                <c:pt idx="53">
                  <c:v>57.802272340612483</c:v>
                </c:pt>
                <c:pt idx="54">
                  <c:v>60.063505295434297</c:v>
                </c:pt>
                <c:pt idx="55">
                  <c:v>62.345254346652865</c:v>
                </c:pt>
                <c:pt idx="56">
                  <c:v>64.64267547607443</c:v>
                </c:pt>
                <c:pt idx="57">
                  <c:v>66.950788047585249</c:v>
                </c:pt>
                <c:pt idx="58">
                  <c:v>69.264517417506482</c:v>
                </c:pt>
                <c:pt idx="59">
                  <c:v>71.578739292518591</c:v>
                </c:pt>
                <c:pt idx="60">
                  <c:v>73.888325017190624</c:v>
                </c:pt>
                <c:pt idx="61">
                  <c:v>76.188186943400822</c:v>
                </c:pt>
                <c:pt idx="62">
                  <c:v>78.473323031305242</c:v>
                </c:pt>
                <c:pt idx="63">
                  <c:v>80.738859856129807</c:v>
                </c:pt>
                <c:pt idx="64">
                  <c:v>82.980093245728511</c:v>
                </c:pt>
                <c:pt idx="65">
                  <c:v>85.192525848121221</c:v>
                </c:pt>
                <c:pt idx="66">
                  <c:v>87.37190102257621</c:v>
                </c:pt>
                <c:pt idx="67">
                  <c:v>89.514232557863636</c:v>
                </c:pt>
                <c:pt idx="68">
                  <c:v>91.615829842149509</c:v>
                </c:pt>
                <c:pt idx="69">
                  <c:v>93.67331823543438</c:v>
                </c:pt>
                <c:pt idx="70">
                  <c:v>95.683654522332702</c:v>
                </c:pt>
                <c:pt idx="71">
                  <c:v>97.644137445526525</c:v>
                </c:pt>
                <c:pt idx="72">
                  <c:v>99.552413434168486</c:v>
                </c:pt>
                <c:pt idx="73">
                  <c:v>101.40647774335881</c:v>
                </c:pt>
                <c:pt idx="74">
                  <c:v>103.20467130793909</c:v>
                </c:pt>
                <c:pt idx="75">
                  <c:v>104.94567368450991</c:v>
                </c:pt>
                <c:pt idx="76">
                  <c:v>106.62849250895304</c:v>
                </c:pt>
                <c:pt idx="77">
                  <c:v>108.25244993283096</c:v>
                </c:pt>
                <c:pt idx="78">
                  <c:v>109.81716652156749</c:v>
                </c:pt>
                <c:pt idx="79">
                  <c:v>111.32254310160671</c:v>
                </c:pt>
                <c:pt idx="80">
                  <c:v>112.76874103456434</c:v>
                </c:pt>
                <c:pt idx="81">
                  <c:v>114.15616137578475</c:v>
                </c:pt>
                <c:pt idx="82">
                  <c:v>115.48542334490438</c:v>
                </c:pt>
                <c:pt idx="83">
                  <c:v>116.7573424992343</c:v>
                </c:pt>
                <c:pt idx="84">
                  <c:v>117.97290895915981</c:v>
                </c:pt>
                <c:pt idx="85">
                  <c:v>119.13326599030445</c:v>
                </c:pt>
                <c:pt idx="86">
                  <c:v>120.23968920168434</c:v>
                </c:pt>
                <c:pt idx="87">
                  <c:v>121.29356657399147</c:v>
                </c:pt>
                <c:pt idx="88">
                  <c:v>122.29637948872768</c:v>
                </c:pt>
                <c:pt idx="89">
                  <c:v>123.24968488811784</c:v>
                </c:pt>
                <c:pt idx="90">
                  <c:v>124.15509865826158</c:v>
                </c:pt>
                <c:pt idx="91">
                  <c:v>125.01428029429425</c:v>
                </c:pt>
                <c:pt idx="92">
                  <c:v>125.82891887667409</c:v>
                </c:pt>
                <c:pt idx="93">
                  <c:v>126.6007203621635</c:v>
                </c:pt>
                <c:pt idx="94">
                  <c:v>127.33139617156576</c:v>
                </c:pt>
                <c:pt idx="95">
                  <c:v>128.02265303862981</c:v>
                </c:pt>
                <c:pt idx="96">
                  <c:v>128.67618407048974</c:v>
                </c:pt>
                <c:pt idx="97">
                  <c:v>129.29366095924328</c:v>
                </c:pt>
                <c:pt idx="98">
                  <c:v>129.87672727645014</c:v>
                </c:pt>
                <c:pt idx="99">
                  <c:v>130.42699277708607</c:v>
                </c:pt>
                <c:pt idx="100">
                  <c:v>130.94602863646023</c:v>
                </c:pt>
                <c:pt idx="101">
                  <c:v>131.43536354244696</c:v>
                </c:pt>
                <c:pt idx="102">
                  <c:v>131.89648056577306</c:v>
                </c:pt>
                <c:pt idx="103">
                  <c:v>132.33081473273754</c:v>
                </c:pt>
                <c:pt idx="104">
                  <c:v>132.73975122735322</c:v>
                </c:pt>
                <c:pt idx="105">
                  <c:v>133.1246241532524</c:v>
                </c:pt>
                <c:pt idx="106">
                  <c:v>133.48671578958064</c:v>
                </c:pt>
                <c:pt idx="107">
                  <c:v>133.82725627934275</c:v>
                </c:pt>
                <c:pt idx="108">
                  <c:v>134.14742369310741</c:v>
                </c:pt>
                <c:pt idx="109">
                  <c:v>134.44834441550702</c:v>
                </c:pt>
                <c:pt idx="110">
                  <c:v>134.7310938064806</c:v>
                </c:pt>
                <c:pt idx="111">
                  <c:v>134.99669709362908</c:v>
                </c:pt>
                <c:pt idx="112">
                  <c:v>135.24613045631844</c:v>
                </c:pt>
                <c:pt idx="113">
                  <c:v>135.48032226623621</c:v>
                </c:pt>
                <c:pt idx="114">
                  <c:v>135.70015445294888</c:v>
                </c:pt>
                <c:pt idx="115">
                  <c:v>135.90646396660091</c:v>
                </c:pt>
                <c:pt idx="116">
                  <c:v>136.10004431323091</c:v>
                </c:pt>
                <c:pt idx="117">
                  <c:v>136.28164714125251</c:v>
                </c:pt>
                <c:pt idx="118">
                  <c:v>136.45198386045726</c:v>
                </c:pt>
                <c:pt idx="119">
                  <c:v>136.61172727745588</c:v>
                </c:pt>
                <c:pt idx="120">
                  <c:v>136.76151323378366</c:v>
                </c:pt>
                <c:pt idx="121">
                  <c:v>136.90194223497852</c:v>
                </c:pt>
                <c:pt idx="122">
                  <c:v>137.03358106079858</c:v>
                </c:pt>
                <c:pt idx="123">
                  <c:v>137.15696434840555</c:v>
                </c:pt>
                <c:pt idx="124">
                  <c:v>137.27259614180656</c:v>
                </c:pt>
                <c:pt idx="125">
                  <c:v>137.38095140214261</c:v>
                </c:pt>
                <c:pt idx="126">
                  <c:v>137.48247747454633</c:v>
                </c:pt>
                <c:pt idx="127">
                  <c:v>137.57759550828348</c:v>
                </c:pt>
                <c:pt idx="128">
                  <c:v>137.66670182775249</c:v>
                </c:pt>
                <c:pt idx="129">
                  <c:v>137.75016925265956</c:v>
                </c:pt>
                <c:pt idx="130">
                  <c:v>137.82834836632341</c:v>
                </c:pt>
                <c:pt idx="131">
                  <c:v>137.90156873160859</c:v>
                </c:pt>
                <c:pt idx="132">
                  <c:v>137.97014005444433</c:v>
                </c:pt>
                <c:pt idx="133">
                  <c:v>138.03435329527306</c:v>
                </c:pt>
                <c:pt idx="134">
                  <c:v>138.09448172909285</c:v>
                </c:pt>
                <c:pt idx="135">
                  <c:v>138.15078195502187</c:v>
                </c:pt>
                <c:pt idx="136">
                  <c:v>138.2034948565252</c:v>
                </c:pt>
                <c:pt idx="137">
                  <c:v>138.25284651361628</c:v>
                </c:pt>
                <c:pt idx="138">
                  <c:v>138.299049068475</c:v>
                </c:pt>
                <c:pt idx="139">
                  <c:v>138.34230154602562</c:v>
                </c:pt>
                <c:pt idx="140">
                  <c:v>138.38279063108817</c:v>
                </c:pt>
                <c:pt idx="141">
                  <c:v>138.42069140376444</c:v>
                </c:pt>
                <c:pt idx="142">
                  <c:v>138.45616803474826</c:v>
                </c:pt>
                <c:pt idx="143">
                  <c:v>138.48937444225717</c:v>
                </c:pt>
                <c:pt idx="144">
                  <c:v>138.52045491228117</c:v>
                </c:pt>
                <c:pt idx="145">
                  <c:v>138.54954468382576</c:v>
                </c:pt>
                <c:pt idx="146">
                  <c:v>138.57677050080156</c:v>
                </c:pt>
                <c:pt idx="147">
                  <c:v>138.60225113217848</c:v>
                </c:pt>
                <c:pt idx="148">
                  <c:v>138.6260978619826</c:v>
                </c:pt>
                <c:pt idx="149">
                  <c:v>138.64841495066705</c:v>
                </c:pt>
                <c:pt idx="150">
                  <c:v>138.66930006934172</c:v>
                </c:pt>
                <c:pt idx="151">
                  <c:v>138.68884470829238</c:v>
                </c:pt>
                <c:pt idx="152">
                  <c:v>138.70713456116727</c:v>
                </c:pt>
                <c:pt idx="153">
                  <c:v>138.72424988615444</c:v>
                </c:pt>
                <c:pt idx="154">
                  <c:v>138.74026584541738</c:v>
                </c:pt>
                <c:pt idx="155">
                  <c:v>138.75525282400079</c:v>
                </c:pt>
                <c:pt idx="156">
                  <c:v>138.76927672936429</c:v>
                </c:pt>
                <c:pt idx="157">
                  <c:v>138.78239927264639</c:v>
                </c:pt>
                <c:pt idx="158">
                  <c:v>138.79467823270889</c:v>
                </c:pt>
                <c:pt idx="159">
                  <c:v>138.80616770395886</c:v>
                </c:pt>
                <c:pt idx="160">
                  <c:v>138.81691832889601</c:v>
                </c:pt>
                <c:pt idx="161">
                  <c:v>138.82697751628305</c:v>
                </c:pt>
                <c:pt idx="162">
                  <c:v>138.83638964579063</c:v>
                </c:pt>
                <c:pt idx="163">
                  <c:v>138.84519625992144</c:v>
                </c:pt>
                <c:pt idx="164">
                  <c:v>138.85343624397632</c:v>
                </c:pt>
                <c:pt idx="165">
                  <c:v>138.86114599478068</c:v>
                </c:pt>
                <c:pt idx="166">
                  <c:v>138.86835957885256</c:v>
                </c:pt>
                <c:pt idx="167">
                  <c:v>138.87510888065219</c:v>
                </c:pt>
                <c:pt idx="168">
                  <c:v>138.88142374151903</c:v>
                </c:pt>
                <c:pt idx="169">
                  <c:v>138.88733208986611</c:v>
                </c:pt>
                <c:pt idx="170">
                  <c:v>138.89286006316843</c:v>
                </c:pt>
                <c:pt idx="171">
                  <c:v>138.89803212225178</c:v>
                </c:pt>
                <c:pt idx="172">
                  <c:v>138.9028711583579</c:v>
                </c:pt>
                <c:pt idx="173">
                  <c:v>138.90739859343344</c:v>
                </c:pt>
                <c:pt idx="174">
                  <c:v>138.91163447406439</c:v>
                </c:pt>
                <c:pt idx="175">
                  <c:v>138.91559755945178</c:v>
                </c:pt>
                <c:pt idx="176">
                  <c:v>138.91930540380082</c:v>
                </c:pt>
                <c:pt idx="177">
                  <c:v>138.92277443347302</c:v>
                </c:pt>
                <c:pt idx="178">
                  <c:v>138.9260200192299</c:v>
                </c:pt>
                <c:pt idx="179">
                  <c:v>138.92905654387647</c:v>
                </c:pt>
                <c:pt idx="180">
                  <c:v>138.93189746559418</c:v>
                </c:pt>
                <c:pt idx="181">
                  <c:v>138.93455537723466</c:v>
                </c:pt>
                <c:pt idx="182">
                  <c:v>138.93704206182969</c:v>
                </c:pt>
                <c:pt idx="183">
                  <c:v>138.93936854455626</c:v>
                </c:pt>
                <c:pt idx="184">
                  <c:v>138.94154514138117</c:v>
                </c:pt>
                <c:pt idx="185">
                  <c:v>138.94358150459564</c:v>
                </c:pt>
                <c:pt idx="186">
                  <c:v>138.94548666543702</c:v>
                </c:pt>
                <c:pt idx="187">
                  <c:v>138.94726907398302</c:v>
                </c:pt>
                <c:pt idx="188">
                  <c:v>138.9489366364912</c:v>
                </c:pt>
                <c:pt idx="189">
                  <c:v>138.95049675034682</c:v>
                </c:pt>
                <c:pt idx="190">
                  <c:v>138.9519563367713</c:v>
                </c:pt>
              </c:numCache>
            </c:numRef>
          </c:yVal>
          <c:smooth val="1"/>
          <c:extLst>
            <c:ext xmlns:c16="http://schemas.microsoft.com/office/drawing/2014/chart" uri="{C3380CC4-5D6E-409C-BE32-E72D297353CC}">
              <c16:uniqueId val="{00000004-9426-2C48-9498-312766ACB8D9}"/>
            </c:ext>
          </c:extLst>
        </c:ser>
        <c:dLbls>
          <c:showLegendKey val="0"/>
          <c:showVal val="0"/>
          <c:showCatName val="0"/>
          <c:showSerName val="0"/>
          <c:showPercent val="0"/>
          <c:showBubbleSize val="0"/>
        </c:dLbls>
        <c:axId val="134146688"/>
        <c:axId val="132968832"/>
      </c:scatterChart>
      <c:valAx>
        <c:axId val="134146688"/>
        <c:scaling>
          <c:orientation val="minMax"/>
          <c:max val="2020"/>
          <c:min val="191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2968832"/>
        <c:crossesAt val="-1000"/>
        <c:crossBetween val="midCat"/>
        <c:majorUnit val="50"/>
        <c:minorUnit val="10"/>
      </c:valAx>
      <c:valAx>
        <c:axId val="132968832"/>
        <c:scaling>
          <c:logBase val="10"/>
          <c:orientation val="minMax"/>
          <c:max val="300"/>
          <c:min val="0.1"/>
        </c:scaling>
        <c:delete val="0"/>
        <c:axPos val="r"/>
        <c:title>
          <c:tx>
            <c:rich>
              <a:bodyPr rot="-5400000" vert="horz"/>
              <a:lstStyle/>
              <a:p>
                <a:pPr>
                  <a:defRPr sz="1200" b="0">
                    <a:solidFill>
                      <a:srgbClr val="333399"/>
                    </a:solidFill>
                  </a:defRPr>
                </a:pPr>
                <a:r>
                  <a:rPr lang="en-US" sz="1200" b="0">
                    <a:solidFill>
                      <a:srgbClr val="333399"/>
                    </a:solidFill>
                  </a:rPr>
                  <a:t>Cumulative production, Gt</a:t>
                </a:r>
              </a:p>
            </c:rich>
          </c:tx>
          <c:layout>
            <c:manualLayout>
              <c:xMode val="edge"/>
              <c:yMode val="edge"/>
              <c:x val="0.96179660875723849"/>
              <c:y val="0.13136920384951881"/>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4146688"/>
        <c:crosses val="max"/>
        <c:crossBetween val="midCat"/>
        <c:majorUnit val="10"/>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2922290623340678"/>
          <c:h val="0.77264654418197765"/>
        </c:manualLayout>
      </c:layout>
      <c:scatterChart>
        <c:scatterStyle val="smoothMarker"/>
        <c:varyColors val="0"/>
        <c:ser>
          <c:idx val="3"/>
          <c:order val="0"/>
          <c:tx>
            <c:strRef>
              <c:f>China!$H$10</c:f>
              <c:strCache>
                <c:ptCount val="1"/>
                <c:pt idx="0">
                  <c:v>Q historical</c:v>
                </c:pt>
              </c:strCache>
            </c:strRef>
          </c:tx>
          <c:spPr>
            <a:ln w="15875">
              <a:solidFill>
                <a:srgbClr val="333399"/>
              </a:solidFill>
            </a:ln>
          </c:spPr>
          <c:marker>
            <c:symbol val="none"/>
          </c:marker>
          <c:xVal>
            <c:numRef>
              <c:f>China!$D$12:$D$192</c:f>
              <c:numCache>
                <c:formatCode>General</c:formatCode>
                <c:ptCount val="181"/>
                <c:pt idx="0">
                  <c:v>1896</c:v>
                </c:pt>
                <c:pt idx="1">
                  <c:v>1897</c:v>
                </c:pt>
                <c:pt idx="2">
                  <c:v>1898</c:v>
                </c:pt>
                <c:pt idx="3">
                  <c:v>1899</c:v>
                </c:pt>
                <c:pt idx="4">
                  <c:v>1900</c:v>
                </c:pt>
                <c:pt idx="5">
                  <c:v>1901</c:v>
                </c:pt>
                <c:pt idx="6">
                  <c:v>1902</c:v>
                </c:pt>
                <c:pt idx="7">
                  <c:v>1903</c:v>
                </c:pt>
                <c:pt idx="8">
                  <c:v>1904</c:v>
                </c:pt>
                <c:pt idx="9">
                  <c:v>1905</c:v>
                </c:pt>
                <c:pt idx="10">
                  <c:v>1906</c:v>
                </c:pt>
                <c:pt idx="11">
                  <c:v>1907</c:v>
                </c:pt>
                <c:pt idx="12">
                  <c:v>1908</c:v>
                </c:pt>
                <c:pt idx="13">
                  <c:v>1909</c:v>
                </c:pt>
                <c:pt idx="14">
                  <c:v>1910</c:v>
                </c:pt>
                <c:pt idx="15">
                  <c:v>1911</c:v>
                </c:pt>
                <c:pt idx="16">
                  <c:v>1912</c:v>
                </c:pt>
                <c:pt idx="17">
                  <c:v>1913</c:v>
                </c:pt>
                <c:pt idx="18">
                  <c:v>1914</c:v>
                </c:pt>
                <c:pt idx="19">
                  <c:v>1915</c:v>
                </c:pt>
                <c:pt idx="20">
                  <c:v>1916</c:v>
                </c:pt>
                <c:pt idx="21">
                  <c:v>1917</c:v>
                </c:pt>
                <c:pt idx="22">
                  <c:v>1918</c:v>
                </c:pt>
                <c:pt idx="23">
                  <c:v>1919</c:v>
                </c:pt>
                <c:pt idx="24">
                  <c:v>1920</c:v>
                </c:pt>
                <c:pt idx="25">
                  <c:v>1921</c:v>
                </c:pt>
                <c:pt idx="26">
                  <c:v>1922</c:v>
                </c:pt>
                <c:pt idx="27">
                  <c:v>1923</c:v>
                </c:pt>
                <c:pt idx="28">
                  <c:v>1924</c:v>
                </c:pt>
                <c:pt idx="29">
                  <c:v>1925</c:v>
                </c:pt>
                <c:pt idx="30">
                  <c:v>1926</c:v>
                </c:pt>
                <c:pt idx="31">
                  <c:v>1927</c:v>
                </c:pt>
                <c:pt idx="32">
                  <c:v>1928</c:v>
                </c:pt>
                <c:pt idx="33">
                  <c:v>1929</c:v>
                </c:pt>
                <c:pt idx="34">
                  <c:v>1930</c:v>
                </c:pt>
                <c:pt idx="35">
                  <c:v>1931</c:v>
                </c:pt>
                <c:pt idx="36">
                  <c:v>1932</c:v>
                </c:pt>
                <c:pt idx="37">
                  <c:v>1933</c:v>
                </c:pt>
                <c:pt idx="38">
                  <c:v>1934</c:v>
                </c:pt>
                <c:pt idx="39">
                  <c:v>1935</c:v>
                </c:pt>
                <c:pt idx="40">
                  <c:v>1936</c:v>
                </c:pt>
                <c:pt idx="41">
                  <c:v>1937</c:v>
                </c:pt>
                <c:pt idx="42">
                  <c:v>1938</c:v>
                </c:pt>
                <c:pt idx="43">
                  <c:v>1939</c:v>
                </c:pt>
                <c:pt idx="44">
                  <c:v>1940</c:v>
                </c:pt>
                <c:pt idx="45">
                  <c:v>1941</c:v>
                </c:pt>
                <c:pt idx="46">
                  <c:v>1942</c:v>
                </c:pt>
                <c:pt idx="47">
                  <c:v>1943</c:v>
                </c:pt>
                <c:pt idx="48">
                  <c:v>1944</c:v>
                </c:pt>
                <c:pt idx="49">
                  <c:v>1945</c:v>
                </c:pt>
                <c:pt idx="50">
                  <c:v>1946</c:v>
                </c:pt>
                <c:pt idx="51">
                  <c:v>1947</c:v>
                </c:pt>
                <c:pt idx="52">
                  <c:v>1948</c:v>
                </c:pt>
                <c:pt idx="53">
                  <c:v>1949</c:v>
                </c:pt>
                <c:pt idx="54">
                  <c:v>1950</c:v>
                </c:pt>
                <c:pt idx="55">
                  <c:v>1951</c:v>
                </c:pt>
                <c:pt idx="56">
                  <c:v>1952</c:v>
                </c:pt>
                <c:pt idx="57">
                  <c:v>1953</c:v>
                </c:pt>
                <c:pt idx="58">
                  <c:v>1954</c:v>
                </c:pt>
                <c:pt idx="59">
                  <c:v>1955</c:v>
                </c:pt>
                <c:pt idx="60">
                  <c:v>1956</c:v>
                </c:pt>
                <c:pt idx="61">
                  <c:v>1957</c:v>
                </c:pt>
                <c:pt idx="62">
                  <c:v>1958</c:v>
                </c:pt>
                <c:pt idx="63">
                  <c:v>1959</c:v>
                </c:pt>
                <c:pt idx="64">
                  <c:v>1960</c:v>
                </c:pt>
                <c:pt idx="65">
                  <c:v>1961</c:v>
                </c:pt>
                <c:pt idx="66">
                  <c:v>1962</c:v>
                </c:pt>
                <c:pt idx="67">
                  <c:v>1963</c:v>
                </c:pt>
                <c:pt idx="68">
                  <c:v>1964</c:v>
                </c:pt>
                <c:pt idx="69">
                  <c:v>1965</c:v>
                </c:pt>
                <c:pt idx="70">
                  <c:v>1966</c:v>
                </c:pt>
                <c:pt idx="71">
                  <c:v>1967</c:v>
                </c:pt>
                <c:pt idx="72">
                  <c:v>1968</c:v>
                </c:pt>
                <c:pt idx="73">
                  <c:v>1969</c:v>
                </c:pt>
                <c:pt idx="74">
                  <c:v>1970</c:v>
                </c:pt>
                <c:pt idx="75">
                  <c:v>1971</c:v>
                </c:pt>
                <c:pt idx="76">
                  <c:v>1972</c:v>
                </c:pt>
                <c:pt idx="77">
                  <c:v>1973</c:v>
                </c:pt>
                <c:pt idx="78">
                  <c:v>1974</c:v>
                </c:pt>
                <c:pt idx="79">
                  <c:v>1975</c:v>
                </c:pt>
                <c:pt idx="80">
                  <c:v>1976</c:v>
                </c:pt>
                <c:pt idx="81">
                  <c:v>1977</c:v>
                </c:pt>
                <c:pt idx="82">
                  <c:v>1978</c:v>
                </c:pt>
                <c:pt idx="83">
                  <c:v>1979</c:v>
                </c:pt>
                <c:pt idx="84">
                  <c:v>1980</c:v>
                </c:pt>
                <c:pt idx="85">
                  <c:v>1981</c:v>
                </c:pt>
                <c:pt idx="86">
                  <c:v>1982</c:v>
                </c:pt>
                <c:pt idx="87">
                  <c:v>1983</c:v>
                </c:pt>
                <c:pt idx="88">
                  <c:v>1984</c:v>
                </c:pt>
                <c:pt idx="89">
                  <c:v>1985</c:v>
                </c:pt>
                <c:pt idx="90">
                  <c:v>1986</c:v>
                </c:pt>
                <c:pt idx="91">
                  <c:v>1987</c:v>
                </c:pt>
                <c:pt idx="92">
                  <c:v>1988</c:v>
                </c:pt>
                <c:pt idx="93">
                  <c:v>1989</c:v>
                </c:pt>
                <c:pt idx="94">
                  <c:v>1990</c:v>
                </c:pt>
                <c:pt idx="95">
                  <c:v>1991</c:v>
                </c:pt>
                <c:pt idx="96">
                  <c:v>1992</c:v>
                </c:pt>
                <c:pt idx="97">
                  <c:v>1993</c:v>
                </c:pt>
                <c:pt idx="98">
                  <c:v>1994</c:v>
                </c:pt>
                <c:pt idx="99">
                  <c:v>1995</c:v>
                </c:pt>
                <c:pt idx="100">
                  <c:v>1996</c:v>
                </c:pt>
                <c:pt idx="101">
                  <c:v>1997</c:v>
                </c:pt>
                <c:pt idx="102">
                  <c:v>1998</c:v>
                </c:pt>
                <c:pt idx="103">
                  <c:v>1999</c:v>
                </c:pt>
                <c:pt idx="104">
                  <c:v>2000</c:v>
                </c:pt>
                <c:pt idx="105">
                  <c:v>2001</c:v>
                </c:pt>
                <c:pt idx="106">
                  <c:v>2002</c:v>
                </c:pt>
                <c:pt idx="107">
                  <c:v>2003</c:v>
                </c:pt>
                <c:pt idx="108">
                  <c:v>2004</c:v>
                </c:pt>
                <c:pt idx="109">
                  <c:v>2005</c:v>
                </c:pt>
                <c:pt idx="110">
                  <c:v>2006</c:v>
                </c:pt>
                <c:pt idx="111">
                  <c:v>2007</c:v>
                </c:pt>
                <c:pt idx="112">
                  <c:v>2008</c:v>
                </c:pt>
                <c:pt idx="113">
                  <c:v>2009</c:v>
                </c:pt>
                <c:pt idx="114">
                  <c:v>2010</c:v>
                </c:pt>
                <c:pt idx="115">
                  <c:v>2011</c:v>
                </c:pt>
                <c:pt idx="116">
                  <c:v>2012</c:v>
                </c:pt>
                <c:pt idx="117">
                  <c:v>2013</c:v>
                </c:pt>
                <c:pt idx="118">
                  <c:v>2014</c:v>
                </c:pt>
                <c:pt idx="119">
                  <c:v>2015</c:v>
                </c:pt>
                <c:pt idx="120">
                  <c:v>2016</c:v>
                </c:pt>
                <c:pt idx="121">
                  <c:v>2017</c:v>
                </c:pt>
                <c:pt idx="122">
                  <c:v>2018</c:v>
                </c:pt>
                <c:pt idx="123">
                  <c:v>2019</c:v>
                </c:pt>
                <c:pt idx="124">
                  <c:v>2020</c:v>
                </c:pt>
                <c:pt idx="125">
                  <c:v>2021</c:v>
                </c:pt>
                <c:pt idx="126">
                  <c:v>2022</c:v>
                </c:pt>
                <c:pt idx="127">
                  <c:v>2023</c:v>
                </c:pt>
                <c:pt idx="128">
                  <c:v>2024</c:v>
                </c:pt>
                <c:pt idx="129">
                  <c:v>2025</c:v>
                </c:pt>
                <c:pt idx="130">
                  <c:v>2026</c:v>
                </c:pt>
                <c:pt idx="131">
                  <c:v>2027</c:v>
                </c:pt>
                <c:pt idx="132">
                  <c:v>2028</c:v>
                </c:pt>
                <c:pt idx="133">
                  <c:v>2029</c:v>
                </c:pt>
                <c:pt idx="134">
                  <c:v>2030</c:v>
                </c:pt>
                <c:pt idx="135">
                  <c:v>2031</c:v>
                </c:pt>
                <c:pt idx="136">
                  <c:v>2032</c:v>
                </c:pt>
                <c:pt idx="137">
                  <c:v>2033</c:v>
                </c:pt>
                <c:pt idx="138">
                  <c:v>2034</c:v>
                </c:pt>
                <c:pt idx="139">
                  <c:v>2035</c:v>
                </c:pt>
                <c:pt idx="140">
                  <c:v>2036</c:v>
                </c:pt>
                <c:pt idx="141">
                  <c:v>2037</c:v>
                </c:pt>
                <c:pt idx="142">
                  <c:v>2038</c:v>
                </c:pt>
                <c:pt idx="143">
                  <c:v>2039</c:v>
                </c:pt>
                <c:pt idx="144">
                  <c:v>2040</c:v>
                </c:pt>
                <c:pt idx="145">
                  <c:v>2041</c:v>
                </c:pt>
                <c:pt idx="146">
                  <c:v>2042</c:v>
                </c:pt>
                <c:pt idx="147">
                  <c:v>2043</c:v>
                </c:pt>
                <c:pt idx="148">
                  <c:v>2044</c:v>
                </c:pt>
                <c:pt idx="149">
                  <c:v>2045</c:v>
                </c:pt>
                <c:pt idx="150">
                  <c:v>2046</c:v>
                </c:pt>
                <c:pt idx="151">
                  <c:v>2047</c:v>
                </c:pt>
                <c:pt idx="152">
                  <c:v>2048</c:v>
                </c:pt>
                <c:pt idx="153">
                  <c:v>2049</c:v>
                </c:pt>
                <c:pt idx="154">
                  <c:v>2050</c:v>
                </c:pt>
                <c:pt idx="155">
                  <c:v>2051</c:v>
                </c:pt>
                <c:pt idx="156">
                  <c:v>2052</c:v>
                </c:pt>
                <c:pt idx="157">
                  <c:v>2053</c:v>
                </c:pt>
                <c:pt idx="158">
                  <c:v>2054</c:v>
                </c:pt>
                <c:pt idx="159">
                  <c:v>2055</c:v>
                </c:pt>
                <c:pt idx="160">
                  <c:v>2056</c:v>
                </c:pt>
                <c:pt idx="161">
                  <c:v>2057</c:v>
                </c:pt>
                <c:pt idx="162">
                  <c:v>2058</c:v>
                </c:pt>
                <c:pt idx="163">
                  <c:v>2059</c:v>
                </c:pt>
                <c:pt idx="164">
                  <c:v>2060</c:v>
                </c:pt>
                <c:pt idx="165">
                  <c:v>2061</c:v>
                </c:pt>
                <c:pt idx="166">
                  <c:v>2062</c:v>
                </c:pt>
                <c:pt idx="167">
                  <c:v>2063</c:v>
                </c:pt>
                <c:pt idx="168">
                  <c:v>2064</c:v>
                </c:pt>
                <c:pt idx="169">
                  <c:v>2065</c:v>
                </c:pt>
                <c:pt idx="170">
                  <c:v>2066</c:v>
                </c:pt>
                <c:pt idx="171">
                  <c:v>2067</c:v>
                </c:pt>
                <c:pt idx="172">
                  <c:v>2068</c:v>
                </c:pt>
                <c:pt idx="173">
                  <c:v>2069</c:v>
                </c:pt>
                <c:pt idx="174">
                  <c:v>2070</c:v>
                </c:pt>
                <c:pt idx="175">
                  <c:v>2071</c:v>
                </c:pt>
                <c:pt idx="176">
                  <c:v>2072</c:v>
                </c:pt>
                <c:pt idx="177">
                  <c:v>2073</c:v>
                </c:pt>
                <c:pt idx="178">
                  <c:v>2074</c:v>
                </c:pt>
                <c:pt idx="179">
                  <c:v>2075</c:v>
                </c:pt>
                <c:pt idx="180">
                  <c:v>2076</c:v>
                </c:pt>
              </c:numCache>
            </c:numRef>
          </c:xVal>
          <c:yVal>
            <c:numRef>
              <c:f>China!$H$12:$H$192</c:f>
              <c:numCache>
                <c:formatCode>General</c:formatCode>
                <c:ptCount val="181"/>
                <c:pt idx="95" formatCode="#,##0.0">
                  <c:v>688.33468377592226</c:v>
                </c:pt>
                <c:pt idx="96" formatCode="#,##0.0">
                  <c:v>405.33139274348804</c:v>
                </c:pt>
                <c:pt idx="97" formatCode="#,##0.0">
                  <c:v>288.31088533229047</c:v>
                </c:pt>
                <c:pt idx="98" formatCode="#,##0.0">
                  <c:v>230.64316775404583</c:v>
                </c:pt>
                <c:pt idx="99" formatCode="#,##0.0">
                  <c:v>200.99029604727457</c:v>
                </c:pt>
                <c:pt idx="100" formatCode="#,##0.0">
                  <c:v>182.57344996182616</c:v>
                </c:pt>
                <c:pt idx="101" formatCode="#,##0.0">
                  <c:v>167.7198336870631</c:v>
                </c:pt>
                <c:pt idx="102" formatCode="#,##0.0">
                  <c:v>152.14071490742478</c:v>
                </c:pt>
                <c:pt idx="103" formatCode="#,##0.0">
                  <c:v>138.32461682256536</c:v>
                </c:pt>
                <c:pt idx="104" formatCode="#,##0.0">
                  <c:v>126.74218584388333</c:v>
                </c:pt>
                <c:pt idx="105" formatCode="#,##0.0">
                  <c:v>117.78801797713734</c:v>
                </c:pt>
                <c:pt idx="106" formatCode="#,##0.0">
                  <c:v>111.12288063237963</c:v>
                </c:pt>
                <c:pt idx="107" formatCode="#,##0.0">
                  <c:v>107.41975620721362</c:v>
                </c:pt>
                <c:pt idx="108" formatCode="#,##0.0">
                  <c:v>106.75477432600478</c:v>
                </c:pt>
                <c:pt idx="109" formatCode="#,##0.0">
                  <c:v>108.80347107825567</c:v>
                </c:pt>
                <c:pt idx="110" formatCode="#,##0.0">
                  <c:v>113.12463402573493</c:v>
                </c:pt>
                <c:pt idx="111" formatCode="#,##0.0">
                  <c:v>119.36082171300512</c:v>
                </c:pt>
                <c:pt idx="112" formatCode="#,##0.0">
                  <c:v>127.9057931544281</c:v>
                </c:pt>
                <c:pt idx="113" formatCode="#,##0.0">
                  <c:v>138.97314479598055</c:v>
                </c:pt>
              </c:numCache>
            </c:numRef>
          </c:yVal>
          <c:smooth val="1"/>
          <c:extLst>
            <c:ext xmlns:c16="http://schemas.microsoft.com/office/drawing/2014/chart" uri="{C3380CC4-5D6E-409C-BE32-E72D297353CC}">
              <c16:uniqueId val="{00000000-6CA9-A14D-9639-1AD9BBE44CE7}"/>
            </c:ext>
          </c:extLst>
        </c:ser>
        <c:ser>
          <c:idx val="4"/>
          <c:order val="1"/>
          <c:tx>
            <c:strRef>
              <c:f>China!$O$10</c:f>
              <c:strCache>
                <c:ptCount val="1"/>
                <c:pt idx="0">
                  <c:v>Q reserves</c:v>
                </c:pt>
              </c:strCache>
            </c:strRef>
          </c:tx>
          <c:spPr>
            <a:ln>
              <a:noFill/>
            </a:ln>
          </c:spPr>
          <c:marker>
            <c:symbol val="x"/>
            <c:size val="6"/>
            <c:spPr>
              <a:noFill/>
              <a:ln>
                <a:solidFill>
                  <a:srgbClr val="333399"/>
                </a:solidFill>
              </a:ln>
            </c:spPr>
          </c:marker>
          <c:xVal>
            <c:numRef>
              <c:f>China!$N$14:$N$15</c:f>
              <c:numCache>
                <c:formatCode>General</c:formatCode>
                <c:ptCount val="2"/>
                <c:pt idx="0">
                  <c:v>1989</c:v>
                </c:pt>
                <c:pt idx="1">
                  <c:v>1992</c:v>
                </c:pt>
              </c:numCache>
            </c:numRef>
          </c:xVal>
          <c:yVal>
            <c:numRef>
              <c:f>China!$O$14:$O$15</c:f>
              <c:numCache>
                <c:formatCode>0.0</c:formatCode>
                <c:ptCount val="2"/>
                <c:pt idx="0">
                  <c:v>746.46621450000009</c:v>
                </c:pt>
                <c:pt idx="1">
                  <c:v>133.3801445</c:v>
                </c:pt>
              </c:numCache>
            </c:numRef>
          </c:yVal>
          <c:smooth val="1"/>
          <c:extLst>
            <c:ext xmlns:c16="http://schemas.microsoft.com/office/drawing/2014/chart" uri="{C3380CC4-5D6E-409C-BE32-E72D297353CC}">
              <c16:uniqueId val="{00000001-6CA9-A14D-9639-1AD9BBE44CE7}"/>
            </c:ext>
          </c:extLst>
        </c:ser>
        <c:ser>
          <c:idx val="0"/>
          <c:order val="2"/>
          <c:tx>
            <c:v>early Q reserves</c:v>
          </c:tx>
          <c:spPr>
            <a:ln>
              <a:noFill/>
            </a:ln>
          </c:spPr>
          <c:marker>
            <c:symbol val="plus"/>
            <c:size val="6"/>
            <c:spPr>
              <a:ln>
                <a:solidFill>
                  <a:srgbClr val="333399"/>
                </a:solidFill>
              </a:ln>
            </c:spPr>
          </c:marker>
          <c:xVal>
            <c:numRef>
              <c:f>China!$N$11:$N$13</c:f>
              <c:numCache>
                <c:formatCode>0</c:formatCode>
                <c:ptCount val="3"/>
                <c:pt idx="0" formatCode="General">
                  <c:v>1913</c:v>
                </c:pt>
                <c:pt idx="1">
                  <c:v>1974</c:v>
                </c:pt>
                <c:pt idx="2" formatCode="General">
                  <c:v>1980</c:v>
                </c:pt>
              </c:numCache>
            </c:numRef>
          </c:xVal>
          <c:yVal>
            <c:numRef>
              <c:f>China!$O$11:$O$13</c:f>
              <c:numCache>
                <c:formatCode>0.0</c:formatCode>
                <c:ptCount val="3"/>
                <c:pt idx="0">
                  <c:v>995.63728649999996</c:v>
                </c:pt>
                <c:pt idx="1">
                  <c:v>86.8954545</c:v>
                </c:pt>
                <c:pt idx="2">
                  <c:v>109.2853545</c:v>
                </c:pt>
              </c:numCache>
            </c:numRef>
          </c:yVal>
          <c:smooth val="1"/>
          <c:extLst>
            <c:ext xmlns:c16="http://schemas.microsoft.com/office/drawing/2014/chart" uri="{C3380CC4-5D6E-409C-BE32-E72D297353CC}">
              <c16:uniqueId val="{00000002-6CA9-A14D-9639-1AD9BBE44CE7}"/>
            </c:ext>
          </c:extLst>
        </c:ser>
        <c:dLbls>
          <c:showLegendKey val="0"/>
          <c:showVal val="0"/>
          <c:showCatName val="0"/>
          <c:showSerName val="0"/>
          <c:showPercent val="0"/>
          <c:showBubbleSize val="0"/>
        </c:dLbls>
        <c:axId val="134228992"/>
        <c:axId val="134236416"/>
      </c:scatterChart>
      <c:valAx>
        <c:axId val="134228992"/>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4236416"/>
        <c:crossesAt val="-1000"/>
        <c:crossBetween val="midCat"/>
        <c:majorUnit val="60"/>
        <c:minorUnit val="10"/>
      </c:valAx>
      <c:valAx>
        <c:axId val="134236416"/>
        <c:scaling>
          <c:orientation val="minMax"/>
          <c:max val="1000"/>
          <c:min val="0"/>
        </c:scaling>
        <c:delete val="0"/>
        <c:axPos val="r"/>
        <c:title>
          <c:tx>
            <c:rich>
              <a:bodyPr rot="-5400000" vert="horz"/>
              <a:lstStyle/>
              <a:p>
                <a:pPr>
                  <a:defRPr sz="1200" b="0">
                    <a:solidFill>
                      <a:srgbClr val="333399"/>
                    </a:solidFill>
                  </a:defRPr>
                </a:pPr>
                <a:r>
                  <a:rPr lang="en-US" sz="1200" b="0">
                    <a:solidFill>
                      <a:srgbClr val="333399"/>
                    </a:solidFill>
                  </a:rPr>
                  <a:t>Long-term production, Gt</a:t>
                </a:r>
              </a:p>
            </c:rich>
          </c:tx>
          <c:layout>
            <c:manualLayout>
              <c:xMode val="edge"/>
              <c:yMode val="edge"/>
              <c:x val="0.96179660875723849"/>
              <c:y val="0.1406284631087780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4228992"/>
        <c:crosses val="max"/>
        <c:crossBetween val="midCat"/>
        <c:majorUnit val="500"/>
        <c:minorUnit val="10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778487916283264"/>
          <c:h val="0.77264654418197765"/>
        </c:manualLayout>
      </c:layout>
      <c:scatterChart>
        <c:scatterStyle val="smoothMarker"/>
        <c:varyColors val="0"/>
        <c:ser>
          <c:idx val="3"/>
          <c:order val="0"/>
          <c:tx>
            <c:v>early probit joint</c:v>
          </c:tx>
          <c:spPr>
            <a:ln w="15875">
              <a:solidFill>
                <a:srgbClr val="008000"/>
              </a:solidFill>
              <a:prstDash val="lgDash"/>
            </a:ln>
          </c:spPr>
          <c:marker>
            <c:symbol val="none"/>
          </c:marker>
          <c:xVal>
            <c:numRef>
              <c:f>Africa!$D$20:$D$64</c:f>
              <c:numCache>
                <c:formatCode>General</c:formatCode>
                <c:ptCount val="4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numCache>
            </c:numRef>
          </c:xVal>
          <c:yVal>
            <c:numRef>
              <c:f>Africa!$G$20:$G$64</c:f>
              <c:numCache>
                <c:formatCode>0.00</c:formatCode>
                <c:ptCount val="45"/>
                <c:pt idx="0">
                  <c:v>-4.526439242568431</c:v>
                </c:pt>
                <c:pt idx="1">
                  <c:v>-4.3965717266939217</c:v>
                </c:pt>
                <c:pt idx="2">
                  <c:v>-4.2763820280195306</c:v>
                </c:pt>
                <c:pt idx="3">
                  <c:v>-3.8999828413070561</c:v>
                </c:pt>
                <c:pt idx="4">
                  <c:v>-3.7183753279743663</c:v>
                </c:pt>
                <c:pt idx="5">
                  <c:v>-3.580006597795073</c:v>
                </c:pt>
                <c:pt idx="6">
                  <c:v>-3.4669339430715587</c:v>
                </c:pt>
                <c:pt idx="7">
                  <c:v>-3.3775363540496084</c:v>
                </c:pt>
                <c:pt idx="8">
                  <c:v>-3.2931358119941692</c:v>
                </c:pt>
                <c:pt idx="9">
                  <c:v>-3.2324146648331959</c:v>
                </c:pt>
                <c:pt idx="10">
                  <c:v>-3.2100232984905861</c:v>
                </c:pt>
                <c:pt idx="11">
                  <c:v>-3.1756130527597648</c:v>
                </c:pt>
                <c:pt idx="12">
                  <c:v>-3.13050969851481</c:v>
                </c:pt>
                <c:pt idx="13">
                  <c:v>-3.0780630901394068</c:v>
                </c:pt>
                <c:pt idx="14">
                  <c:v>-3.0277990619001773</c:v>
                </c:pt>
                <c:pt idx="15">
                  <c:v>-2.9782865114458321</c:v>
                </c:pt>
                <c:pt idx="16">
                  <c:v>-2.9300589091185798</c:v>
                </c:pt>
                <c:pt idx="17">
                  <c:v>-2.8833647743106705</c:v>
                </c:pt>
                <c:pt idx="18">
                  <c:v>-2.8407924103445961</c:v>
                </c:pt>
                <c:pt idx="19">
                  <c:v>-2.7975329991399831</c:v>
                </c:pt>
                <c:pt idx="20">
                  <c:v>-2.7541612357046321</c:v>
                </c:pt>
                <c:pt idx="21">
                  <c:v>-2.712837541007469</c:v>
                </c:pt>
                <c:pt idx="22">
                  <c:v>-2.6733054859920284</c:v>
                </c:pt>
                <c:pt idx="23">
                  <c:v>-2.6346615170221632</c:v>
                </c:pt>
                <c:pt idx="24">
                  <c:v>-2.6003894692769229</c:v>
                </c:pt>
                <c:pt idx="25">
                  <c:v>-2.5693658542697069</c:v>
                </c:pt>
                <c:pt idx="26">
                  <c:v>-2.5348563816539902</c:v>
                </c:pt>
                <c:pt idx="27">
                  <c:v>-2.501696869625869</c:v>
                </c:pt>
                <c:pt idx="28">
                  <c:v>-2.4723877312049956</c:v>
                </c:pt>
                <c:pt idx="29">
                  <c:v>-2.4440212710276454</c:v>
                </c:pt>
                <c:pt idx="30">
                  <c:v>-2.4130921385177055</c:v>
                </c:pt>
                <c:pt idx="31">
                  <c:v>-2.3844939753951637</c:v>
                </c:pt>
                <c:pt idx="32">
                  <c:v>-2.3614914678653975</c:v>
                </c:pt>
                <c:pt idx="33">
                  <c:v>-2.3350517212663604</c:v>
                </c:pt>
                <c:pt idx="34">
                  <c:v>-2.3088053476936792</c:v>
                </c:pt>
                <c:pt idx="35">
                  <c:v>-2.2829207748855205</c:v>
                </c:pt>
                <c:pt idx="36">
                  <c:v>-2.2568270512653159</c:v>
                </c:pt>
                <c:pt idx="37">
                  <c:v>-2.2326578341931409</c:v>
                </c:pt>
                <c:pt idx="38">
                  <c:v>-2.2093890882353318</c:v>
                </c:pt>
                <c:pt idx="39">
                  <c:v>-2.1867304399967322</c:v>
                </c:pt>
                <c:pt idx="40">
                  <c:v>-2.1664029973803052</c:v>
                </c:pt>
                <c:pt idx="41">
                  <c:v>-2.1493782796100644</c:v>
                </c:pt>
                <c:pt idx="42">
                  <c:v>-2.1344804049692976</c:v>
                </c:pt>
                <c:pt idx="43">
                  <c:v>-2.119099453018102</c:v>
                </c:pt>
                <c:pt idx="44">
                  <c:v>-2.1020571224728015</c:v>
                </c:pt>
              </c:numCache>
            </c:numRef>
          </c:yVal>
          <c:smooth val="1"/>
          <c:extLst>
            <c:ext xmlns:c16="http://schemas.microsoft.com/office/drawing/2014/chart" uri="{C3380CC4-5D6E-409C-BE32-E72D297353CC}">
              <c16:uniqueId val="{00000000-CCA3-E145-9A23-69BDBE127D84}"/>
            </c:ext>
          </c:extLst>
        </c:ser>
        <c:ser>
          <c:idx val="0"/>
          <c:order val="1"/>
          <c:tx>
            <c:strRef>
              <c:f>Africa!$G$17</c:f>
              <c:strCache>
                <c:ptCount val="1"/>
                <c:pt idx="0">
                  <c:v>probit</c:v>
                </c:pt>
              </c:strCache>
            </c:strRef>
          </c:tx>
          <c:spPr>
            <a:ln w="15875">
              <a:solidFill>
                <a:srgbClr val="008000"/>
              </a:solidFill>
            </a:ln>
          </c:spPr>
          <c:marker>
            <c:symbol val="none"/>
          </c:marker>
          <c:xVal>
            <c:numRef>
              <c:f>Africa!$D$65:$D$207</c:f>
              <c:numCache>
                <c:formatCode>General</c:formatCode>
                <c:ptCount val="143"/>
                <c:pt idx="0">
                  <c:v>1935</c:v>
                </c:pt>
                <c:pt idx="1">
                  <c:v>1936</c:v>
                </c:pt>
                <c:pt idx="2">
                  <c:v>1937</c:v>
                </c:pt>
                <c:pt idx="3">
                  <c:v>1938</c:v>
                </c:pt>
                <c:pt idx="4">
                  <c:v>1939</c:v>
                </c:pt>
                <c:pt idx="5">
                  <c:v>1940</c:v>
                </c:pt>
                <c:pt idx="6">
                  <c:v>1941</c:v>
                </c:pt>
                <c:pt idx="7">
                  <c:v>1942</c:v>
                </c:pt>
                <c:pt idx="8">
                  <c:v>1943</c:v>
                </c:pt>
                <c:pt idx="9">
                  <c:v>1944</c:v>
                </c:pt>
                <c:pt idx="10">
                  <c:v>1945</c:v>
                </c:pt>
                <c:pt idx="11">
                  <c:v>1946</c:v>
                </c:pt>
                <c:pt idx="12">
                  <c:v>1947</c:v>
                </c:pt>
                <c:pt idx="13">
                  <c:v>1948</c:v>
                </c:pt>
                <c:pt idx="14">
                  <c:v>1949</c:v>
                </c:pt>
                <c:pt idx="15">
                  <c:v>1950</c:v>
                </c:pt>
                <c:pt idx="16">
                  <c:v>1951</c:v>
                </c:pt>
                <c:pt idx="17">
                  <c:v>1952</c:v>
                </c:pt>
                <c:pt idx="18">
                  <c:v>1953</c:v>
                </c:pt>
                <c:pt idx="19">
                  <c:v>1954</c:v>
                </c:pt>
                <c:pt idx="20">
                  <c:v>1955</c:v>
                </c:pt>
                <c:pt idx="21">
                  <c:v>1956</c:v>
                </c:pt>
                <c:pt idx="22">
                  <c:v>1957</c:v>
                </c:pt>
                <c:pt idx="23">
                  <c:v>1958</c:v>
                </c:pt>
                <c:pt idx="24">
                  <c:v>1959</c:v>
                </c:pt>
                <c:pt idx="25">
                  <c:v>1960</c:v>
                </c:pt>
                <c:pt idx="26">
                  <c:v>1961</c:v>
                </c:pt>
                <c:pt idx="27">
                  <c:v>1962</c:v>
                </c:pt>
                <c:pt idx="28">
                  <c:v>1963</c:v>
                </c:pt>
                <c:pt idx="29">
                  <c:v>1964</c:v>
                </c:pt>
                <c:pt idx="30">
                  <c:v>1965</c:v>
                </c:pt>
                <c:pt idx="31">
                  <c:v>1966</c:v>
                </c:pt>
                <c:pt idx="32">
                  <c:v>1967</c:v>
                </c:pt>
                <c:pt idx="33">
                  <c:v>1968</c:v>
                </c:pt>
                <c:pt idx="34">
                  <c:v>1969</c:v>
                </c:pt>
                <c:pt idx="35">
                  <c:v>1970</c:v>
                </c:pt>
                <c:pt idx="36">
                  <c:v>1971</c:v>
                </c:pt>
                <c:pt idx="37">
                  <c:v>1972</c:v>
                </c:pt>
                <c:pt idx="38">
                  <c:v>1973</c:v>
                </c:pt>
                <c:pt idx="39">
                  <c:v>1974</c:v>
                </c:pt>
                <c:pt idx="40">
                  <c:v>1975</c:v>
                </c:pt>
                <c:pt idx="41">
                  <c:v>1976</c:v>
                </c:pt>
                <c:pt idx="42">
                  <c:v>1977</c:v>
                </c:pt>
                <c:pt idx="43">
                  <c:v>1978</c:v>
                </c:pt>
                <c:pt idx="44">
                  <c:v>1979</c:v>
                </c:pt>
                <c:pt idx="45">
                  <c:v>1980</c:v>
                </c:pt>
                <c:pt idx="46">
                  <c:v>1981</c:v>
                </c:pt>
                <c:pt idx="47">
                  <c:v>1982</c:v>
                </c:pt>
                <c:pt idx="48">
                  <c:v>1983</c:v>
                </c:pt>
                <c:pt idx="49">
                  <c:v>1984</c:v>
                </c:pt>
                <c:pt idx="50">
                  <c:v>1985</c:v>
                </c:pt>
                <c:pt idx="51">
                  <c:v>1986</c:v>
                </c:pt>
                <c:pt idx="52">
                  <c:v>1987</c:v>
                </c:pt>
                <c:pt idx="53">
                  <c:v>1988</c:v>
                </c:pt>
                <c:pt idx="54">
                  <c:v>1989</c:v>
                </c:pt>
                <c:pt idx="55">
                  <c:v>1990</c:v>
                </c:pt>
                <c:pt idx="56">
                  <c:v>1991</c:v>
                </c:pt>
                <c:pt idx="57">
                  <c:v>1992</c:v>
                </c:pt>
                <c:pt idx="58">
                  <c:v>1993</c:v>
                </c:pt>
                <c:pt idx="59">
                  <c:v>1994</c:v>
                </c:pt>
                <c:pt idx="60">
                  <c:v>1995</c:v>
                </c:pt>
                <c:pt idx="61">
                  <c:v>1996</c:v>
                </c:pt>
                <c:pt idx="62">
                  <c:v>1997</c:v>
                </c:pt>
                <c:pt idx="63">
                  <c:v>1998</c:v>
                </c:pt>
                <c:pt idx="64">
                  <c:v>1999</c:v>
                </c:pt>
                <c:pt idx="65">
                  <c:v>2000</c:v>
                </c:pt>
                <c:pt idx="66">
                  <c:v>2001</c:v>
                </c:pt>
                <c:pt idx="67">
                  <c:v>2002</c:v>
                </c:pt>
                <c:pt idx="68">
                  <c:v>2003</c:v>
                </c:pt>
                <c:pt idx="69">
                  <c:v>2004</c:v>
                </c:pt>
                <c:pt idx="70">
                  <c:v>2005</c:v>
                </c:pt>
                <c:pt idx="71">
                  <c:v>2006</c:v>
                </c:pt>
                <c:pt idx="72">
                  <c:v>2007</c:v>
                </c:pt>
                <c:pt idx="73">
                  <c:v>2008</c:v>
                </c:pt>
                <c:pt idx="74">
                  <c:v>2009</c:v>
                </c:pt>
                <c:pt idx="75">
                  <c:v>2010</c:v>
                </c:pt>
                <c:pt idx="76">
                  <c:v>2011</c:v>
                </c:pt>
                <c:pt idx="77">
                  <c:v>2012</c:v>
                </c:pt>
                <c:pt idx="78">
                  <c:v>2013</c:v>
                </c:pt>
                <c:pt idx="79">
                  <c:v>2014</c:v>
                </c:pt>
                <c:pt idx="80">
                  <c:v>2015</c:v>
                </c:pt>
                <c:pt idx="81">
                  <c:v>2016</c:v>
                </c:pt>
                <c:pt idx="82">
                  <c:v>2017</c:v>
                </c:pt>
                <c:pt idx="83">
                  <c:v>2018</c:v>
                </c:pt>
                <c:pt idx="84">
                  <c:v>2019</c:v>
                </c:pt>
                <c:pt idx="85">
                  <c:v>2020</c:v>
                </c:pt>
                <c:pt idx="86">
                  <c:v>2021</c:v>
                </c:pt>
                <c:pt idx="87">
                  <c:v>2022</c:v>
                </c:pt>
                <c:pt idx="88">
                  <c:v>2023</c:v>
                </c:pt>
                <c:pt idx="89">
                  <c:v>2024</c:v>
                </c:pt>
                <c:pt idx="90">
                  <c:v>2025</c:v>
                </c:pt>
                <c:pt idx="91">
                  <c:v>2026</c:v>
                </c:pt>
                <c:pt idx="92">
                  <c:v>2027</c:v>
                </c:pt>
                <c:pt idx="93">
                  <c:v>2028</c:v>
                </c:pt>
                <c:pt idx="94">
                  <c:v>2029</c:v>
                </c:pt>
                <c:pt idx="95">
                  <c:v>2030</c:v>
                </c:pt>
                <c:pt idx="96">
                  <c:v>2031</c:v>
                </c:pt>
                <c:pt idx="97">
                  <c:v>2032</c:v>
                </c:pt>
                <c:pt idx="98">
                  <c:v>2033</c:v>
                </c:pt>
                <c:pt idx="99">
                  <c:v>2034</c:v>
                </c:pt>
                <c:pt idx="100">
                  <c:v>2035</c:v>
                </c:pt>
                <c:pt idx="101">
                  <c:v>2036</c:v>
                </c:pt>
                <c:pt idx="102">
                  <c:v>2037</c:v>
                </c:pt>
                <c:pt idx="103">
                  <c:v>2038</c:v>
                </c:pt>
                <c:pt idx="104">
                  <c:v>2039</c:v>
                </c:pt>
                <c:pt idx="105">
                  <c:v>2040</c:v>
                </c:pt>
                <c:pt idx="106">
                  <c:v>2041</c:v>
                </c:pt>
                <c:pt idx="107">
                  <c:v>2042</c:v>
                </c:pt>
                <c:pt idx="108">
                  <c:v>2043</c:v>
                </c:pt>
                <c:pt idx="109">
                  <c:v>2044</c:v>
                </c:pt>
                <c:pt idx="110">
                  <c:v>2045</c:v>
                </c:pt>
                <c:pt idx="111">
                  <c:v>2046</c:v>
                </c:pt>
                <c:pt idx="112">
                  <c:v>2047</c:v>
                </c:pt>
                <c:pt idx="113">
                  <c:v>2048</c:v>
                </c:pt>
                <c:pt idx="114">
                  <c:v>2049</c:v>
                </c:pt>
                <c:pt idx="115">
                  <c:v>2050</c:v>
                </c:pt>
                <c:pt idx="116">
                  <c:v>2051</c:v>
                </c:pt>
                <c:pt idx="117">
                  <c:v>2052</c:v>
                </c:pt>
                <c:pt idx="118">
                  <c:v>2053</c:v>
                </c:pt>
                <c:pt idx="119">
                  <c:v>2054</c:v>
                </c:pt>
                <c:pt idx="120">
                  <c:v>2055</c:v>
                </c:pt>
                <c:pt idx="121">
                  <c:v>2056</c:v>
                </c:pt>
                <c:pt idx="122">
                  <c:v>2057</c:v>
                </c:pt>
                <c:pt idx="123">
                  <c:v>2058</c:v>
                </c:pt>
                <c:pt idx="124">
                  <c:v>2059</c:v>
                </c:pt>
                <c:pt idx="125">
                  <c:v>2060</c:v>
                </c:pt>
                <c:pt idx="126">
                  <c:v>2061</c:v>
                </c:pt>
                <c:pt idx="127">
                  <c:v>2062</c:v>
                </c:pt>
                <c:pt idx="128">
                  <c:v>2063</c:v>
                </c:pt>
                <c:pt idx="129">
                  <c:v>2064</c:v>
                </c:pt>
                <c:pt idx="130">
                  <c:v>2065</c:v>
                </c:pt>
                <c:pt idx="131">
                  <c:v>2066</c:v>
                </c:pt>
                <c:pt idx="132">
                  <c:v>2067</c:v>
                </c:pt>
                <c:pt idx="133">
                  <c:v>2068</c:v>
                </c:pt>
                <c:pt idx="134">
                  <c:v>2069</c:v>
                </c:pt>
                <c:pt idx="135">
                  <c:v>2070</c:v>
                </c:pt>
                <c:pt idx="136">
                  <c:v>2071</c:v>
                </c:pt>
                <c:pt idx="137">
                  <c:v>2072</c:v>
                </c:pt>
                <c:pt idx="138">
                  <c:v>2073</c:v>
                </c:pt>
                <c:pt idx="139">
                  <c:v>2074</c:v>
                </c:pt>
                <c:pt idx="140">
                  <c:v>2075</c:v>
                </c:pt>
                <c:pt idx="141">
                  <c:v>2076</c:v>
                </c:pt>
                <c:pt idx="142">
                  <c:v>2077</c:v>
                </c:pt>
              </c:numCache>
            </c:numRef>
          </c:xVal>
          <c:yVal>
            <c:numRef>
              <c:f>Africa!$G$65:$G$307</c:f>
              <c:numCache>
                <c:formatCode>0.00</c:formatCode>
                <c:ptCount val="243"/>
                <c:pt idx="0">
                  <c:v>-2.0838320866014755</c:v>
                </c:pt>
                <c:pt idx="1">
                  <c:v>-2.0647672742233794</c:v>
                </c:pt>
                <c:pt idx="2">
                  <c:v>-2.0452046059118723</c:v>
                </c:pt>
                <c:pt idx="3">
                  <c:v>-2.0254723124982137</c:v>
                </c:pt>
                <c:pt idx="4">
                  <c:v>-2.0058381898267288</c:v>
                </c:pt>
                <c:pt idx="5">
                  <c:v>-1.9861009269281513</c:v>
                </c:pt>
                <c:pt idx="6">
                  <c:v>-1.965772394741496</c:v>
                </c:pt>
                <c:pt idx="7">
                  <c:v>-1.9443541783498997</c:v>
                </c:pt>
                <c:pt idx="8">
                  <c:v>-1.9234187551649986</c:v>
                </c:pt>
                <c:pt idx="9">
                  <c:v>-1.9010711558053424</c:v>
                </c:pt>
                <c:pt idx="10">
                  <c:v>-1.8793462571656803</c:v>
                </c:pt>
                <c:pt idx="11">
                  <c:v>-1.858285892406917</c:v>
                </c:pt>
                <c:pt idx="12">
                  <c:v>-1.8379261628343413</c:v>
                </c:pt>
                <c:pt idx="13">
                  <c:v>-1.8179665499509445</c:v>
                </c:pt>
                <c:pt idx="14">
                  <c:v>-1.7974608283621518</c:v>
                </c:pt>
                <c:pt idx="15">
                  <c:v>-1.7768135253309374</c:v>
                </c:pt>
                <c:pt idx="16">
                  <c:v>-1.7566403685798078</c:v>
                </c:pt>
                <c:pt idx="17">
                  <c:v>-1.7359742306436288</c:v>
                </c:pt>
                <c:pt idx="18">
                  <c:v>-1.71553012141761</c:v>
                </c:pt>
                <c:pt idx="19">
                  <c:v>-1.6952549108566657</c:v>
                </c:pt>
                <c:pt idx="20">
                  <c:v>-1.6736024664098021</c:v>
                </c:pt>
                <c:pt idx="21">
                  <c:v>-1.6517599396637366</c:v>
                </c:pt>
                <c:pt idx="22">
                  <c:v>-1.6298747055894289</c:v>
                </c:pt>
                <c:pt idx="23">
                  <c:v>-1.6078021132391132</c:v>
                </c:pt>
                <c:pt idx="24">
                  <c:v>-1.5868234156787555</c:v>
                </c:pt>
                <c:pt idx="25">
                  <c:v>-1.5659501563167477</c:v>
                </c:pt>
                <c:pt idx="26">
                  <c:v>-1.5453474660755524</c:v>
                </c:pt>
                <c:pt idx="27">
                  <c:v>-1.5247525734159642</c:v>
                </c:pt>
                <c:pt idx="28">
                  <c:v>-1.5043310162539119</c:v>
                </c:pt>
                <c:pt idx="29">
                  <c:v>-1.4833183116624122</c:v>
                </c:pt>
                <c:pt idx="30">
                  <c:v>-1.4612789688714389</c:v>
                </c:pt>
                <c:pt idx="31">
                  <c:v>-1.4401229455025362</c:v>
                </c:pt>
                <c:pt idx="32">
                  <c:v>-1.419250176840416</c:v>
                </c:pt>
                <c:pt idx="33">
                  <c:v>-1.3980129984485321</c:v>
                </c:pt>
                <c:pt idx="34">
                  <c:v>-1.3771995682654135</c:v>
                </c:pt>
                <c:pt idx="35">
                  <c:v>-1.3561220827943974</c:v>
                </c:pt>
                <c:pt idx="36">
                  <c:v>-1.3341569319072963</c:v>
                </c:pt>
                <c:pt idx="37">
                  <c:v>-1.3128792203773287</c:v>
                </c:pt>
                <c:pt idx="38">
                  <c:v>-1.2908056161277786</c:v>
                </c:pt>
                <c:pt idx="39">
                  <c:v>-1.2686375668015581</c:v>
                </c:pt>
                <c:pt idx="40">
                  <c:v>-1.2457699932064272</c:v>
                </c:pt>
                <c:pt idx="41">
                  <c:v>-1.221401507317029</c:v>
                </c:pt>
                <c:pt idx="42">
                  <c:v>-1.1946368657732549</c:v>
                </c:pt>
                <c:pt idx="43">
                  <c:v>-1.1677973110702624</c:v>
                </c:pt>
                <c:pt idx="44">
                  <c:v>-1.1377697921136571</c:v>
                </c:pt>
                <c:pt idx="45">
                  <c:v>-1.1060230446514598</c:v>
                </c:pt>
                <c:pt idx="46">
                  <c:v>-1.07178319343356</c:v>
                </c:pt>
                <c:pt idx="47">
                  <c:v>-1.0355963189614172</c:v>
                </c:pt>
                <c:pt idx="48">
                  <c:v>-1.0003014203251777</c:v>
                </c:pt>
                <c:pt idx="49">
                  <c:v>-0.96237017697288962</c:v>
                </c:pt>
                <c:pt idx="50">
                  <c:v>-0.92349965026540903</c:v>
                </c:pt>
                <c:pt idx="51">
                  <c:v>-0.88510671784435013</c:v>
                </c:pt>
                <c:pt idx="52">
                  <c:v>-0.84788257551209278</c:v>
                </c:pt>
                <c:pt idx="53">
                  <c:v>-0.81081084384269775</c:v>
                </c:pt>
                <c:pt idx="54">
                  <c:v>-0.77579122288531321</c:v>
                </c:pt>
                <c:pt idx="55">
                  <c:v>-0.74189230361050784</c:v>
                </c:pt>
                <c:pt idx="56">
                  <c:v>-0.70813241421019668</c:v>
                </c:pt>
                <c:pt idx="57">
                  <c:v>-0.67587287741280733</c:v>
                </c:pt>
                <c:pt idx="58">
                  <c:v>-0.64302696601727005</c:v>
                </c:pt>
                <c:pt idx="59">
                  <c:v>-0.60854672207846527</c:v>
                </c:pt>
                <c:pt idx="60">
                  <c:v>-0.5730501247326576</c:v>
                </c:pt>
                <c:pt idx="61">
                  <c:v>-0.53835282695238562</c:v>
                </c:pt>
                <c:pt idx="62">
                  <c:v>-0.5021397871464528</c:v>
                </c:pt>
                <c:pt idx="63">
                  <c:v>-0.46572614353130432</c:v>
                </c:pt>
                <c:pt idx="64">
                  <c:v>-0.43040711876736826</c:v>
                </c:pt>
                <c:pt idx="65">
                  <c:v>-0.39545152126498789</c:v>
                </c:pt>
                <c:pt idx="66">
                  <c:v>-0.3610231284412142</c:v>
                </c:pt>
                <c:pt idx="67">
                  <c:v>-0.32759279498771049</c:v>
                </c:pt>
                <c:pt idx="68">
                  <c:v>-0.2920559415961495</c:v>
                </c:pt>
                <c:pt idx="69">
                  <c:v>-0.25601950069639789</c:v>
                </c:pt>
                <c:pt idx="70">
                  <c:v>-0.22033024096318135</c:v>
                </c:pt>
                <c:pt idx="71">
                  <c:v>-0.18496625959701116</c:v>
                </c:pt>
                <c:pt idx="72">
                  <c:v>-0.14945546672604437</c:v>
                </c:pt>
                <c:pt idx="73">
                  <c:v>-0.11349691543889999</c:v>
                </c:pt>
                <c:pt idx="74">
                  <c:v>-7.8045834875683381E-2</c:v>
                </c:pt>
              </c:numCache>
            </c:numRef>
          </c:yVal>
          <c:smooth val="1"/>
          <c:extLst>
            <c:ext xmlns:c16="http://schemas.microsoft.com/office/drawing/2014/chart" uri="{C3380CC4-5D6E-409C-BE32-E72D297353CC}">
              <c16:uniqueId val="{00000001-CCA3-E145-9A23-69BDBE127D84}"/>
            </c:ext>
          </c:extLst>
        </c:ser>
        <c:ser>
          <c:idx val="1"/>
          <c:order val="2"/>
          <c:tx>
            <c:strRef>
              <c:f>Africa!$G$6</c:f>
              <c:strCache>
                <c:ptCount val="1"/>
                <c:pt idx="0">
                  <c:v>trend current</c:v>
                </c:pt>
              </c:strCache>
            </c:strRef>
          </c:tx>
          <c:spPr>
            <a:ln w="15875">
              <a:solidFill>
                <a:srgbClr val="808080"/>
              </a:solidFill>
              <a:prstDash val="dash"/>
            </a:ln>
          </c:spPr>
          <c:marker>
            <c:symbol val="none"/>
          </c:marker>
          <c:xVal>
            <c:numRef>
              <c:f>Africa!$E$6:$E$7</c:f>
              <c:numCache>
                <c:formatCode>0</c:formatCode>
                <c:ptCount val="2"/>
                <c:pt idx="0">
                  <c:v>1977</c:v>
                </c:pt>
                <c:pt idx="1">
                  <c:v>2009</c:v>
                </c:pt>
              </c:numCache>
            </c:numRef>
          </c:xVal>
          <c:yVal>
            <c:numRef>
              <c:f>Africa!$F$6:$F$7</c:f>
              <c:numCache>
                <c:formatCode>0.00</c:formatCode>
                <c:ptCount val="2"/>
                <c:pt idx="0">
                  <c:v>-1.2049561248174714</c:v>
                </c:pt>
                <c:pt idx="1">
                  <c:v>-7.8980482618795783E-2</c:v>
                </c:pt>
              </c:numCache>
            </c:numRef>
          </c:yVal>
          <c:smooth val="1"/>
          <c:extLst>
            <c:ext xmlns:c16="http://schemas.microsoft.com/office/drawing/2014/chart" uri="{C3380CC4-5D6E-409C-BE32-E72D297353CC}">
              <c16:uniqueId val="{00000002-CCA3-E145-9A23-69BDBE127D84}"/>
            </c:ext>
          </c:extLst>
        </c:ser>
        <c:ser>
          <c:idx val="2"/>
          <c:order val="3"/>
          <c:tx>
            <c:strRef>
              <c:f>Africa!$G$3</c:f>
              <c:strCache>
                <c:ptCount val="1"/>
                <c:pt idx="0">
                  <c:v>trend early</c:v>
                </c:pt>
              </c:strCache>
            </c:strRef>
          </c:tx>
          <c:spPr>
            <a:ln w="15875">
              <a:solidFill>
                <a:srgbClr val="808080"/>
              </a:solidFill>
              <a:prstDash val="dash"/>
            </a:ln>
          </c:spPr>
          <c:marker>
            <c:symbol val="none"/>
          </c:marker>
          <c:xVal>
            <c:numRef>
              <c:f>Africa!$E$3:$E$4</c:f>
              <c:numCache>
                <c:formatCode>0</c:formatCode>
                <c:ptCount val="2"/>
                <c:pt idx="0" formatCode="General">
                  <c:v>1935</c:v>
                </c:pt>
                <c:pt idx="1">
                  <c:v>1976</c:v>
                </c:pt>
              </c:numCache>
            </c:numRef>
          </c:xVal>
          <c:yVal>
            <c:numRef>
              <c:f>Africa!$F$3:$F$4</c:f>
              <c:numCache>
                <c:formatCode>0.00</c:formatCode>
                <c:ptCount val="2"/>
                <c:pt idx="0">
                  <c:v>-2.0903799247498709</c:v>
                </c:pt>
                <c:pt idx="1">
                  <c:v>-1.2294405737437304</c:v>
                </c:pt>
              </c:numCache>
            </c:numRef>
          </c:yVal>
          <c:smooth val="1"/>
          <c:extLst>
            <c:ext xmlns:c16="http://schemas.microsoft.com/office/drawing/2014/chart" uri="{C3380CC4-5D6E-409C-BE32-E72D297353CC}">
              <c16:uniqueId val="{00000003-CCA3-E145-9A23-69BDBE127D84}"/>
            </c:ext>
          </c:extLst>
        </c:ser>
        <c:dLbls>
          <c:showLegendKey val="0"/>
          <c:showVal val="0"/>
          <c:showCatName val="0"/>
          <c:showSerName val="0"/>
          <c:showPercent val="0"/>
          <c:showBubbleSize val="0"/>
        </c:dLbls>
        <c:axId val="134497792"/>
        <c:axId val="134499328"/>
      </c:scatterChart>
      <c:valAx>
        <c:axId val="134497792"/>
        <c:scaling>
          <c:orientation val="minMax"/>
          <c:max val="2020"/>
          <c:min val="1900"/>
        </c:scaling>
        <c:delete val="0"/>
        <c:axPos val="b"/>
        <c:numFmt formatCode="General" sourceLinked="1"/>
        <c:majorTickMark val="in"/>
        <c:minorTickMark val="in"/>
        <c:tickLblPos val="nextTo"/>
        <c:spPr>
          <a:ln>
            <a:solidFill>
              <a:srgbClr val="333399"/>
            </a:solidFill>
          </a:ln>
        </c:spPr>
        <c:crossAx val="134499328"/>
        <c:crossesAt val="-100"/>
        <c:crossBetween val="midCat"/>
        <c:majorUnit val="50"/>
        <c:minorUnit val="10"/>
      </c:valAx>
      <c:valAx>
        <c:axId val="134499328"/>
        <c:scaling>
          <c:orientation val="minMax"/>
          <c:max val="0"/>
          <c:min val="-3"/>
        </c:scaling>
        <c:delete val="0"/>
        <c:axPos val="r"/>
        <c:title>
          <c:tx>
            <c:rich>
              <a:bodyPr rot="-5400000" vert="horz"/>
              <a:lstStyle/>
              <a:p>
                <a:pPr>
                  <a:defRPr b="0"/>
                </a:pPr>
                <a:r>
                  <a:rPr lang="en-US" b="0"/>
                  <a:t>probit (</a:t>
                </a:r>
                <a:r>
                  <a:rPr lang="en-US" b="0" i="1"/>
                  <a:t>q</a:t>
                </a:r>
                <a:r>
                  <a:rPr lang="en-US" b="0"/>
                  <a:t>/</a:t>
                </a:r>
                <a:r>
                  <a:rPr lang="en-US" b="0" i="1"/>
                  <a:t>Q</a:t>
                </a:r>
                <a:r>
                  <a:rPr lang="en-US" b="0"/>
                  <a:t>)</a:t>
                </a:r>
              </a:p>
            </c:rich>
          </c:tx>
          <c:layout>
            <c:manualLayout>
              <c:xMode val="edge"/>
              <c:yMode val="edge"/>
              <c:x val="0.96179653679653765"/>
              <c:y val="0.28854512977544688"/>
            </c:manualLayout>
          </c:layout>
          <c:overlay val="0"/>
        </c:title>
        <c:numFmt formatCode="0" sourceLinked="0"/>
        <c:majorTickMark val="in"/>
        <c:minorTickMark val="in"/>
        <c:tickLblPos val="nextTo"/>
        <c:spPr>
          <a:ln>
            <a:solidFill>
              <a:srgbClr val="333399"/>
            </a:solidFill>
          </a:ln>
        </c:spPr>
        <c:crossAx val="134497792"/>
        <c:crosses val="max"/>
        <c:crossBetween val="midCat"/>
        <c:majorUnit val="1"/>
        <c:minorUnit val="0.5"/>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4374816784265549"/>
          <c:h val="0.77264654418197765"/>
        </c:manualLayout>
      </c:layout>
      <c:scatterChart>
        <c:scatterStyle val="smoothMarker"/>
        <c:varyColors val="0"/>
        <c:ser>
          <c:idx val="0"/>
          <c:order val="0"/>
          <c:tx>
            <c:strRef>
              <c:f>Africa!$E$17</c:f>
              <c:strCache>
                <c:ptCount val="1"/>
                <c:pt idx="0">
                  <c:v>p Mt</c:v>
                </c:pt>
              </c:strCache>
            </c:strRef>
          </c:tx>
          <c:spPr>
            <a:ln w="15875">
              <a:solidFill>
                <a:srgbClr val="008000"/>
              </a:solidFill>
            </a:ln>
          </c:spPr>
          <c:marker>
            <c:symbol val="none"/>
          </c:marker>
          <c:xVal>
            <c:numRef>
              <c:f>Africa!$D$19:$D$188</c:f>
              <c:numCache>
                <c:formatCode>General</c:formatCode>
                <c:ptCount val="170"/>
                <c:pt idx="0">
                  <c:v>1889</c:v>
                </c:pt>
                <c:pt idx="1">
                  <c:v>1890</c:v>
                </c:pt>
                <c:pt idx="2">
                  <c:v>1891</c:v>
                </c:pt>
                <c:pt idx="3">
                  <c:v>1892</c:v>
                </c:pt>
                <c:pt idx="4">
                  <c:v>1893</c:v>
                </c:pt>
                <c:pt idx="5">
                  <c:v>1894</c:v>
                </c:pt>
                <c:pt idx="6">
                  <c:v>1895</c:v>
                </c:pt>
                <c:pt idx="7">
                  <c:v>1896</c:v>
                </c:pt>
                <c:pt idx="8">
                  <c:v>1897</c:v>
                </c:pt>
                <c:pt idx="9">
                  <c:v>1898</c:v>
                </c:pt>
                <c:pt idx="10">
                  <c:v>1899</c:v>
                </c:pt>
                <c:pt idx="11">
                  <c:v>1900</c:v>
                </c:pt>
                <c:pt idx="12">
                  <c:v>1901</c:v>
                </c:pt>
                <c:pt idx="13">
                  <c:v>1902</c:v>
                </c:pt>
                <c:pt idx="14">
                  <c:v>1903</c:v>
                </c:pt>
                <c:pt idx="15">
                  <c:v>1904</c:v>
                </c:pt>
                <c:pt idx="16">
                  <c:v>1905</c:v>
                </c:pt>
                <c:pt idx="17">
                  <c:v>1906</c:v>
                </c:pt>
                <c:pt idx="18">
                  <c:v>1907</c:v>
                </c:pt>
                <c:pt idx="19">
                  <c:v>1908</c:v>
                </c:pt>
                <c:pt idx="20">
                  <c:v>1909</c:v>
                </c:pt>
                <c:pt idx="21">
                  <c:v>1910</c:v>
                </c:pt>
                <c:pt idx="22">
                  <c:v>1911</c:v>
                </c:pt>
                <c:pt idx="23">
                  <c:v>1912</c:v>
                </c:pt>
                <c:pt idx="24">
                  <c:v>1913</c:v>
                </c:pt>
                <c:pt idx="25">
                  <c:v>1914</c:v>
                </c:pt>
                <c:pt idx="26">
                  <c:v>1915</c:v>
                </c:pt>
                <c:pt idx="27">
                  <c:v>1916</c:v>
                </c:pt>
                <c:pt idx="28">
                  <c:v>1917</c:v>
                </c:pt>
                <c:pt idx="29">
                  <c:v>1918</c:v>
                </c:pt>
                <c:pt idx="30">
                  <c:v>1919</c:v>
                </c:pt>
                <c:pt idx="31">
                  <c:v>1920</c:v>
                </c:pt>
                <c:pt idx="32">
                  <c:v>1921</c:v>
                </c:pt>
                <c:pt idx="33">
                  <c:v>1922</c:v>
                </c:pt>
                <c:pt idx="34">
                  <c:v>1923</c:v>
                </c:pt>
                <c:pt idx="35">
                  <c:v>1924</c:v>
                </c:pt>
                <c:pt idx="36">
                  <c:v>1925</c:v>
                </c:pt>
                <c:pt idx="37">
                  <c:v>1926</c:v>
                </c:pt>
                <c:pt idx="38">
                  <c:v>1927</c:v>
                </c:pt>
                <c:pt idx="39">
                  <c:v>1928</c:v>
                </c:pt>
                <c:pt idx="40">
                  <c:v>1929</c:v>
                </c:pt>
                <c:pt idx="41">
                  <c:v>1930</c:v>
                </c:pt>
                <c:pt idx="42">
                  <c:v>1931</c:v>
                </c:pt>
                <c:pt idx="43">
                  <c:v>1932</c:v>
                </c:pt>
                <c:pt idx="44">
                  <c:v>1933</c:v>
                </c:pt>
                <c:pt idx="45">
                  <c:v>1934</c:v>
                </c:pt>
                <c:pt idx="46">
                  <c:v>1935</c:v>
                </c:pt>
                <c:pt idx="47">
                  <c:v>1936</c:v>
                </c:pt>
                <c:pt idx="48">
                  <c:v>1937</c:v>
                </c:pt>
                <c:pt idx="49">
                  <c:v>1938</c:v>
                </c:pt>
                <c:pt idx="50">
                  <c:v>1939</c:v>
                </c:pt>
                <c:pt idx="51">
                  <c:v>1940</c:v>
                </c:pt>
                <c:pt idx="52">
                  <c:v>1941</c:v>
                </c:pt>
                <c:pt idx="53">
                  <c:v>1942</c:v>
                </c:pt>
                <c:pt idx="54">
                  <c:v>1943</c:v>
                </c:pt>
                <c:pt idx="55">
                  <c:v>1944</c:v>
                </c:pt>
                <c:pt idx="56">
                  <c:v>1945</c:v>
                </c:pt>
                <c:pt idx="57">
                  <c:v>1946</c:v>
                </c:pt>
                <c:pt idx="58">
                  <c:v>1947</c:v>
                </c:pt>
                <c:pt idx="59">
                  <c:v>1948</c:v>
                </c:pt>
                <c:pt idx="60">
                  <c:v>1949</c:v>
                </c:pt>
                <c:pt idx="61">
                  <c:v>1950</c:v>
                </c:pt>
                <c:pt idx="62">
                  <c:v>1951</c:v>
                </c:pt>
                <c:pt idx="63">
                  <c:v>1952</c:v>
                </c:pt>
                <c:pt idx="64">
                  <c:v>1953</c:v>
                </c:pt>
                <c:pt idx="65">
                  <c:v>1954</c:v>
                </c:pt>
                <c:pt idx="66">
                  <c:v>1955</c:v>
                </c:pt>
                <c:pt idx="67">
                  <c:v>1956</c:v>
                </c:pt>
                <c:pt idx="68">
                  <c:v>1957</c:v>
                </c:pt>
                <c:pt idx="69">
                  <c:v>1958</c:v>
                </c:pt>
                <c:pt idx="70">
                  <c:v>1959</c:v>
                </c:pt>
                <c:pt idx="71">
                  <c:v>1960</c:v>
                </c:pt>
                <c:pt idx="72">
                  <c:v>1961</c:v>
                </c:pt>
                <c:pt idx="73">
                  <c:v>1962</c:v>
                </c:pt>
                <c:pt idx="74">
                  <c:v>1963</c:v>
                </c:pt>
                <c:pt idx="75">
                  <c:v>1964</c:v>
                </c:pt>
                <c:pt idx="76">
                  <c:v>1965</c:v>
                </c:pt>
                <c:pt idx="77">
                  <c:v>1966</c:v>
                </c:pt>
                <c:pt idx="78">
                  <c:v>1967</c:v>
                </c:pt>
                <c:pt idx="79">
                  <c:v>1968</c:v>
                </c:pt>
                <c:pt idx="80">
                  <c:v>1969</c:v>
                </c:pt>
                <c:pt idx="81">
                  <c:v>1970</c:v>
                </c:pt>
                <c:pt idx="82">
                  <c:v>1971</c:v>
                </c:pt>
                <c:pt idx="83">
                  <c:v>1972</c:v>
                </c:pt>
                <c:pt idx="84">
                  <c:v>1973</c:v>
                </c:pt>
                <c:pt idx="85">
                  <c:v>1974</c:v>
                </c:pt>
                <c:pt idx="86">
                  <c:v>1975</c:v>
                </c:pt>
                <c:pt idx="87">
                  <c:v>1976</c:v>
                </c:pt>
                <c:pt idx="88">
                  <c:v>1977</c:v>
                </c:pt>
                <c:pt idx="89">
                  <c:v>1978</c:v>
                </c:pt>
                <c:pt idx="90">
                  <c:v>1979</c:v>
                </c:pt>
                <c:pt idx="91">
                  <c:v>1980</c:v>
                </c:pt>
                <c:pt idx="92">
                  <c:v>1981</c:v>
                </c:pt>
                <c:pt idx="93">
                  <c:v>1982</c:v>
                </c:pt>
                <c:pt idx="94">
                  <c:v>1983</c:v>
                </c:pt>
                <c:pt idx="95">
                  <c:v>1984</c:v>
                </c:pt>
                <c:pt idx="96">
                  <c:v>1985</c:v>
                </c:pt>
                <c:pt idx="97">
                  <c:v>1986</c:v>
                </c:pt>
                <c:pt idx="98">
                  <c:v>1987</c:v>
                </c:pt>
                <c:pt idx="99">
                  <c:v>1988</c:v>
                </c:pt>
                <c:pt idx="100">
                  <c:v>1989</c:v>
                </c:pt>
                <c:pt idx="101">
                  <c:v>1990</c:v>
                </c:pt>
                <c:pt idx="102">
                  <c:v>1991</c:v>
                </c:pt>
                <c:pt idx="103">
                  <c:v>1992</c:v>
                </c:pt>
                <c:pt idx="104">
                  <c:v>1993</c:v>
                </c:pt>
                <c:pt idx="105">
                  <c:v>1994</c:v>
                </c:pt>
                <c:pt idx="106">
                  <c:v>1995</c:v>
                </c:pt>
                <c:pt idx="107">
                  <c:v>1996</c:v>
                </c:pt>
                <c:pt idx="108">
                  <c:v>1997</c:v>
                </c:pt>
                <c:pt idx="109">
                  <c:v>1998</c:v>
                </c:pt>
                <c:pt idx="110">
                  <c:v>1999</c:v>
                </c:pt>
                <c:pt idx="111">
                  <c:v>2000</c:v>
                </c:pt>
                <c:pt idx="112">
                  <c:v>2001</c:v>
                </c:pt>
                <c:pt idx="113">
                  <c:v>2002</c:v>
                </c:pt>
                <c:pt idx="114">
                  <c:v>2003</c:v>
                </c:pt>
                <c:pt idx="115">
                  <c:v>2004</c:v>
                </c:pt>
                <c:pt idx="116">
                  <c:v>2005</c:v>
                </c:pt>
                <c:pt idx="117">
                  <c:v>2006</c:v>
                </c:pt>
                <c:pt idx="118">
                  <c:v>2007</c:v>
                </c:pt>
                <c:pt idx="119">
                  <c:v>2008</c:v>
                </c:pt>
                <c:pt idx="120">
                  <c:v>2009</c:v>
                </c:pt>
                <c:pt idx="121">
                  <c:v>2010</c:v>
                </c:pt>
                <c:pt idx="122">
                  <c:v>2011</c:v>
                </c:pt>
                <c:pt idx="123">
                  <c:v>2012</c:v>
                </c:pt>
                <c:pt idx="124">
                  <c:v>2013</c:v>
                </c:pt>
                <c:pt idx="125">
                  <c:v>2014</c:v>
                </c:pt>
                <c:pt idx="126">
                  <c:v>2015</c:v>
                </c:pt>
                <c:pt idx="127">
                  <c:v>2016</c:v>
                </c:pt>
                <c:pt idx="128">
                  <c:v>2017</c:v>
                </c:pt>
                <c:pt idx="129">
                  <c:v>2018</c:v>
                </c:pt>
                <c:pt idx="130">
                  <c:v>2019</c:v>
                </c:pt>
                <c:pt idx="131">
                  <c:v>2020</c:v>
                </c:pt>
                <c:pt idx="132">
                  <c:v>2021</c:v>
                </c:pt>
                <c:pt idx="133">
                  <c:v>2022</c:v>
                </c:pt>
                <c:pt idx="134">
                  <c:v>2023</c:v>
                </c:pt>
                <c:pt idx="135">
                  <c:v>2024</c:v>
                </c:pt>
                <c:pt idx="136">
                  <c:v>2025</c:v>
                </c:pt>
                <c:pt idx="137">
                  <c:v>2026</c:v>
                </c:pt>
                <c:pt idx="138">
                  <c:v>2027</c:v>
                </c:pt>
                <c:pt idx="139">
                  <c:v>2028</c:v>
                </c:pt>
                <c:pt idx="140">
                  <c:v>2029</c:v>
                </c:pt>
                <c:pt idx="141">
                  <c:v>2030</c:v>
                </c:pt>
                <c:pt idx="142">
                  <c:v>2031</c:v>
                </c:pt>
                <c:pt idx="143">
                  <c:v>2032</c:v>
                </c:pt>
                <c:pt idx="144">
                  <c:v>2033</c:v>
                </c:pt>
                <c:pt idx="145">
                  <c:v>2034</c:v>
                </c:pt>
                <c:pt idx="146">
                  <c:v>2035</c:v>
                </c:pt>
                <c:pt idx="147">
                  <c:v>2036</c:v>
                </c:pt>
                <c:pt idx="148">
                  <c:v>2037</c:v>
                </c:pt>
                <c:pt idx="149">
                  <c:v>2038</c:v>
                </c:pt>
                <c:pt idx="150">
                  <c:v>2039</c:v>
                </c:pt>
                <c:pt idx="151">
                  <c:v>2040</c:v>
                </c:pt>
                <c:pt idx="152">
                  <c:v>2041</c:v>
                </c:pt>
                <c:pt idx="153">
                  <c:v>2042</c:v>
                </c:pt>
                <c:pt idx="154">
                  <c:v>2043</c:v>
                </c:pt>
                <c:pt idx="155">
                  <c:v>2044</c:v>
                </c:pt>
                <c:pt idx="156">
                  <c:v>2045</c:v>
                </c:pt>
                <c:pt idx="157">
                  <c:v>2046</c:v>
                </c:pt>
                <c:pt idx="158">
                  <c:v>2047</c:v>
                </c:pt>
                <c:pt idx="159">
                  <c:v>2048</c:v>
                </c:pt>
                <c:pt idx="160">
                  <c:v>2049</c:v>
                </c:pt>
                <c:pt idx="161">
                  <c:v>2050</c:v>
                </c:pt>
                <c:pt idx="162">
                  <c:v>2051</c:v>
                </c:pt>
                <c:pt idx="163">
                  <c:v>2052</c:v>
                </c:pt>
                <c:pt idx="164">
                  <c:v>2053</c:v>
                </c:pt>
                <c:pt idx="165">
                  <c:v>2054</c:v>
                </c:pt>
                <c:pt idx="166">
                  <c:v>2055</c:v>
                </c:pt>
                <c:pt idx="167">
                  <c:v>2056</c:v>
                </c:pt>
                <c:pt idx="168">
                  <c:v>2057</c:v>
                </c:pt>
                <c:pt idx="169">
                  <c:v>2058</c:v>
                </c:pt>
              </c:numCache>
            </c:numRef>
          </c:xVal>
          <c:yVal>
            <c:numRef>
              <c:f>Africa!$E$19:$E$188</c:f>
              <c:numCache>
                <c:formatCode>#,##0.0</c:formatCode>
                <c:ptCount val="170"/>
                <c:pt idx="0">
                  <c:v>1.2999999999999999E-2</c:v>
                </c:pt>
                <c:pt idx="1">
                  <c:v>4.1000000000000002E-2</c:v>
                </c:pt>
                <c:pt idx="2">
                  <c:v>4.4999999999999998E-2</c:v>
                </c:pt>
                <c:pt idx="3">
                  <c:v>7.1999999999999995E-2</c:v>
                </c:pt>
                <c:pt idx="4">
                  <c:v>0.69499999999999995</c:v>
                </c:pt>
                <c:pt idx="5">
                  <c:v>0.93899999999999995</c:v>
                </c:pt>
                <c:pt idx="6">
                  <c:v>1.288</c:v>
                </c:pt>
                <c:pt idx="7">
                  <c:v>1.6459999999999999</c:v>
                </c:pt>
                <c:pt idx="8">
                  <c:v>1.845</c:v>
                </c:pt>
                <c:pt idx="9">
                  <c:v>2.335</c:v>
                </c:pt>
                <c:pt idx="10">
                  <c:v>2.1309999999999998</c:v>
                </c:pt>
                <c:pt idx="11">
                  <c:v>0.89800000000000002</c:v>
                </c:pt>
                <c:pt idx="12">
                  <c:v>1.512</c:v>
                </c:pt>
                <c:pt idx="13">
                  <c:v>2.2490000000000001</c:v>
                </c:pt>
                <c:pt idx="14">
                  <c:v>3.0470000000000002</c:v>
                </c:pt>
                <c:pt idx="15">
                  <c:v>3.42</c:v>
                </c:pt>
                <c:pt idx="16">
                  <c:v>3.9180000000000001</c:v>
                </c:pt>
                <c:pt idx="17">
                  <c:v>4.4139999999999997</c:v>
                </c:pt>
                <c:pt idx="18">
                  <c:v>4.9109999999999996</c:v>
                </c:pt>
                <c:pt idx="19">
                  <c:v>5.0919999999999996</c:v>
                </c:pt>
                <c:pt idx="20">
                  <c:v>5.8449999999999998</c:v>
                </c:pt>
                <c:pt idx="21">
                  <c:v>6.6150000000000002</c:v>
                </c:pt>
                <c:pt idx="22">
                  <c:v>7.0819999999999999</c:v>
                </c:pt>
                <c:pt idx="23">
                  <c:v>7.56</c:v>
                </c:pt>
                <c:pt idx="24">
                  <c:v>8.2040000000000006</c:v>
                </c:pt>
                <c:pt idx="25">
                  <c:v>8.0090000000000003</c:v>
                </c:pt>
                <c:pt idx="26">
                  <c:v>7.8920000000000003</c:v>
                </c:pt>
                <c:pt idx="27">
                  <c:v>9.5500000000000007</c:v>
                </c:pt>
                <c:pt idx="28">
                  <c:v>9.9979999999999993</c:v>
                </c:pt>
                <c:pt idx="29">
                  <c:v>9.5549999999999997</c:v>
                </c:pt>
                <c:pt idx="30">
                  <c:v>9.9309999999999992</c:v>
                </c:pt>
                <c:pt idx="31">
                  <c:v>11.641999999999999</c:v>
                </c:pt>
                <c:pt idx="32">
                  <c:v>11.566000000000001</c:v>
                </c:pt>
                <c:pt idx="33">
                  <c:v>9.8930000000000007</c:v>
                </c:pt>
                <c:pt idx="34">
                  <c:v>12.055</c:v>
                </c:pt>
                <c:pt idx="35">
                  <c:v>12.726000000000001</c:v>
                </c:pt>
                <c:pt idx="36">
                  <c:v>13.329000000000001</c:v>
                </c:pt>
                <c:pt idx="37">
                  <c:v>14.257999999999999</c:v>
                </c:pt>
                <c:pt idx="38">
                  <c:v>13.977</c:v>
                </c:pt>
                <c:pt idx="39">
                  <c:v>14.188000000000001</c:v>
                </c:pt>
                <c:pt idx="40">
                  <c:v>14.535</c:v>
                </c:pt>
                <c:pt idx="41">
                  <c:v>13.667</c:v>
                </c:pt>
                <c:pt idx="42">
                  <c:v>11.919</c:v>
                </c:pt>
                <c:pt idx="43">
                  <c:v>10.794</c:v>
                </c:pt>
                <c:pt idx="44">
                  <c:v>11.51</c:v>
                </c:pt>
                <c:pt idx="45">
                  <c:v>13.199</c:v>
                </c:pt>
                <c:pt idx="46">
                  <c:v>14.648</c:v>
                </c:pt>
                <c:pt idx="47">
                  <c:v>15.93</c:v>
                </c:pt>
                <c:pt idx="48">
                  <c:v>17.010999999999999</c:v>
                </c:pt>
                <c:pt idx="49">
                  <c:v>17.861999999999998</c:v>
                </c:pt>
                <c:pt idx="50">
                  <c:v>18.495999999999999</c:v>
                </c:pt>
                <c:pt idx="51">
                  <c:v>19.341999999999999</c:v>
                </c:pt>
                <c:pt idx="52">
                  <c:v>20.73</c:v>
                </c:pt>
                <c:pt idx="53">
                  <c:v>22.756</c:v>
                </c:pt>
                <c:pt idx="54">
                  <c:v>23.178000000000001</c:v>
                </c:pt>
                <c:pt idx="55">
                  <c:v>25.792999999999999</c:v>
                </c:pt>
                <c:pt idx="56">
                  <c:v>26.146999999999998</c:v>
                </c:pt>
                <c:pt idx="57">
                  <c:v>26.387</c:v>
                </c:pt>
                <c:pt idx="58">
                  <c:v>26.51</c:v>
                </c:pt>
                <c:pt idx="59">
                  <c:v>26.97</c:v>
                </c:pt>
                <c:pt idx="60">
                  <c:v>28.745999999999999</c:v>
                </c:pt>
                <c:pt idx="61">
                  <c:v>30.035</c:v>
                </c:pt>
                <c:pt idx="62">
                  <c:v>30.428999999999998</c:v>
                </c:pt>
                <c:pt idx="63">
                  <c:v>32.311</c:v>
                </c:pt>
                <c:pt idx="64">
                  <c:v>33.125</c:v>
                </c:pt>
                <c:pt idx="65">
                  <c:v>34.018999999999998</c:v>
                </c:pt>
                <c:pt idx="66">
                  <c:v>37.643999999999998</c:v>
                </c:pt>
                <c:pt idx="67">
                  <c:v>39.381999999999998</c:v>
                </c:pt>
                <c:pt idx="68">
                  <c:v>40.909999999999997</c:v>
                </c:pt>
                <c:pt idx="69">
                  <c:v>42.765000000000001</c:v>
                </c:pt>
                <c:pt idx="70">
                  <c:v>42.076999999999998</c:v>
                </c:pt>
                <c:pt idx="71">
                  <c:v>43.279000000000003</c:v>
                </c:pt>
                <c:pt idx="72">
                  <c:v>44.128</c:v>
                </c:pt>
                <c:pt idx="73">
                  <c:v>45.537999999999997</c:v>
                </c:pt>
                <c:pt idx="74">
                  <c:v>46.588999999999999</c:v>
                </c:pt>
                <c:pt idx="75">
                  <c:v>49.454999999999998</c:v>
                </c:pt>
                <c:pt idx="76">
                  <c:v>53.554000000000002</c:v>
                </c:pt>
                <c:pt idx="77">
                  <c:v>53.055999999999997</c:v>
                </c:pt>
                <c:pt idx="78">
                  <c:v>53.954000000000001</c:v>
                </c:pt>
                <c:pt idx="79">
                  <c:v>56.561</c:v>
                </c:pt>
                <c:pt idx="80">
                  <c:v>57.085999999999999</c:v>
                </c:pt>
                <c:pt idx="81">
                  <c:v>59.502000000000002</c:v>
                </c:pt>
                <c:pt idx="82">
                  <c:v>63.844000000000001</c:v>
                </c:pt>
                <c:pt idx="83">
                  <c:v>63.655999999999999</c:v>
                </c:pt>
                <c:pt idx="84">
                  <c:v>67.942999999999998</c:v>
                </c:pt>
                <c:pt idx="85">
                  <c:v>70.209999999999994</c:v>
                </c:pt>
                <c:pt idx="86">
                  <c:v>74.524000000000001</c:v>
                </c:pt>
                <c:pt idx="87">
                  <c:v>81.786000000000001</c:v>
                </c:pt>
                <c:pt idx="88">
                  <c:v>92.676000000000002</c:v>
                </c:pt>
                <c:pt idx="89">
                  <c:v>95.959000000000003</c:v>
                </c:pt>
                <c:pt idx="90">
                  <c:v>110.979</c:v>
                </c:pt>
                <c:pt idx="91">
                  <c:v>121.52800000000001</c:v>
                </c:pt>
                <c:pt idx="92" formatCode="0.0">
                  <c:v>135.94</c:v>
                </c:pt>
                <c:pt idx="93" formatCode="0.0">
                  <c:v>149.19300000000001</c:v>
                </c:pt>
                <c:pt idx="94" formatCode="0.0">
                  <c:v>151.00300000000001</c:v>
                </c:pt>
                <c:pt idx="95" formatCode="0.0">
                  <c:v>168.33099999999999</c:v>
                </c:pt>
                <c:pt idx="96" formatCode="0.0">
                  <c:v>178.99099999999999</c:v>
                </c:pt>
                <c:pt idx="97" formatCode="0.0">
                  <c:v>183.21299999999999</c:v>
                </c:pt>
                <c:pt idx="98" formatCode="0.0">
                  <c:v>183.68200000000002</c:v>
                </c:pt>
                <c:pt idx="99" formatCode="0.0">
                  <c:v>188.78300000000002</c:v>
                </c:pt>
                <c:pt idx="100" formatCode="0.0">
                  <c:v>183.625</c:v>
                </c:pt>
                <c:pt idx="101" formatCode="0.0">
                  <c:v>182.566</c:v>
                </c:pt>
                <c:pt idx="102" formatCode="0.0">
                  <c:v>186.43799999999999</c:v>
                </c:pt>
                <c:pt idx="103" formatCode="0.0">
                  <c:v>182.36799999999999</c:v>
                </c:pt>
                <c:pt idx="104" formatCode="0.0">
                  <c:v>189.81199999999998</c:v>
                </c:pt>
                <c:pt idx="105" formatCode="0.0">
                  <c:v>203.613</c:v>
                </c:pt>
                <c:pt idx="106" formatCode="0.0">
                  <c:v>214.12300000000002</c:v>
                </c:pt>
                <c:pt idx="107" formatCode="0.0">
                  <c:v>213.55500000000001</c:v>
                </c:pt>
                <c:pt idx="108" formatCode="0.0">
                  <c:v>227.17500000000001</c:v>
                </c:pt>
                <c:pt idx="109" formatCode="0.0">
                  <c:v>232.63600000000002</c:v>
                </c:pt>
                <c:pt idx="110" formatCode="0.0">
                  <c:v>229.44600000000003</c:v>
                </c:pt>
                <c:pt idx="111" formatCode="0.0">
                  <c:v>230.54599999999999</c:v>
                </c:pt>
                <c:pt idx="112" formatCode="0.0">
                  <c:v>230.20653300000001</c:v>
                </c:pt>
                <c:pt idx="113" formatCode="0.0">
                  <c:v>226.29014000000001</c:v>
                </c:pt>
                <c:pt idx="114" formatCode="0.0">
                  <c:v>243.27597100000003</c:v>
                </c:pt>
                <c:pt idx="115" formatCode="0.0">
                  <c:v>249.28619900000004</c:v>
                </c:pt>
                <c:pt idx="116" formatCode="0.0">
                  <c:v>249.16253600000002</c:v>
                </c:pt>
                <c:pt idx="117" formatCode="0.0">
                  <c:v>248.832515</c:v>
                </c:pt>
                <c:pt idx="118" formatCode="0.0">
                  <c:v>251.50810199999998</c:v>
                </c:pt>
                <c:pt idx="119" formatCode="0.0">
                  <c:v>256.04169999999999</c:v>
                </c:pt>
                <c:pt idx="120">
                  <c:v>253.4547</c:v>
                </c:pt>
              </c:numCache>
            </c:numRef>
          </c:yVal>
          <c:smooth val="1"/>
          <c:extLst>
            <c:ext xmlns:c16="http://schemas.microsoft.com/office/drawing/2014/chart" uri="{C3380CC4-5D6E-409C-BE32-E72D297353CC}">
              <c16:uniqueId val="{00000000-59CB-B347-9CF1-E88A8117F98F}"/>
            </c:ext>
          </c:extLst>
        </c:ser>
        <c:dLbls>
          <c:showLegendKey val="0"/>
          <c:showVal val="0"/>
          <c:showCatName val="0"/>
          <c:showSerName val="0"/>
          <c:showPercent val="0"/>
          <c:showBubbleSize val="0"/>
        </c:dLbls>
        <c:axId val="134574080"/>
        <c:axId val="134575616"/>
      </c:scatterChart>
      <c:valAx>
        <c:axId val="134574080"/>
        <c:scaling>
          <c:orientation val="minMax"/>
          <c:max val="2020"/>
          <c:min val="188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4575616"/>
        <c:crossesAt val="-1000"/>
        <c:crossBetween val="midCat"/>
        <c:majorUnit val="70"/>
        <c:minorUnit val="10"/>
      </c:valAx>
      <c:valAx>
        <c:axId val="134575616"/>
        <c:scaling>
          <c:orientation val="minMax"/>
          <c:max val="26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179653679653765"/>
              <c:y val="0.17303587051618549"/>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4574080"/>
        <c:crosses val="max"/>
        <c:crossBetween val="midCat"/>
        <c:majorUnit val="100"/>
        <c:minorUnit val="5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4931933508311463"/>
          <c:h val="0.77264654418197765"/>
        </c:manualLayout>
      </c:layout>
      <c:scatterChart>
        <c:scatterStyle val="smoothMarker"/>
        <c:varyColors val="0"/>
        <c:ser>
          <c:idx val="2"/>
          <c:order val="0"/>
          <c:tx>
            <c:v>zero</c:v>
          </c:tx>
          <c:spPr>
            <a:ln w="15875">
              <a:solidFill>
                <a:srgbClr val="808080"/>
              </a:solidFill>
            </a:ln>
          </c:spPr>
          <c:marker>
            <c:symbol val="none"/>
          </c:marker>
          <c:xVal>
            <c:numRef>
              <c:f>(Africa!$E$3,Africa!$E$7)</c:f>
              <c:numCache>
                <c:formatCode>0</c:formatCode>
                <c:ptCount val="2"/>
                <c:pt idx="0" formatCode="General">
                  <c:v>1935</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0-5D61-6E4D-B617-C094FE86A044}"/>
            </c:ext>
          </c:extLst>
        </c:ser>
        <c:ser>
          <c:idx val="0"/>
          <c:order val="1"/>
          <c:tx>
            <c:strRef>
              <c:f>Africa!$I$17</c:f>
              <c:strCache>
                <c:ptCount val="1"/>
                <c:pt idx="0">
                  <c:v>r m</c:v>
                </c:pt>
              </c:strCache>
            </c:strRef>
          </c:tx>
          <c:spPr>
            <a:ln w="15875">
              <a:solidFill>
                <a:srgbClr val="008000"/>
              </a:solidFill>
            </a:ln>
          </c:spPr>
          <c:marker>
            <c:symbol val="none"/>
          </c:marker>
          <c:xVal>
            <c:numRef>
              <c:f>Africa!$D$65:$D$207</c:f>
              <c:numCache>
                <c:formatCode>General</c:formatCode>
                <c:ptCount val="143"/>
                <c:pt idx="0">
                  <c:v>1935</c:v>
                </c:pt>
                <c:pt idx="1">
                  <c:v>1936</c:v>
                </c:pt>
                <c:pt idx="2">
                  <c:v>1937</c:v>
                </c:pt>
                <c:pt idx="3">
                  <c:v>1938</c:v>
                </c:pt>
                <c:pt idx="4">
                  <c:v>1939</c:v>
                </c:pt>
                <c:pt idx="5">
                  <c:v>1940</c:v>
                </c:pt>
                <c:pt idx="6">
                  <c:v>1941</c:v>
                </c:pt>
                <c:pt idx="7">
                  <c:v>1942</c:v>
                </c:pt>
                <c:pt idx="8">
                  <c:v>1943</c:v>
                </c:pt>
                <c:pt idx="9">
                  <c:v>1944</c:v>
                </c:pt>
                <c:pt idx="10">
                  <c:v>1945</c:v>
                </c:pt>
                <c:pt idx="11">
                  <c:v>1946</c:v>
                </c:pt>
                <c:pt idx="12">
                  <c:v>1947</c:v>
                </c:pt>
                <c:pt idx="13">
                  <c:v>1948</c:v>
                </c:pt>
                <c:pt idx="14">
                  <c:v>1949</c:v>
                </c:pt>
                <c:pt idx="15">
                  <c:v>1950</c:v>
                </c:pt>
                <c:pt idx="16">
                  <c:v>1951</c:v>
                </c:pt>
                <c:pt idx="17">
                  <c:v>1952</c:v>
                </c:pt>
                <c:pt idx="18">
                  <c:v>1953</c:v>
                </c:pt>
                <c:pt idx="19">
                  <c:v>1954</c:v>
                </c:pt>
                <c:pt idx="20">
                  <c:v>1955</c:v>
                </c:pt>
                <c:pt idx="21">
                  <c:v>1956</c:v>
                </c:pt>
                <c:pt idx="22">
                  <c:v>1957</c:v>
                </c:pt>
                <c:pt idx="23">
                  <c:v>1958</c:v>
                </c:pt>
                <c:pt idx="24">
                  <c:v>1959</c:v>
                </c:pt>
                <c:pt idx="25">
                  <c:v>1960</c:v>
                </c:pt>
                <c:pt idx="26">
                  <c:v>1961</c:v>
                </c:pt>
                <c:pt idx="27">
                  <c:v>1962</c:v>
                </c:pt>
                <c:pt idx="28">
                  <c:v>1963</c:v>
                </c:pt>
                <c:pt idx="29">
                  <c:v>1964</c:v>
                </c:pt>
                <c:pt idx="30">
                  <c:v>1965</c:v>
                </c:pt>
                <c:pt idx="31">
                  <c:v>1966</c:v>
                </c:pt>
                <c:pt idx="32">
                  <c:v>1967</c:v>
                </c:pt>
                <c:pt idx="33">
                  <c:v>1968</c:v>
                </c:pt>
                <c:pt idx="34">
                  <c:v>1969</c:v>
                </c:pt>
                <c:pt idx="35">
                  <c:v>1970</c:v>
                </c:pt>
                <c:pt idx="36">
                  <c:v>1971</c:v>
                </c:pt>
                <c:pt idx="37">
                  <c:v>1972</c:v>
                </c:pt>
                <c:pt idx="38">
                  <c:v>1973</c:v>
                </c:pt>
                <c:pt idx="39">
                  <c:v>1974</c:v>
                </c:pt>
                <c:pt idx="40">
                  <c:v>1975</c:v>
                </c:pt>
                <c:pt idx="41">
                  <c:v>1976</c:v>
                </c:pt>
                <c:pt idx="42">
                  <c:v>1977</c:v>
                </c:pt>
                <c:pt idx="43">
                  <c:v>1978</c:v>
                </c:pt>
                <c:pt idx="44">
                  <c:v>1979</c:v>
                </c:pt>
                <c:pt idx="45">
                  <c:v>1980</c:v>
                </c:pt>
                <c:pt idx="46">
                  <c:v>1981</c:v>
                </c:pt>
                <c:pt idx="47">
                  <c:v>1982</c:v>
                </c:pt>
                <c:pt idx="48">
                  <c:v>1983</c:v>
                </c:pt>
                <c:pt idx="49">
                  <c:v>1984</c:v>
                </c:pt>
                <c:pt idx="50">
                  <c:v>1985</c:v>
                </c:pt>
                <c:pt idx="51">
                  <c:v>1986</c:v>
                </c:pt>
                <c:pt idx="52">
                  <c:v>1987</c:v>
                </c:pt>
                <c:pt idx="53">
                  <c:v>1988</c:v>
                </c:pt>
                <c:pt idx="54">
                  <c:v>1989</c:v>
                </c:pt>
                <c:pt idx="55">
                  <c:v>1990</c:v>
                </c:pt>
                <c:pt idx="56">
                  <c:v>1991</c:v>
                </c:pt>
                <c:pt idx="57">
                  <c:v>1992</c:v>
                </c:pt>
                <c:pt idx="58">
                  <c:v>1993</c:v>
                </c:pt>
                <c:pt idx="59">
                  <c:v>1994</c:v>
                </c:pt>
                <c:pt idx="60">
                  <c:v>1995</c:v>
                </c:pt>
                <c:pt idx="61">
                  <c:v>1996</c:v>
                </c:pt>
                <c:pt idx="62">
                  <c:v>1997</c:v>
                </c:pt>
                <c:pt idx="63">
                  <c:v>1998</c:v>
                </c:pt>
                <c:pt idx="64">
                  <c:v>1999</c:v>
                </c:pt>
                <c:pt idx="65">
                  <c:v>2000</c:v>
                </c:pt>
                <c:pt idx="66">
                  <c:v>2001</c:v>
                </c:pt>
                <c:pt idx="67">
                  <c:v>2002</c:v>
                </c:pt>
                <c:pt idx="68">
                  <c:v>2003</c:v>
                </c:pt>
                <c:pt idx="69">
                  <c:v>2004</c:v>
                </c:pt>
                <c:pt idx="70">
                  <c:v>2005</c:v>
                </c:pt>
                <c:pt idx="71">
                  <c:v>2006</c:v>
                </c:pt>
                <c:pt idx="72">
                  <c:v>2007</c:v>
                </c:pt>
                <c:pt idx="73">
                  <c:v>2008</c:v>
                </c:pt>
                <c:pt idx="74">
                  <c:v>2009</c:v>
                </c:pt>
                <c:pt idx="75">
                  <c:v>2010</c:v>
                </c:pt>
                <c:pt idx="76">
                  <c:v>2011</c:v>
                </c:pt>
                <c:pt idx="77">
                  <c:v>2012</c:v>
                </c:pt>
                <c:pt idx="78">
                  <c:v>2013</c:v>
                </c:pt>
                <c:pt idx="79">
                  <c:v>2014</c:v>
                </c:pt>
                <c:pt idx="80">
                  <c:v>2015</c:v>
                </c:pt>
                <c:pt idx="81">
                  <c:v>2016</c:v>
                </c:pt>
                <c:pt idx="82">
                  <c:v>2017</c:v>
                </c:pt>
                <c:pt idx="83">
                  <c:v>2018</c:v>
                </c:pt>
                <c:pt idx="84">
                  <c:v>2019</c:v>
                </c:pt>
                <c:pt idx="85">
                  <c:v>2020</c:v>
                </c:pt>
                <c:pt idx="86">
                  <c:v>2021</c:v>
                </c:pt>
                <c:pt idx="87">
                  <c:v>2022</c:v>
                </c:pt>
                <c:pt idx="88">
                  <c:v>2023</c:v>
                </c:pt>
                <c:pt idx="89">
                  <c:v>2024</c:v>
                </c:pt>
                <c:pt idx="90">
                  <c:v>2025</c:v>
                </c:pt>
                <c:pt idx="91">
                  <c:v>2026</c:v>
                </c:pt>
                <c:pt idx="92">
                  <c:v>2027</c:v>
                </c:pt>
                <c:pt idx="93">
                  <c:v>2028</c:v>
                </c:pt>
                <c:pt idx="94">
                  <c:v>2029</c:v>
                </c:pt>
                <c:pt idx="95">
                  <c:v>2030</c:v>
                </c:pt>
                <c:pt idx="96">
                  <c:v>2031</c:v>
                </c:pt>
                <c:pt idx="97">
                  <c:v>2032</c:v>
                </c:pt>
                <c:pt idx="98">
                  <c:v>2033</c:v>
                </c:pt>
                <c:pt idx="99">
                  <c:v>2034</c:v>
                </c:pt>
                <c:pt idx="100">
                  <c:v>2035</c:v>
                </c:pt>
                <c:pt idx="101">
                  <c:v>2036</c:v>
                </c:pt>
                <c:pt idx="102">
                  <c:v>2037</c:v>
                </c:pt>
                <c:pt idx="103">
                  <c:v>2038</c:v>
                </c:pt>
                <c:pt idx="104">
                  <c:v>2039</c:v>
                </c:pt>
                <c:pt idx="105">
                  <c:v>2040</c:v>
                </c:pt>
                <c:pt idx="106">
                  <c:v>2041</c:v>
                </c:pt>
                <c:pt idx="107">
                  <c:v>2042</c:v>
                </c:pt>
                <c:pt idx="108">
                  <c:v>2043</c:v>
                </c:pt>
                <c:pt idx="109">
                  <c:v>2044</c:v>
                </c:pt>
                <c:pt idx="110">
                  <c:v>2045</c:v>
                </c:pt>
                <c:pt idx="111">
                  <c:v>2046</c:v>
                </c:pt>
                <c:pt idx="112">
                  <c:v>2047</c:v>
                </c:pt>
                <c:pt idx="113">
                  <c:v>2048</c:v>
                </c:pt>
                <c:pt idx="114">
                  <c:v>2049</c:v>
                </c:pt>
                <c:pt idx="115">
                  <c:v>2050</c:v>
                </c:pt>
                <c:pt idx="116">
                  <c:v>2051</c:v>
                </c:pt>
                <c:pt idx="117">
                  <c:v>2052</c:v>
                </c:pt>
                <c:pt idx="118">
                  <c:v>2053</c:v>
                </c:pt>
                <c:pt idx="119">
                  <c:v>2054</c:v>
                </c:pt>
                <c:pt idx="120">
                  <c:v>2055</c:v>
                </c:pt>
                <c:pt idx="121">
                  <c:v>2056</c:v>
                </c:pt>
                <c:pt idx="122">
                  <c:v>2057</c:v>
                </c:pt>
                <c:pt idx="123">
                  <c:v>2058</c:v>
                </c:pt>
                <c:pt idx="124">
                  <c:v>2059</c:v>
                </c:pt>
                <c:pt idx="125">
                  <c:v>2060</c:v>
                </c:pt>
                <c:pt idx="126">
                  <c:v>2061</c:v>
                </c:pt>
                <c:pt idx="127">
                  <c:v>2062</c:v>
                </c:pt>
                <c:pt idx="128">
                  <c:v>2063</c:v>
                </c:pt>
                <c:pt idx="129">
                  <c:v>2064</c:v>
                </c:pt>
                <c:pt idx="130">
                  <c:v>2065</c:v>
                </c:pt>
                <c:pt idx="131">
                  <c:v>2066</c:v>
                </c:pt>
                <c:pt idx="132">
                  <c:v>2067</c:v>
                </c:pt>
                <c:pt idx="133">
                  <c:v>2068</c:v>
                </c:pt>
                <c:pt idx="134">
                  <c:v>2069</c:v>
                </c:pt>
                <c:pt idx="135">
                  <c:v>2070</c:v>
                </c:pt>
                <c:pt idx="136">
                  <c:v>2071</c:v>
                </c:pt>
                <c:pt idx="137">
                  <c:v>2072</c:v>
                </c:pt>
                <c:pt idx="138">
                  <c:v>2073</c:v>
                </c:pt>
                <c:pt idx="139">
                  <c:v>2074</c:v>
                </c:pt>
                <c:pt idx="140">
                  <c:v>2075</c:v>
                </c:pt>
                <c:pt idx="141">
                  <c:v>2076</c:v>
                </c:pt>
                <c:pt idx="142">
                  <c:v>2077</c:v>
                </c:pt>
              </c:numCache>
            </c:numRef>
          </c:xVal>
          <c:yVal>
            <c:numRef>
              <c:f>Africa!$I$65:$I$307</c:f>
              <c:numCache>
                <c:formatCode>#,##0.0</c:formatCode>
                <c:ptCount val="243"/>
                <c:pt idx="0">
                  <c:v>3.7418853781573489</c:v>
                </c:pt>
                <c:pt idx="1">
                  <c:v>2.6368313218654293</c:v>
                </c:pt>
                <c:pt idx="2">
                  <c:v>1.8162864112564421</c:v>
                </c:pt>
                <c:pt idx="3">
                  <c:v>1.0926769585967122</c:v>
                </c:pt>
                <c:pt idx="4">
                  <c:v>0.31296598718199675</c:v>
                </c:pt>
                <c:pt idx="5">
                  <c:v>-0.4078035597649432</c:v>
                </c:pt>
                <c:pt idx="6">
                  <c:v>-0.79068114092478936</c:v>
                </c:pt>
                <c:pt idx="7">
                  <c:v>-0.550838169002418</c:v>
                </c:pt>
                <c:pt idx="8">
                  <c:v>-0.58689646400853235</c:v>
                </c:pt>
                <c:pt idx="9">
                  <c:v>0.18405990138489869</c:v>
                </c:pt>
                <c:pt idx="10">
                  <c:v>0.59916221750336263</c:v>
                </c:pt>
                <c:pt idx="11">
                  <c:v>0.63450413700502395</c:v>
                </c:pt>
                <c:pt idx="12">
                  <c:v>0.26945488934234163</c:v>
                </c:pt>
                <c:pt idx="13">
                  <c:v>-0.32424857286423503</c:v>
                </c:pt>
                <c:pt idx="14">
                  <c:v>-0.60586793444235809</c:v>
                </c:pt>
                <c:pt idx="15">
                  <c:v>-0.80657791536486911</c:v>
                </c:pt>
                <c:pt idx="16">
                  <c:v>-1.278247714221834</c:v>
                </c:pt>
                <c:pt idx="17">
                  <c:v>-1.4681941341204947</c:v>
                </c:pt>
                <c:pt idx="18">
                  <c:v>-1.7850230403082605</c:v>
                </c:pt>
                <c:pt idx="19">
                  <c:v>-2.1983722683035012</c:v>
                </c:pt>
                <c:pt idx="20">
                  <c:v>-1.824675264668258</c:v>
                </c:pt>
                <c:pt idx="21">
                  <c:v>-1.3423521527020057</c:v>
                </c:pt>
                <c:pt idx="22">
                  <c:v>-0.83562313401398569</c:v>
                </c:pt>
                <c:pt idx="23">
                  <c:v>-0.2218247013315704</c:v>
                </c:pt>
                <c:pt idx="24">
                  <c:v>-0.23315303980962199</c:v>
                </c:pt>
                <c:pt idx="25">
                  <c:v>-0.3047360216942252</c:v>
                </c:pt>
                <c:pt idx="26">
                  <c:v>-0.53094082134521159</c:v>
                </c:pt>
                <c:pt idx="27">
                  <c:v>-0.76160169579998183</c:v>
                </c:pt>
                <c:pt idx="28">
                  <c:v>-1.0913184035016457</c:v>
                </c:pt>
                <c:pt idx="29">
                  <c:v>-1.0832127838257293</c:v>
                </c:pt>
                <c:pt idx="30">
                  <c:v>-0.48841543777689367</c:v>
                </c:pt>
                <c:pt idx="31">
                  <c:v>-0.39840760466540814</c:v>
                </c:pt>
                <c:pt idx="32">
                  <c:v>-0.47027100623654405</c:v>
                </c:pt>
                <c:pt idx="33">
                  <c:v>-0.33388560743333073</c:v>
                </c:pt>
                <c:pt idx="34">
                  <c:v>-0.43965909992402885</c:v>
                </c:pt>
                <c:pt idx="35">
                  <c:v>-0.3945332270959625</c:v>
                </c:pt>
                <c:pt idx="36">
                  <c:v>0.15786575876154529</c:v>
                </c:pt>
                <c:pt idx="37">
                  <c:v>0.31741458239230269</c:v>
                </c:pt>
                <c:pt idx="38">
                  <c:v>0.93179128394149302</c:v>
                </c:pt>
                <c:pt idx="39">
                  <c:v>1.600140402557372</c:v>
                </c:pt>
                <c:pt idx="40">
                  <c:v>2.6682458337418211</c:v>
                </c:pt>
                <c:pt idx="41">
                  <c:v>4.5940758513534092</c:v>
                </c:pt>
                <c:pt idx="42">
                  <c:v>3.5192550571000538</c:v>
                </c:pt>
                <c:pt idx="43">
                  <c:v>0.67255164691141545</c:v>
                </c:pt>
                <c:pt idx="44">
                  <c:v>-1.0869361721843234</c:v>
                </c:pt>
                <c:pt idx="45">
                  <c:v>-2.2601024747164047</c:v>
                </c:pt>
                <c:pt idx="46">
                  <c:v>-2.5830267237715816</c:v>
                </c:pt>
                <c:pt idx="47">
                  <c:v>-2.2419428880948544</c:v>
                </c:pt>
                <c:pt idx="48">
                  <c:v>-2.2050563264538141</c:v>
                </c:pt>
                <c:pt idx="49">
                  <c:v>-1.2690771618981671</c:v>
                </c:pt>
                <c:pt idx="50">
                  <c:v>-1.2767081756464904E-2</c:v>
                </c:pt>
                <c:pt idx="51">
                  <c:v>1.0806654021789655</c:v>
                </c:pt>
                <c:pt idx="52">
                  <c:v>1.7754965511703631</c:v>
                </c:pt>
                <c:pt idx="53">
                  <c:v>2.4183499376322288</c:v>
                </c:pt>
                <c:pt idx="54">
                  <c:v>2.3613564678435068</c:v>
                </c:pt>
                <c:pt idx="55">
                  <c:v>1.9221616164395527</c:v>
                </c:pt>
                <c:pt idx="56">
                  <c:v>1.4355523540989452</c:v>
                </c:pt>
                <c:pt idx="57">
                  <c:v>0.43726648177562311</c:v>
                </c:pt>
                <c:pt idx="58">
                  <c:v>-0.36104362086734909</c:v>
                </c:pt>
                <c:pt idx="59">
                  <c:v>-0.60198491987557645</c:v>
                </c:pt>
                <c:pt idx="60">
                  <c:v>-0.49631151989524369</c:v>
                </c:pt>
                <c:pt idx="61">
                  <c:v>-0.66322930365276989</c:v>
                </c:pt>
                <c:pt idx="62">
                  <c:v>-0.31322210605048895</c:v>
                </c:pt>
                <c:pt idx="63">
                  <c:v>0.10519852773359162</c:v>
                </c:pt>
                <c:pt idx="64">
                  <c:v>0.15031300540249504</c:v>
                </c:pt>
                <c:pt idx="65">
                  <c:v>7.1485131918052502E-2</c:v>
                </c:pt>
                <c:pt idx="66">
                  <c:v>-0.18713934550578415</c:v>
                </c:pt>
                <c:pt idx="67">
                  <c:v>-0.78613956803474139</c:v>
                </c:pt>
                <c:pt idx="68">
                  <c:v>-0.66673734392043116</c:v>
                </c:pt>
                <c:pt idx="69">
                  <c:v>-0.37695700863514503</c:v>
                </c:pt>
                <c:pt idx="70">
                  <c:v>-0.20557849569195241</c:v>
                </c:pt>
                <c:pt idx="71">
                  <c:v>-0.1451321275162627</c:v>
                </c:pt>
                <c:pt idx="72">
                  <c:v>-3.4617520090250764E-2</c:v>
                </c:pt>
                <c:pt idx="73">
                  <c:v>0.2285995307702251</c:v>
                </c:pt>
                <c:pt idx="74">
                  <c:v>0.31874999769388523</c:v>
                </c:pt>
              </c:numCache>
            </c:numRef>
          </c:yVal>
          <c:smooth val="1"/>
          <c:extLst>
            <c:ext xmlns:c16="http://schemas.microsoft.com/office/drawing/2014/chart" uri="{C3380CC4-5D6E-409C-BE32-E72D297353CC}">
              <c16:uniqueId val="{00000001-5D61-6E4D-B617-C094FE86A044}"/>
            </c:ext>
          </c:extLst>
        </c:ser>
        <c:ser>
          <c:idx val="1"/>
          <c:order val="2"/>
          <c:tx>
            <c:v>early r m early</c:v>
          </c:tx>
          <c:spPr>
            <a:ln w="15875">
              <a:solidFill>
                <a:srgbClr val="008000"/>
              </a:solidFill>
              <a:prstDash val="lgDash"/>
            </a:ln>
          </c:spPr>
          <c:marker>
            <c:symbol val="none"/>
          </c:marker>
          <c:xVal>
            <c:numRef>
              <c:f>Africa!$D$20:$D$64</c:f>
              <c:numCache>
                <c:formatCode>General</c:formatCode>
                <c:ptCount val="4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numCache>
            </c:numRef>
          </c:xVal>
          <c:yVal>
            <c:numRef>
              <c:f>Africa!$I$20:$I$64</c:f>
              <c:numCache>
                <c:formatCode>#,##0.0</c:formatCode>
                <c:ptCount val="45"/>
                <c:pt idx="0">
                  <c:v>-852.13195792020997</c:v>
                </c:pt>
                <c:pt idx="1">
                  <c:v>-789.91672111451953</c:v>
                </c:pt>
                <c:pt idx="2">
                  <c:v>-733.2320551404373</c:v>
                </c:pt>
                <c:pt idx="3">
                  <c:v>-530.1316538797455</c:v>
                </c:pt>
                <c:pt idx="4">
                  <c:v>-438.3486214800032</c:v>
                </c:pt>
                <c:pt idx="5">
                  <c:v>-371.2752057177313</c:v>
                </c:pt>
                <c:pt idx="6">
                  <c:v>-318.65770849338332</c:v>
                </c:pt>
                <c:pt idx="7">
                  <c:v>-279.5697732661265</c:v>
                </c:pt>
                <c:pt idx="8">
                  <c:v>-243.33749460126091</c:v>
                </c:pt>
                <c:pt idx="9">
                  <c:v>-220.63725193226674</c:v>
                </c:pt>
                <c:pt idx="10">
                  <c:v>-219.84128410051198</c:v>
                </c:pt>
                <c:pt idx="11">
                  <c:v>-212.1769013774101</c:v>
                </c:pt>
                <c:pt idx="12">
                  <c:v>-198.40174048763947</c:v>
                </c:pt>
                <c:pt idx="13">
                  <c:v>-180.43013878242891</c:v>
                </c:pt>
                <c:pt idx="14">
                  <c:v>-163.7058135848456</c:v>
                </c:pt>
                <c:pt idx="15">
                  <c:v>-147.41093451459346</c:v>
                </c:pt>
                <c:pt idx="16">
                  <c:v>-131.85036324174052</c:v>
                </c:pt>
                <c:pt idx="17">
                  <c:v>-117.16612085156066</c:v>
                </c:pt>
                <c:pt idx="18">
                  <c:v>-104.83734200456001</c:v>
                </c:pt>
                <c:pt idx="19">
                  <c:v>-92.115937078886418</c:v>
                </c:pt>
                <c:pt idx="20">
                  <c:v>-79.330326355837315</c:v>
                </c:pt>
                <c:pt idx="21">
                  <c:v>-67.715123069749097</c:v>
                </c:pt>
                <c:pt idx="22">
                  <c:v>-57.123786008820389</c:v>
                </c:pt>
                <c:pt idx="23">
                  <c:v>-47.039962437560462</c:v>
                </c:pt>
                <c:pt idx="24">
                  <c:v>-39.454555555005754</c:v>
                </c:pt>
                <c:pt idx="25">
                  <c:v>-33.725526714921216</c:v>
                </c:pt>
                <c:pt idx="26">
                  <c:v>-26.004438920421308</c:v>
                </c:pt>
                <c:pt idx="27">
                  <c:v>-19.054811517782582</c:v>
                </c:pt>
                <c:pt idx="28">
                  <c:v>-14.305552599351358</c:v>
                </c:pt>
                <c:pt idx="29">
                  <c:v>-10.095004909846466</c:v>
                </c:pt>
                <c:pt idx="30">
                  <c:v>-4.419969871538342</c:v>
                </c:pt>
                <c:pt idx="31">
                  <c:v>-7.7011172012134921E-2</c:v>
                </c:pt>
                <c:pt idx="32">
                  <c:v>1.0682047963573496</c:v>
                </c:pt>
                <c:pt idx="33">
                  <c:v>4.1776957396214129</c:v>
                </c:pt>
                <c:pt idx="34">
                  <c:v>7.1766800265731945</c:v>
                </c:pt>
                <c:pt idx="35">
                  <c:v>9.9689064554513607</c:v>
                </c:pt>
                <c:pt idx="36">
                  <c:v>12.880656053303937</c:v>
                </c:pt>
                <c:pt idx="37">
                  <c:v>14.692610153918395</c:v>
                </c:pt>
                <c:pt idx="38">
                  <c:v>15.989973084145277</c:v>
                </c:pt>
                <c:pt idx="39">
                  <c:v>16.93868418715374</c:v>
                </c:pt>
                <c:pt idx="40">
                  <c:v>16.555183950573337</c:v>
                </c:pt>
                <c:pt idx="41">
                  <c:v>14.284279424222404</c:v>
                </c:pt>
                <c:pt idx="42">
                  <c:v>10.797950352018233</c:v>
                </c:pt>
                <c:pt idx="43">
                  <c:v>7.5876849031728852</c:v>
                </c:pt>
                <c:pt idx="44">
                  <c:v>5.3268455287025063</c:v>
                </c:pt>
              </c:numCache>
            </c:numRef>
          </c:yVal>
          <c:smooth val="1"/>
          <c:extLst>
            <c:ext xmlns:c16="http://schemas.microsoft.com/office/drawing/2014/chart" uri="{C3380CC4-5D6E-409C-BE32-E72D297353CC}">
              <c16:uniqueId val="{00000002-5D61-6E4D-B617-C094FE86A044}"/>
            </c:ext>
          </c:extLst>
        </c:ser>
        <c:dLbls>
          <c:showLegendKey val="0"/>
          <c:showVal val="0"/>
          <c:showCatName val="0"/>
          <c:showSerName val="0"/>
          <c:showPercent val="0"/>
          <c:showBubbleSize val="0"/>
        </c:dLbls>
        <c:axId val="134609920"/>
        <c:axId val="134615808"/>
      </c:scatterChart>
      <c:valAx>
        <c:axId val="134609920"/>
        <c:scaling>
          <c:orientation val="minMax"/>
          <c:max val="2020"/>
          <c:min val="1910"/>
        </c:scaling>
        <c:delete val="0"/>
        <c:axPos val="b"/>
        <c:numFmt formatCode="General" sourceLinked="1"/>
        <c:majorTickMark val="in"/>
        <c:minorTickMark val="in"/>
        <c:tickLblPos val="nextTo"/>
        <c:spPr>
          <a:ln>
            <a:solidFill>
              <a:srgbClr val="333399"/>
            </a:solidFill>
          </a:ln>
        </c:spPr>
        <c:crossAx val="134615808"/>
        <c:crossesAt val="-100"/>
        <c:crossBetween val="midCat"/>
        <c:majorUnit val="50"/>
        <c:minorUnit val="10"/>
      </c:valAx>
      <c:valAx>
        <c:axId val="134615808"/>
        <c:scaling>
          <c:orientation val="minMax"/>
          <c:max val="20"/>
          <c:min val="-20"/>
        </c:scaling>
        <c:delete val="0"/>
        <c:axPos val="r"/>
        <c:title>
          <c:tx>
            <c:rich>
              <a:bodyPr rot="-5400000" vert="horz"/>
              <a:lstStyle/>
              <a:p>
                <a:pPr>
                  <a:defRPr b="0"/>
                </a:pPr>
                <a:r>
                  <a:rPr lang="en-US" b="0"/>
                  <a:t>Residual</a:t>
                </a:r>
                <a:r>
                  <a:rPr lang="en-US" b="0" baseline="0"/>
                  <a:t>, months</a:t>
                </a:r>
                <a:endParaRPr lang="en-US" b="0"/>
              </a:p>
            </c:rich>
          </c:tx>
          <c:layout>
            <c:manualLayout>
              <c:xMode val="edge"/>
              <c:yMode val="edge"/>
              <c:x val="0.96179660875723849"/>
              <c:y val="0.2376192038495189"/>
            </c:manualLayout>
          </c:layout>
          <c:overlay val="0"/>
        </c:title>
        <c:numFmt formatCode="0" sourceLinked="0"/>
        <c:majorTickMark val="in"/>
        <c:minorTickMark val="in"/>
        <c:tickLblPos val="nextTo"/>
        <c:spPr>
          <a:ln>
            <a:solidFill>
              <a:srgbClr val="333399"/>
            </a:solidFill>
          </a:ln>
        </c:spPr>
        <c:crossAx val="134609920"/>
        <c:crosses val="max"/>
        <c:crossBetween val="midCat"/>
        <c:majorUnit val="10"/>
        <c:minorUnit val="5"/>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673518082966849"/>
          <c:h val="0.77264654418197765"/>
        </c:manualLayout>
      </c:layout>
      <c:scatterChart>
        <c:scatterStyle val="smoothMarker"/>
        <c:varyColors val="0"/>
        <c:ser>
          <c:idx val="2"/>
          <c:order val="0"/>
          <c:tx>
            <c:v>Current long-term fit</c:v>
          </c:tx>
          <c:spPr>
            <a:ln w="15875">
              <a:solidFill>
                <a:srgbClr val="808080"/>
              </a:solidFill>
              <a:prstDash val="solid"/>
            </a:ln>
          </c:spPr>
          <c:marker>
            <c:symbol val="none"/>
          </c:marker>
          <c:xVal>
            <c:numLit>
              <c:formatCode>General</c:formatCode>
              <c:ptCount val="2"/>
              <c:pt idx="0">
                <c:v>1995</c:v>
              </c:pt>
              <c:pt idx="1">
                <c:v>2009</c:v>
              </c:pt>
            </c:numLit>
          </c:xVal>
          <c:yVal>
            <c:numRef>
              <c:f>(Africa!$F$1,Africa!$F$1)</c:f>
              <c:numCache>
                <c:formatCode>0.0</c:formatCode>
                <c:ptCount val="2"/>
                <c:pt idx="0">
                  <c:v>18.004250533319471</c:v>
                </c:pt>
                <c:pt idx="1">
                  <c:v>18.004250533319471</c:v>
                </c:pt>
              </c:numCache>
            </c:numRef>
          </c:yVal>
          <c:smooth val="1"/>
          <c:extLst>
            <c:ext xmlns:c16="http://schemas.microsoft.com/office/drawing/2014/chart" uri="{C3380CC4-5D6E-409C-BE32-E72D297353CC}">
              <c16:uniqueId val="{00000000-0490-3E43-844B-1DF6B9AB38C5}"/>
            </c:ext>
          </c:extLst>
        </c:ser>
        <c:ser>
          <c:idx val="0"/>
          <c:order val="1"/>
          <c:tx>
            <c:strRef>
              <c:f>Africa!$F$17</c:f>
              <c:strCache>
                <c:ptCount val="1"/>
                <c:pt idx="0">
                  <c:v>q Gt</c:v>
                </c:pt>
              </c:strCache>
            </c:strRef>
          </c:tx>
          <c:spPr>
            <a:ln w="15875">
              <a:solidFill>
                <a:srgbClr val="008000"/>
              </a:solidFill>
            </a:ln>
          </c:spPr>
          <c:marker>
            <c:symbol val="none"/>
          </c:marker>
          <c:xVal>
            <c:numRef>
              <c:f>Africa!$D$19:$D$188</c:f>
              <c:numCache>
                <c:formatCode>General</c:formatCode>
                <c:ptCount val="170"/>
                <c:pt idx="0">
                  <c:v>1889</c:v>
                </c:pt>
                <c:pt idx="1">
                  <c:v>1890</c:v>
                </c:pt>
                <c:pt idx="2">
                  <c:v>1891</c:v>
                </c:pt>
                <c:pt idx="3">
                  <c:v>1892</c:v>
                </c:pt>
                <c:pt idx="4">
                  <c:v>1893</c:v>
                </c:pt>
                <c:pt idx="5">
                  <c:v>1894</c:v>
                </c:pt>
                <c:pt idx="6">
                  <c:v>1895</c:v>
                </c:pt>
                <c:pt idx="7">
                  <c:v>1896</c:v>
                </c:pt>
                <c:pt idx="8">
                  <c:v>1897</c:v>
                </c:pt>
                <c:pt idx="9">
                  <c:v>1898</c:v>
                </c:pt>
                <c:pt idx="10">
                  <c:v>1899</c:v>
                </c:pt>
                <c:pt idx="11">
                  <c:v>1900</c:v>
                </c:pt>
                <c:pt idx="12">
                  <c:v>1901</c:v>
                </c:pt>
                <c:pt idx="13">
                  <c:v>1902</c:v>
                </c:pt>
                <c:pt idx="14">
                  <c:v>1903</c:v>
                </c:pt>
                <c:pt idx="15">
                  <c:v>1904</c:v>
                </c:pt>
                <c:pt idx="16">
                  <c:v>1905</c:v>
                </c:pt>
                <c:pt idx="17">
                  <c:v>1906</c:v>
                </c:pt>
                <c:pt idx="18">
                  <c:v>1907</c:v>
                </c:pt>
                <c:pt idx="19">
                  <c:v>1908</c:v>
                </c:pt>
                <c:pt idx="20">
                  <c:v>1909</c:v>
                </c:pt>
                <c:pt idx="21">
                  <c:v>1910</c:v>
                </c:pt>
                <c:pt idx="22">
                  <c:v>1911</c:v>
                </c:pt>
                <c:pt idx="23">
                  <c:v>1912</c:v>
                </c:pt>
                <c:pt idx="24">
                  <c:v>1913</c:v>
                </c:pt>
                <c:pt idx="25">
                  <c:v>1914</c:v>
                </c:pt>
                <c:pt idx="26">
                  <c:v>1915</c:v>
                </c:pt>
                <c:pt idx="27">
                  <c:v>1916</c:v>
                </c:pt>
                <c:pt idx="28">
                  <c:v>1917</c:v>
                </c:pt>
                <c:pt idx="29">
                  <c:v>1918</c:v>
                </c:pt>
                <c:pt idx="30">
                  <c:v>1919</c:v>
                </c:pt>
                <c:pt idx="31">
                  <c:v>1920</c:v>
                </c:pt>
                <c:pt idx="32">
                  <c:v>1921</c:v>
                </c:pt>
                <c:pt idx="33">
                  <c:v>1922</c:v>
                </c:pt>
                <c:pt idx="34">
                  <c:v>1923</c:v>
                </c:pt>
                <c:pt idx="35">
                  <c:v>1924</c:v>
                </c:pt>
                <c:pt idx="36">
                  <c:v>1925</c:v>
                </c:pt>
                <c:pt idx="37">
                  <c:v>1926</c:v>
                </c:pt>
                <c:pt idx="38">
                  <c:v>1927</c:v>
                </c:pt>
                <c:pt idx="39">
                  <c:v>1928</c:v>
                </c:pt>
                <c:pt idx="40">
                  <c:v>1929</c:v>
                </c:pt>
                <c:pt idx="41">
                  <c:v>1930</c:v>
                </c:pt>
                <c:pt idx="42">
                  <c:v>1931</c:v>
                </c:pt>
                <c:pt idx="43">
                  <c:v>1932</c:v>
                </c:pt>
                <c:pt idx="44">
                  <c:v>1933</c:v>
                </c:pt>
                <c:pt idx="45">
                  <c:v>1934</c:v>
                </c:pt>
                <c:pt idx="46">
                  <c:v>1935</c:v>
                </c:pt>
                <c:pt idx="47">
                  <c:v>1936</c:v>
                </c:pt>
                <c:pt idx="48">
                  <c:v>1937</c:v>
                </c:pt>
                <c:pt idx="49">
                  <c:v>1938</c:v>
                </c:pt>
                <c:pt idx="50">
                  <c:v>1939</c:v>
                </c:pt>
                <c:pt idx="51">
                  <c:v>1940</c:v>
                </c:pt>
                <c:pt idx="52">
                  <c:v>1941</c:v>
                </c:pt>
                <c:pt idx="53">
                  <c:v>1942</c:v>
                </c:pt>
                <c:pt idx="54">
                  <c:v>1943</c:v>
                </c:pt>
                <c:pt idx="55">
                  <c:v>1944</c:v>
                </c:pt>
                <c:pt idx="56">
                  <c:v>1945</c:v>
                </c:pt>
                <c:pt idx="57">
                  <c:v>1946</c:v>
                </c:pt>
                <c:pt idx="58">
                  <c:v>1947</c:v>
                </c:pt>
                <c:pt idx="59">
                  <c:v>1948</c:v>
                </c:pt>
                <c:pt idx="60">
                  <c:v>1949</c:v>
                </c:pt>
                <c:pt idx="61">
                  <c:v>1950</c:v>
                </c:pt>
                <c:pt idx="62">
                  <c:v>1951</c:v>
                </c:pt>
                <c:pt idx="63">
                  <c:v>1952</c:v>
                </c:pt>
                <c:pt idx="64">
                  <c:v>1953</c:v>
                </c:pt>
                <c:pt idx="65">
                  <c:v>1954</c:v>
                </c:pt>
                <c:pt idx="66">
                  <c:v>1955</c:v>
                </c:pt>
                <c:pt idx="67">
                  <c:v>1956</c:v>
                </c:pt>
                <c:pt idx="68">
                  <c:v>1957</c:v>
                </c:pt>
                <c:pt idx="69">
                  <c:v>1958</c:v>
                </c:pt>
                <c:pt idx="70">
                  <c:v>1959</c:v>
                </c:pt>
                <c:pt idx="71">
                  <c:v>1960</c:v>
                </c:pt>
                <c:pt idx="72">
                  <c:v>1961</c:v>
                </c:pt>
                <c:pt idx="73">
                  <c:v>1962</c:v>
                </c:pt>
                <c:pt idx="74">
                  <c:v>1963</c:v>
                </c:pt>
                <c:pt idx="75">
                  <c:v>1964</c:v>
                </c:pt>
                <c:pt idx="76">
                  <c:v>1965</c:v>
                </c:pt>
                <c:pt idx="77">
                  <c:v>1966</c:v>
                </c:pt>
                <c:pt idx="78">
                  <c:v>1967</c:v>
                </c:pt>
                <c:pt idx="79">
                  <c:v>1968</c:v>
                </c:pt>
                <c:pt idx="80">
                  <c:v>1969</c:v>
                </c:pt>
                <c:pt idx="81">
                  <c:v>1970</c:v>
                </c:pt>
                <c:pt idx="82">
                  <c:v>1971</c:v>
                </c:pt>
                <c:pt idx="83">
                  <c:v>1972</c:v>
                </c:pt>
                <c:pt idx="84">
                  <c:v>1973</c:v>
                </c:pt>
                <c:pt idx="85">
                  <c:v>1974</c:v>
                </c:pt>
                <c:pt idx="86">
                  <c:v>1975</c:v>
                </c:pt>
                <c:pt idx="87">
                  <c:v>1976</c:v>
                </c:pt>
                <c:pt idx="88">
                  <c:v>1977</c:v>
                </c:pt>
                <c:pt idx="89">
                  <c:v>1978</c:v>
                </c:pt>
                <c:pt idx="90">
                  <c:v>1979</c:v>
                </c:pt>
                <c:pt idx="91">
                  <c:v>1980</c:v>
                </c:pt>
                <c:pt idx="92">
                  <c:v>1981</c:v>
                </c:pt>
                <c:pt idx="93">
                  <c:v>1982</c:v>
                </c:pt>
                <c:pt idx="94">
                  <c:v>1983</c:v>
                </c:pt>
                <c:pt idx="95">
                  <c:v>1984</c:v>
                </c:pt>
                <c:pt idx="96">
                  <c:v>1985</c:v>
                </c:pt>
                <c:pt idx="97">
                  <c:v>1986</c:v>
                </c:pt>
                <c:pt idx="98">
                  <c:v>1987</c:v>
                </c:pt>
                <c:pt idx="99">
                  <c:v>1988</c:v>
                </c:pt>
                <c:pt idx="100">
                  <c:v>1989</c:v>
                </c:pt>
                <c:pt idx="101">
                  <c:v>1990</c:v>
                </c:pt>
                <c:pt idx="102">
                  <c:v>1991</c:v>
                </c:pt>
                <c:pt idx="103">
                  <c:v>1992</c:v>
                </c:pt>
                <c:pt idx="104">
                  <c:v>1993</c:v>
                </c:pt>
                <c:pt idx="105">
                  <c:v>1994</c:v>
                </c:pt>
                <c:pt idx="106">
                  <c:v>1995</c:v>
                </c:pt>
                <c:pt idx="107">
                  <c:v>1996</c:v>
                </c:pt>
                <c:pt idx="108">
                  <c:v>1997</c:v>
                </c:pt>
                <c:pt idx="109">
                  <c:v>1998</c:v>
                </c:pt>
                <c:pt idx="110">
                  <c:v>1999</c:v>
                </c:pt>
                <c:pt idx="111">
                  <c:v>2000</c:v>
                </c:pt>
                <c:pt idx="112">
                  <c:v>2001</c:v>
                </c:pt>
                <c:pt idx="113">
                  <c:v>2002</c:v>
                </c:pt>
                <c:pt idx="114">
                  <c:v>2003</c:v>
                </c:pt>
                <c:pt idx="115">
                  <c:v>2004</c:v>
                </c:pt>
                <c:pt idx="116">
                  <c:v>2005</c:v>
                </c:pt>
                <c:pt idx="117">
                  <c:v>2006</c:v>
                </c:pt>
                <c:pt idx="118">
                  <c:v>2007</c:v>
                </c:pt>
                <c:pt idx="119">
                  <c:v>2008</c:v>
                </c:pt>
                <c:pt idx="120">
                  <c:v>2009</c:v>
                </c:pt>
                <c:pt idx="121">
                  <c:v>2010</c:v>
                </c:pt>
                <c:pt idx="122">
                  <c:v>2011</c:v>
                </c:pt>
                <c:pt idx="123">
                  <c:v>2012</c:v>
                </c:pt>
                <c:pt idx="124">
                  <c:v>2013</c:v>
                </c:pt>
                <c:pt idx="125">
                  <c:v>2014</c:v>
                </c:pt>
                <c:pt idx="126">
                  <c:v>2015</c:v>
                </c:pt>
                <c:pt idx="127">
                  <c:v>2016</c:v>
                </c:pt>
                <c:pt idx="128">
                  <c:v>2017</c:v>
                </c:pt>
                <c:pt idx="129">
                  <c:v>2018</c:v>
                </c:pt>
                <c:pt idx="130">
                  <c:v>2019</c:v>
                </c:pt>
                <c:pt idx="131">
                  <c:v>2020</c:v>
                </c:pt>
                <c:pt idx="132">
                  <c:v>2021</c:v>
                </c:pt>
                <c:pt idx="133">
                  <c:v>2022</c:v>
                </c:pt>
                <c:pt idx="134">
                  <c:v>2023</c:v>
                </c:pt>
                <c:pt idx="135">
                  <c:v>2024</c:v>
                </c:pt>
                <c:pt idx="136">
                  <c:v>2025</c:v>
                </c:pt>
                <c:pt idx="137">
                  <c:v>2026</c:v>
                </c:pt>
                <c:pt idx="138">
                  <c:v>2027</c:v>
                </c:pt>
                <c:pt idx="139">
                  <c:v>2028</c:v>
                </c:pt>
                <c:pt idx="140">
                  <c:v>2029</c:v>
                </c:pt>
                <c:pt idx="141">
                  <c:v>2030</c:v>
                </c:pt>
                <c:pt idx="142">
                  <c:v>2031</c:v>
                </c:pt>
                <c:pt idx="143">
                  <c:v>2032</c:v>
                </c:pt>
                <c:pt idx="144">
                  <c:v>2033</c:v>
                </c:pt>
                <c:pt idx="145">
                  <c:v>2034</c:v>
                </c:pt>
                <c:pt idx="146">
                  <c:v>2035</c:v>
                </c:pt>
                <c:pt idx="147">
                  <c:v>2036</c:v>
                </c:pt>
                <c:pt idx="148">
                  <c:v>2037</c:v>
                </c:pt>
                <c:pt idx="149">
                  <c:v>2038</c:v>
                </c:pt>
                <c:pt idx="150">
                  <c:v>2039</c:v>
                </c:pt>
                <c:pt idx="151">
                  <c:v>2040</c:v>
                </c:pt>
                <c:pt idx="152">
                  <c:v>2041</c:v>
                </c:pt>
                <c:pt idx="153">
                  <c:v>2042</c:v>
                </c:pt>
                <c:pt idx="154">
                  <c:v>2043</c:v>
                </c:pt>
                <c:pt idx="155">
                  <c:v>2044</c:v>
                </c:pt>
                <c:pt idx="156">
                  <c:v>2045</c:v>
                </c:pt>
                <c:pt idx="157">
                  <c:v>2046</c:v>
                </c:pt>
                <c:pt idx="158">
                  <c:v>2047</c:v>
                </c:pt>
                <c:pt idx="159">
                  <c:v>2048</c:v>
                </c:pt>
                <c:pt idx="160">
                  <c:v>2049</c:v>
                </c:pt>
                <c:pt idx="161">
                  <c:v>2050</c:v>
                </c:pt>
                <c:pt idx="162">
                  <c:v>2051</c:v>
                </c:pt>
                <c:pt idx="163">
                  <c:v>2052</c:v>
                </c:pt>
                <c:pt idx="164">
                  <c:v>2053</c:v>
                </c:pt>
                <c:pt idx="165">
                  <c:v>2054</c:v>
                </c:pt>
                <c:pt idx="166">
                  <c:v>2055</c:v>
                </c:pt>
                <c:pt idx="167">
                  <c:v>2056</c:v>
                </c:pt>
                <c:pt idx="168">
                  <c:v>2057</c:v>
                </c:pt>
                <c:pt idx="169">
                  <c:v>2058</c:v>
                </c:pt>
              </c:numCache>
            </c:numRef>
          </c:xVal>
          <c:yVal>
            <c:numRef>
              <c:f>Africa!$F$19:$F$188</c:f>
              <c:numCache>
                <c:formatCode>0.0</c:formatCode>
                <c:ptCount val="170"/>
                <c:pt idx="0">
                  <c:v>1.2999999999999999E-5</c:v>
                </c:pt>
                <c:pt idx="1">
                  <c:v>5.3999999999999998E-5</c:v>
                </c:pt>
                <c:pt idx="2">
                  <c:v>9.8999999999999994E-5</c:v>
                </c:pt>
                <c:pt idx="3">
                  <c:v>1.7099999999999998E-4</c:v>
                </c:pt>
                <c:pt idx="4">
                  <c:v>8.6600000000000002E-4</c:v>
                </c:pt>
                <c:pt idx="5">
                  <c:v>1.805E-3</c:v>
                </c:pt>
                <c:pt idx="6">
                  <c:v>3.0930000000000003E-3</c:v>
                </c:pt>
                <c:pt idx="7">
                  <c:v>4.7390000000000002E-3</c:v>
                </c:pt>
                <c:pt idx="8">
                  <c:v>6.5840000000000004E-3</c:v>
                </c:pt>
                <c:pt idx="9">
                  <c:v>8.9189999999999998E-3</c:v>
                </c:pt>
                <c:pt idx="10">
                  <c:v>1.1049999999999999E-2</c:v>
                </c:pt>
                <c:pt idx="11">
                  <c:v>1.1947999999999999E-2</c:v>
                </c:pt>
                <c:pt idx="12">
                  <c:v>1.3459999999999998E-2</c:v>
                </c:pt>
                <c:pt idx="13">
                  <c:v>1.5708999999999997E-2</c:v>
                </c:pt>
                <c:pt idx="14">
                  <c:v>1.8755999999999998E-2</c:v>
                </c:pt>
                <c:pt idx="15">
                  <c:v>2.2175999999999998E-2</c:v>
                </c:pt>
                <c:pt idx="16">
                  <c:v>2.6093999999999999E-2</c:v>
                </c:pt>
                <c:pt idx="17">
                  <c:v>3.0508E-2</c:v>
                </c:pt>
                <c:pt idx="18">
                  <c:v>3.5418999999999999E-2</c:v>
                </c:pt>
                <c:pt idx="19">
                  <c:v>4.0510999999999998E-2</c:v>
                </c:pt>
                <c:pt idx="20">
                  <c:v>4.6355999999999994E-2</c:v>
                </c:pt>
                <c:pt idx="21">
                  <c:v>5.2970999999999997E-2</c:v>
                </c:pt>
                <c:pt idx="22">
                  <c:v>6.0052999999999995E-2</c:v>
                </c:pt>
                <c:pt idx="23">
                  <c:v>6.7612999999999993E-2</c:v>
                </c:pt>
                <c:pt idx="24">
                  <c:v>7.5816999999999996E-2</c:v>
                </c:pt>
                <c:pt idx="25">
                  <c:v>8.3825999999999998E-2</c:v>
                </c:pt>
                <c:pt idx="26">
                  <c:v>9.1717999999999994E-2</c:v>
                </c:pt>
                <c:pt idx="27">
                  <c:v>0.101268</c:v>
                </c:pt>
                <c:pt idx="28">
                  <c:v>0.111266</c:v>
                </c:pt>
                <c:pt idx="29">
                  <c:v>0.120821</c:v>
                </c:pt>
                <c:pt idx="30">
                  <c:v>0.13075200000000001</c:v>
                </c:pt>
                <c:pt idx="31">
                  <c:v>0.14239400000000002</c:v>
                </c:pt>
                <c:pt idx="32">
                  <c:v>0.15396000000000001</c:v>
                </c:pt>
                <c:pt idx="33">
                  <c:v>0.16385300000000003</c:v>
                </c:pt>
                <c:pt idx="34">
                  <c:v>0.17590800000000004</c:v>
                </c:pt>
                <c:pt idx="35">
                  <c:v>0.18863400000000002</c:v>
                </c:pt>
                <c:pt idx="36">
                  <c:v>0.20196300000000003</c:v>
                </c:pt>
                <c:pt idx="37">
                  <c:v>0.21622100000000002</c:v>
                </c:pt>
                <c:pt idx="38">
                  <c:v>0.23019800000000001</c:v>
                </c:pt>
                <c:pt idx="39">
                  <c:v>0.24438600000000002</c:v>
                </c:pt>
                <c:pt idx="40">
                  <c:v>0.25892100000000001</c:v>
                </c:pt>
                <c:pt idx="41">
                  <c:v>0.272588</c:v>
                </c:pt>
                <c:pt idx="42">
                  <c:v>0.28450700000000001</c:v>
                </c:pt>
                <c:pt idx="43">
                  <c:v>0.29530100000000004</c:v>
                </c:pt>
                <c:pt idx="44">
                  <c:v>0.30681100000000006</c:v>
                </c:pt>
                <c:pt idx="45">
                  <c:v>0.32001000000000007</c:v>
                </c:pt>
                <c:pt idx="46">
                  <c:v>0.33465800000000007</c:v>
                </c:pt>
                <c:pt idx="47">
                  <c:v>0.35058800000000007</c:v>
                </c:pt>
                <c:pt idx="48">
                  <c:v>0.36759900000000006</c:v>
                </c:pt>
                <c:pt idx="49">
                  <c:v>0.38546100000000005</c:v>
                </c:pt>
                <c:pt idx="50">
                  <c:v>0.40395700000000007</c:v>
                </c:pt>
                <c:pt idx="51">
                  <c:v>0.42329900000000009</c:v>
                </c:pt>
                <c:pt idx="52">
                  <c:v>0.44402900000000012</c:v>
                </c:pt>
                <c:pt idx="53">
                  <c:v>0.46678500000000012</c:v>
                </c:pt>
                <c:pt idx="54">
                  <c:v>0.48996300000000009</c:v>
                </c:pt>
                <c:pt idx="55">
                  <c:v>0.5157560000000001</c:v>
                </c:pt>
                <c:pt idx="56">
                  <c:v>0.54190300000000013</c:v>
                </c:pt>
                <c:pt idx="57">
                  <c:v>0.56829000000000018</c:v>
                </c:pt>
                <c:pt idx="58">
                  <c:v>0.59480000000000022</c:v>
                </c:pt>
                <c:pt idx="59">
                  <c:v>0.62177000000000027</c:v>
                </c:pt>
                <c:pt idx="60">
                  <c:v>0.65051600000000032</c:v>
                </c:pt>
                <c:pt idx="61">
                  <c:v>0.68055100000000035</c:v>
                </c:pt>
                <c:pt idx="62">
                  <c:v>0.71098000000000039</c:v>
                </c:pt>
                <c:pt idx="63">
                  <c:v>0.74329100000000037</c:v>
                </c:pt>
                <c:pt idx="64">
                  <c:v>0.77641600000000033</c:v>
                </c:pt>
                <c:pt idx="65">
                  <c:v>0.81043500000000035</c:v>
                </c:pt>
                <c:pt idx="66">
                  <c:v>0.84807900000000036</c:v>
                </c:pt>
                <c:pt idx="67">
                  <c:v>0.88746100000000039</c:v>
                </c:pt>
                <c:pt idx="68">
                  <c:v>0.92837100000000039</c:v>
                </c:pt>
                <c:pt idx="69">
                  <c:v>0.97113600000000044</c:v>
                </c:pt>
                <c:pt idx="70">
                  <c:v>1.0132130000000004</c:v>
                </c:pt>
                <c:pt idx="71">
                  <c:v>1.0564920000000004</c:v>
                </c:pt>
                <c:pt idx="72">
                  <c:v>1.1006200000000004</c:v>
                </c:pt>
                <c:pt idx="73">
                  <c:v>1.1461580000000005</c:v>
                </c:pt>
                <c:pt idx="74">
                  <c:v>1.1927470000000004</c:v>
                </c:pt>
                <c:pt idx="75">
                  <c:v>1.2422020000000005</c:v>
                </c:pt>
                <c:pt idx="76">
                  <c:v>1.2957560000000006</c:v>
                </c:pt>
                <c:pt idx="77">
                  <c:v>1.3488120000000006</c:v>
                </c:pt>
                <c:pt idx="78">
                  <c:v>1.4027660000000006</c:v>
                </c:pt>
                <c:pt idx="79">
                  <c:v>1.4593270000000007</c:v>
                </c:pt>
                <c:pt idx="80">
                  <c:v>1.5164130000000007</c:v>
                </c:pt>
                <c:pt idx="81">
                  <c:v>1.5759150000000006</c:v>
                </c:pt>
                <c:pt idx="82">
                  <c:v>1.6397590000000006</c:v>
                </c:pt>
                <c:pt idx="83">
                  <c:v>1.7034150000000006</c:v>
                </c:pt>
                <c:pt idx="84">
                  <c:v>1.7713580000000007</c:v>
                </c:pt>
                <c:pt idx="85">
                  <c:v>1.8415680000000005</c:v>
                </c:pt>
                <c:pt idx="86">
                  <c:v>1.9160920000000006</c:v>
                </c:pt>
                <c:pt idx="87">
                  <c:v>1.9978780000000005</c:v>
                </c:pt>
                <c:pt idx="88">
                  <c:v>2.0905540000000005</c:v>
                </c:pt>
                <c:pt idx="89">
                  <c:v>2.1865130000000006</c:v>
                </c:pt>
                <c:pt idx="90">
                  <c:v>2.2974920000000005</c:v>
                </c:pt>
                <c:pt idx="91">
                  <c:v>2.4190200000000006</c:v>
                </c:pt>
                <c:pt idx="92">
                  <c:v>2.5549600000000008</c:v>
                </c:pt>
                <c:pt idx="93">
                  <c:v>2.7041530000000007</c:v>
                </c:pt>
                <c:pt idx="94">
                  <c:v>2.8551560000000009</c:v>
                </c:pt>
                <c:pt idx="95">
                  <c:v>3.0234870000000007</c:v>
                </c:pt>
                <c:pt idx="96">
                  <c:v>3.2024780000000006</c:v>
                </c:pt>
                <c:pt idx="97">
                  <c:v>3.3856910000000005</c:v>
                </c:pt>
                <c:pt idx="98">
                  <c:v>3.5693730000000006</c:v>
                </c:pt>
                <c:pt idx="99">
                  <c:v>3.7581560000000005</c:v>
                </c:pt>
                <c:pt idx="100">
                  <c:v>3.9417810000000006</c:v>
                </c:pt>
                <c:pt idx="101">
                  <c:v>4.1243470000000002</c:v>
                </c:pt>
                <c:pt idx="102">
                  <c:v>4.3107850000000001</c:v>
                </c:pt>
                <c:pt idx="103">
                  <c:v>4.4931530000000004</c:v>
                </c:pt>
                <c:pt idx="104">
                  <c:v>4.6829650000000003</c:v>
                </c:pt>
                <c:pt idx="105">
                  <c:v>4.8865780000000001</c:v>
                </c:pt>
                <c:pt idx="106">
                  <c:v>5.1007009999999999</c:v>
                </c:pt>
                <c:pt idx="107">
                  <c:v>5.3142560000000003</c:v>
                </c:pt>
                <c:pt idx="108">
                  <c:v>5.5414310000000002</c:v>
                </c:pt>
                <c:pt idx="109">
                  <c:v>5.7740670000000005</c:v>
                </c:pt>
                <c:pt idx="110">
                  <c:v>6.0035130000000008</c:v>
                </c:pt>
                <c:pt idx="111">
                  <c:v>6.2340590000000011</c:v>
                </c:pt>
                <c:pt idx="112">
                  <c:v>6.4642655330000007</c:v>
                </c:pt>
                <c:pt idx="113">
                  <c:v>6.6905556730000004</c:v>
                </c:pt>
                <c:pt idx="114">
                  <c:v>6.9338316440000005</c:v>
                </c:pt>
                <c:pt idx="115">
                  <c:v>7.1831178430000007</c:v>
                </c:pt>
                <c:pt idx="116">
                  <c:v>7.4322803790000007</c:v>
                </c:pt>
                <c:pt idx="117">
                  <c:v>7.6811128940000009</c:v>
                </c:pt>
                <c:pt idx="118">
                  <c:v>7.9326209960000007</c:v>
                </c:pt>
                <c:pt idx="119">
                  <c:v>8.1886626960000015</c:v>
                </c:pt>
                <c:pt idx="120">
                  <c:v>8.4421173960000022</c:v>
                </c:pt>
              </c:numCache>
            </c:numRef>
          </c:yVal>
          <c:smooth val="1"/>
          <c:extLst>
            <c:ext xmlns:c16="http://schemas.microsoft.com/office/drawing/2014/chart" uri="{C3380CC4-5D6E-409C-BE32-E72D297353CC}">
              <c16:uniqueId val="{00000001-0490-3E43-844B-1DF6B9AB38C5}"/>
            </c:ext>
          </c:extLst>
        </c:ser>
        <c:ser>
          <c:idx val="1"/>
          <c:order val="2"/>
          <c:tx>
            <c:strRef>
              <c:f>Africa!$J$17</c:f>
              <c:strCache>
                <c:ptCount val="1"/>
                <c:pt idx="0">
                  <c:v>q p</c:v>
                </c:pt>
              </c:strCache>
            </c:strRef>
          </c:tx>
          <c:spPr>
            <a:ln w="15875">
              <a:solidFill>
                <a:srgbClr val="808080"/>
              </a:solidFill>
              <a:prstDash val="dash"/>
            </a:ln>
          </c:spPr>
          <c:marker>
            <c:symbol val="none"/>
          </c:marker>
          <c:xVal>
            <c:numRef>
              <c:f>Africa!$D$19:$D$288</c:f>
              <c:numCache>
                <c:formatCode>General</c:formatCode>
                <c:ptCount val="270"/>
                <c:pt idx="0">
                  <c:v>1889</c:v>
                </c:pt>
                <c:pt idx="1">
                  <c:v>1890</c:v>
                </c:pt>
                <c:pt idx="2">
                  <c:v>1891</c:v>
                </c:pt>
                <c:pt idx="3">
                  <c:v>1892</c:v>
                </c:pt>
                <c:pt idx="4">
                  <c:v>1893</c:v>
                </c:pt>
                <c:pt idx="5">
                  <c:v>1894</c:v>
                </c:pt>
                <c:pt idx="6">
                  <c:v>1895</c:v>
                </c:pt>
                <c:pt idx="7">
                  <c:v>1896</c:v>
                </c:pt>
                <c:pt idx="8">
                  <c:v>1897</c:v>
                </c:pt>
                <c:pt idx="9">
                  <c:v>1898</c:v>
                </c:pt>
                <c:pt idx="10">
                  <c:v>1899</c:v>
                </c:pt>
                <c:pt idx="11">
                  <c:v>1900</c:v>
                </c:pt>
                <c:pt idx="12">
                  <c:v>1901</c:v>
                </c:pt>
                <c:pt idx="13">
                  <c:v>1902</c:v>
                </c:pt>
                <c:pt idx="14">
                  <c:v>1903</c:v>
                </c:pt>
                <c:pt idx="15">
                  <c:v>1904</c:v>
                </c:pt>
                <c:pt idx="16">
                  <c:v>1905</c:v>
                </c:pt>
                <c:pt idx="17">
                  <c:v>1906</c:v>
                </c:pt>
                <c:pt idx="18">
                  <c:v>1907</c:v>
                </c:pt>
                <c:pt idx="19">
                  <c:v>1908</c:v>
                </c:pt>
                <c:pt idx="20">
                  <c:v>1909</c:v>
                </c:pt>
                <c:pt idx="21">
                  <c:v>1910</c:v>
                </c:pt>
                <c:pt idx="22">
                  <c:v>1911</c:v>
                </c:pt>
                <c:pt idx="23">
                  <c:v>1912</c:v>
                </c:pt>
                <c:pt idx="24">
                  <c:v>1913</c:v>
                </c:pt>
                <c:pt idx="25">
                  <c:v>1914</c:v>
                </c:pt>
                <c:pt idx="26">
                  <c:v>1915</c:v>
                </c:pt>
                <c:pt idx="27">
                  <c:v>1916</c:v>
                </c:pt>
                <c:pt idx="28">
                  <c:v>1917</c:v>
                </c:pt>
                <c:pt idx="29">
                  <c:v>1918</c:v>
                </c:pt>
                <c:pt idx="30">
                  <c:v>1919</c:v>
                </c:pt>
                <c:pt idx="31">
                  <c:v>1920</c:v>
                </c:pt>
                <c:pt idx="32">
                  <c:v>1921</c:v>
                </c:pt>
                <c:pt idx="33">
                  <c:v>1922</c:v>
                </c:pt>
                <c:pt idx="34">
                  <c:v>1923</c:v>
                </c:pt>
                <c:pt idx="35">
                  <c:v>1924</c:v>
                </c:pt>
                <c:pt idx="36">
                  <c:v>1925</c:v>
                </c:pt>
                <c:pt idx="37">
                  <c:v>1926</c:v>
                </c:pt>
                <c:pt idx="38">
                  <c:v>1927</c:v>
                </c:pt>
                <c:pt idx="39">
                  <c:v>1928</c:v>
                </c:pt>
                <c:pt idx="40">
                  <c:v>1929</c:v>
                </c:pt>
                <c:pt idx="41">
                  <c:v>1930</c:v>
                </c:pt>
                <c:pt idx="42">
                  <c:v>1931</c:v>
                </c:pt>
                <c:pt idx="43">
                  <c:v>1932</c:v>
                </c:pt>
                <c:pt idx="44">
                  <c:v>1933</c:v>
                </c:pt>
                <c:pt idx="45">
                  <c:v>1934</c:v>
                </c:pt>
                <c:pt idx="46">
                  <c:v>1935</c:v>
                </c:pt>
                <c:pt idx="47">
                  <c:v>1936</c:v>
                </c:pt>
                <c:pt idx="48">
                  <c:v>1937</c:v>
                </c:pt>
                <c:pt idx="49">
                  <c:v>1938</c:v>
                </c:pt>
                <c:pt idx="50">
                  <c:v>1939</c:v>
                </c:pt>
                <c:pt idx="51">
                  <c:v>1940</c:v>
                </c:pt>
                <c:pt idx="52">
                  <c:v>1941</c:v>
                </c:pt>
                <c:pt idx="53">
                  <c:v>1942</c:v>
                </c:pt>
                <c:pt idx="54">
                  <c:v>1943</c:v>
                </c:pt>
                <c:pt idx="55">
                  <c:v>1944</c:v>
                </c:pt>
                <c:pt idx="56">
                  <c:v>1945</c:v>
                </c:pt>
                <c:pt idx="57">
                  <c:v>1946</c:v>
                </c:pt>
                <c:pt idx="58">
                  <c:v>1947</c:v>
                </c:pt>
                <c:pt idx="59">
                  <c:v>1948</c:v>
                </c:pt>
                <c:pt idx="60">
                  <c:v>1949</c:v>
                </c:pt>
                <c:pt idx="61">
                  <c:v>1950</c:v>
                </c:pt>
                <c:pt idx="62">
                  <c:v>1951</c:v>
                </c:pt>
                <c:pt idx="63">
                  <c:v>1952</c:v>
                </c:pt>
                <c:pt idx="64">
                  <c:v>1953</c:v>
                </c:pt>
                <c:pt idx="65">
                  <c:v>1954</c:v>
                </c:pt>
                <c:pt idx="66">
                  <c:v>1955</c:v>
                </c:pt>
                <c:pt idx="67">
                  <c:v>1956</c:v>
                </c:pt>
                <c:pt idx="68">
                  <c:v>1957</c:v>
                </c:pt>
                <c:pt idx="69">
                  <c:v>1958</c:v>
                </c:pt>
                <c:pt idx="70">
                  <c:v>1959</c:v>
                </c:pt>
                <c:pt idx="71">
                  <c:v>1960</c:v>
                </c:pt>
                <c:pt idx="72">
                  <c:v>1961</c:v>
                </c:pt>
                <c:pt idx="73">
                  <c:v>1962</c:v>
                </c:pt>
                <c:pt idx="74">
                  <c:v>1963</c:v>
                </c:pt>
                <c:pt idx="75">
                  <c:v>1964</c:v>
                </c:pt>
                <c:pt idx="76">
                  <c:v>1965</c:v>
                </c:pt>
                <c:pt idx="77">
                  <c:v>1966</c:v>
                </c:pt>
                <c:pt idx="78">
                  <c:v>1967</c:v>
                </c:pt>
                <c:pt idx="79">
                  <c:v>1968</c:v>
                </c:pt>
                <c:pt idx="80">
                  <c:v>1969</c:v>
                </c:pt>
                <c:pt idx="81">
                  <c:v>1970</c:v>
                </c:pt>
                <c:pt idx="82">
                  <c:v>1971</c:v>
                </c:pt>
                <c:pt idx="83">
                  <c:v>1972</c:v>
                </c:pt>
                <c:pt idx="84">
                  <c:v>1973</c:v>
                </c:pt>
                <c:pt idx="85">
                  <c:v>1974</c:v>
                </c:pt>
                <c:pt idx="86">
                  <c:v>1975</c:v>
                </c:pt>
                <c:pt idx="87">
                  <c:v>1976</c:v>
                </c:pt>
                <c:pt idx="88">
                  <c:v>1977</c:v>
                </c:pt>
                <c:pt idx="89">
                  <c:v>1978</c:v>
                </c:pt>
                <c:pt idx="90">
                  <c:v>1979</c:v>
                </c:pt>
                <c:pt idx="91">
                  <c:v>1980</c:v>
                </c:pt>
                <c:pt idx="92">
                  <c:v>1981</c:v>
                </c:pt>
                <c:pt idx="93">
                  <c:v>1982</c:v>
                </c:pt>
                <c:pt idx="94">
                  <c:v>1983</c:v>
                </c:pt>
                <c:pt idx="95">
                  <c:v>1984</c:v>
                </c:pt>
                <c:pt idx="96">
                  <c:v>1985</c:v>
                </c:pt>
                <c:pt idx="97">
                  <c:v>1986</c:v>
                </c:pt>
                <c:pt idx="98">
                  <c:v>1987</c:v>
                </c:pt>
                <c:pt idx="99">
                  <c:v>1988</c:v>
                </c:pt>
                <c:pt idx="100">
                  <c:v>1989</c:v>
                </c:pt>
                <c:pt idx="101">
                  <c:v>1990</c:v>
                </c:pt>
                <c:pt idx="102">
                  <c:v>1991</c:v>
                </c:pt>
                <c:pt idx="103">
                  <c:v>1992</c:v>
                </c:pt>
                <c:pt idx="104">
                  <c:v>1993</c:v>
                </c:pt>
                <c:pt idx="105">
                  <c:v>1994</c:v>
                </c:pt>
                <c:pt idx="106">
                  <c:v>1995</c:v>
                </c:pt>
                <c:pt idx="107">
                  <c:v>1996</c:v>
                </c:pt>
                <c:pt idx="108">
                  <c:v>1997</c:v>
                </c:pt>
                <c:pt idx="109">
                  <c:v>1998</c:v>
                </c:pt>
                <c:pt idx="110">
                  <c:v>1999</c:v>
                </c:pt>
                <c:pt idx="111">
                  <c:v>2000</c:v>
                </c:pt>
                <c:pt idx="112">
                  <c:v>2001</c:v>
                </c:pt>
                <c:pt idx="113">
                  <c:v>2002</c:v>
                </c:pt>
                <c:pt idx="114">
                  <c:v>2003</c:v>
                </c:pt>
                <c:pt idx="115">
                  <c:v>2004</c:v>
                </c:pt>
                <c:pt idx="116">
                  <c:v>2005</c:v>
                </c:pt>
                <c:pt idx="117">
                  <c:v>2006</c:v>
                </c:pt>
                <c:pt idx="118">
                  <c:v>2007</c:v>
                </c:pt>
                <c:pt idx="119">
                  <c:v>2008</c:v>
                </c:pt>
                <c:pt idx="120">
                  <c:v>2009</c:v>
                </c:pt>
                <c:pt idx="121">
                  <c:v>2010</c:v>
                </c:pt>
                <c:pt idx="122">
                  <c:v>2011</c:v>
                </c:pt>
                <c:pt idx="123">
                  <c:v>2012</c:v>
                </c:pt>
                <c:pt idx="124">
                  <c:v>2013</c:v>
                </c:pt>
                <c:pt idx="125">
                  <c:v>2014</c:v>
                </c:pt>
                <c:pt idx="126">
                  <c:v>2015</c:v>
                </c:pt>
                <c:pt idx="127">
                  <c:v>2016</c:v>
                </c:pt>
                <c:pt idx="128">
                  <c:v>2017</c:v>
                </c:pt>
                <c:pt idx="129">
                  <c:v>2018</c:v>
                </c:pt>
                <c:pt idx="130">
                  <c:v>2019</c:v>
                </c:pt>
                <c:pt idx="131">
                  <c:v>2020</c:v>
                </c:pt>
                <c:pt idx="132">
                  <c:v>2021</c:v>
                </c:pt>
                <c:pt idx="133">
                  <c:v>2022</c:v>
                </c:pt>
                <c:pt idx="134">
                  <c:v>2023</c:v>
                </c:pt>
                <c:pt idx="135">
                  <c:v>2024</c:v>
                </c:pt>
                <c:pt idx="136">
                  <c:v>2025</c:v>
                </c:pt>
                <c:pt idx="137">
                  <c:v>2026</c:v>
                </c:pt>
                <c:pt idx="138">
                  <c:v>2027</c:v>
                </c:pt>
                <c:pt idx="139">
                  <c:v>2028</c:v>
                </c:pt>
                <c:pt idx="140">
                  <c:v>2029</c:v>
                </c:pt>
                <c:pt idx="141">
                  <c:v>2030</c:v>
                </c:pt>
                <c:pt idx="142">
                  <c:v>2031</c:v>
                </c:pt>
                <c:pt idx="143">
                  <c:v>2032</c:v>
                </c:pt>
                <c:pt idx="144">
                  <c:v>2033</c:v>
                </c:pt>
                <c:pt idx="145">
                  <c:v>2034</c:v>
                </c:pt>
                <c:pt idx="146">
                  <c:v>2035</c:v>
                </c:pt>
                <c:pt idx="147">
                  <c:v>2036</c:v>
                </c:pt>
                <c:pt idx="148">
                  <c:v>2037</c:v>
                </c:pt>
                <c:pt idx="149">
                  <c:v>2038</c:v>
                </c:pt>
                <c:pt idx="150">
                  <c:v>2039</c:v>
                </c:pt>
                <c:pt idx="151">
                  <c:v>2040</c:v>
                </c:pt>
                <c:pt idx="152">
                  <c:v>2041</c:v>
                </c:pt>
                <c:pt idx="153">
                  <c:v>2042</c:v>
                </c:pt>
                <c:pt idx="154">
                  <c:v>2043</c:v>
                </c:pt>
                <c:pt idx="155">
                  <c:v>2044</c:v>
                </c:pt>
                <c:pt idx="156">
                  <c:v>2045</c:v>
                </c:pt>
                <c:pt idx="157">
                  <c:v>2046</c:v>
                </c:pt>
                <c:pt idx="158">
                  <c:v>2047</c:v>
                </c:pt>
                <c:pt idx="159">
                  <c:v>2048</c:v>
                </c:pt>
                <c:pt idx="160">
                  <c:v>2049</c:v>
                </c:pt>
                <c:pt idx="161">
                  <c:v>2050</c:v>
                </c:pt>
                <c:pt idx="162">
                  <c:v>2051</c:v>
                </c:pt>
                <c:pt idx="163">
                  <c:v>2052</c:v>
                </c:pt>
                <c:pt idx="164">
                  <c:v>2053</c:v>
                </c:pt>
                <c:pt idx="165">
                  <c:v>2054</c:v>
                </c:pt>
                <c:pt idx="166">
                  <c:v>2055</c:v>
                </c:pt>
                <c:pt idx="167">
                  <c:v>2056</c:v>
                </c:pt>
                <c:pt idx="168">
                  <c:v>2057</c:v>
                </c:pt>
                <c:pt idx="169">
                  <c:v>2058</c:v>
                </c:pt>
                <c:pt idx="170">
                  <c:v>2059</c:v>
                </c:pt>
                <c:pt idx="171">
                  <c:v>2060</c:v>
                </c:pt>
                <c:pt idx="172">
                  <c:v>2061</c:v>
                </c:pt>
                <c:pt idx="173">
                  <c:v>2062</c:v>
                </c:pt>
                <c:pt idx="174">
                  <c:v>2063</c:v>
                </c:pt>
                <c:pt idx="175">
                  <c:v>2064</c:v>
                </c:pt>
                <c:pt idx="176">
                  <c:v>2065</c:v>
                </c:pt>
                <c:pt idx="177">
                  <c:v>2066</c:v>
                </c:pt>
                <c:pt idx="178">
                  <c:v>2067</c:v>
                </c:pt>
                <c:pt idx="179">
                  <c:v>2068</c:v>
                </c:pt>
                <c:pt idx="180">
                  <c:v>2069</c:v>
                </c:pt>
                <c:pt idx="181">
                  <c:v>2070</c:v>
                </c:pt>
                <c:pt idx="182">
                  <c:v>2071</c:v>
                </c:pt>
                <c:pt idx="183">
                  <c:v>2072</c:v>
                </c:pt>
                <c:pt idx="184">
                  <c:v>2073</c:v>
                </c:pt>
                <c:pt idx="185">
                  <c:v>2074</c:v>
                </c:pt>
                <c:pt idx="186">
                  <c:v>2075</c:v>
                </c:pt>
                <c:pt idx="187">
                  <c:v>2076</c:v>
                </c:pt>
                <c:pt idx="188">
                  <c:v>2077</c:v>
                </c:pt>
                <c:pt idx="189">
                  <c:v>2078</c:v>
                </c:pt>
                <c:pt idx="190">
                  <c:v>2079</c:v>
                </c:pt>
                <c:pt idx="191">
                  <c:v>2080</c:v>
                </c:pt>
                <c:pt idx="192">
                  <c:v>2081</c:v>
                </c:pt>
                <c:pt idx="193">
                  <c:v>2082</c:v>
                </c:pt>
                <c:pt idx="194">
                  <c:v>2083</c:v>
                </c:pt>
                <c:pt idx="195">
                  <c:v>2084</c:v>
                </c:pt>
                <c:pt idx="196">
                  <c:v>2085</c:v>
                </c:pt>
                <c:pt idx="197">
                  <c:v>2086</c:v>
                </c:pt>
                <c:pt idx="198">
                  <c:v>2087</c:v>
                </c:pt>
                <c:pt idx="199">
                  <c:v>2088</c:v>
                </c:pt>
                <c:pt idx="200">
                  <c:v>2089</c:v>
                </c:pt>
                <c:pt idx="201">
                  <c:v>2090</c:v>
                </c:pt>
                <c:pt idx="202">
                  <c:v>2091</c:v>
                </c:pt>
                <c:pt idx="203">
                  <c:v>2092</c:v>
                </c:pt>
                <c:pt idx="204">
                  <c:v>2093</c:v>
                </c:pt>
                <c:pt idx="205">
                  <c:v>2094</c:v>
                </c:pt>
                <c:pt idx="206">
                  <c:v>2095</c:v>
                </c:pt>
                <c:pt idx="207">
                  <c:v>2096</c:v>
                </c:pt>
                <c:pt idx="208">
                  <c:v>2097</c:v>
                </c:pt>
                <c:pt idx="209">
                  <c:v>2098</c:v>
                </c:pt>
                <c:pt idx="210">
                  <c:v>2099</c:v>
                </c:pt>
                <c:pt idx="211">
                  <c:v>2100</c:v>
                </c:pt>
                <c:pt idx="212">
                  <c:v>2101</c:v>
                </c:pt>
                <c:pt idx="213">
                  <c:v>2102</c:v>
                </c:pt>
                <c:pt idx="214">
                  <c:v>2103</c:v>
                </c:pt>
                <c:pt idx="215">
                  <c:v>2104</c:v>
                </c:pt>
                <c:pt idx="216">
                  <c:v>2105</c:v>
                </c:pt>
                <c:pt idx="217">
                  <c:v>2106</c:v>
                </c:pt>
                <c:pt idx="218">
                  <c:v>2107</c:v>
                </c:pt>
                <c:pt idx="219">
                  <c:v>2108</c:v>
                </c:pt>
                <c:pt idx="220">
                  <c:v>2109</c:v>
                </c:pt>
                <c:pt idx="221">
                  <c:v>2110</c:v>
                </c:pt>
                <c:pt idx="222">
                  <c:v>2111</c:v>
                </c:pt>
                <c:pt idx="223">
                  <c:v>2112</c:v>
                </c:pt>
                <c:pt idx="224">
                  <c:v>2113</c:v>
                </c:pt>
                <c:pt idx="225">
                  <c:v>2114</c:v>
                </c:pt>
                <c:pt idx="226">
                  <c:v>2115</c:v>
                </c:pt>
                <c:pt idx="227">
                  <c:v>2116</c:v>
                </c:pt>
                <c:pt idx="228">
                  <c:v>2117</c:v>
                </c:pt>
                <c:pt idx="229">
                  <c:v>2118</c:v>
                </c:pt>
                <c:pt idx="230">
                  <c:v>2119</c:v>
                </c:pt>
                <c:pt idx="231">
                  <c:v>2120</c:v>
                </c:pt>
                <c:pt idx="232">
                  <c:v>2121</c:v>
                </c:pt>
                <c:pt idx="233">
                  <c:v>2122</c:v>
                </c:pt>
                <c:pt idx="234">
                  <c:v>2123</c:v>
                </c:pt>
                <c:pt idx="235">
                  <c:v>2124</c:v>
                </c:pt>
                <c:pt idx="236">
                  <c:v>2125</c:v>
                </c:pt>
                <c:pt idx="237">
                  <c:v>2126</c:v>
                </c:pt>
                <c:pt idx="238">
                  <c:v>2127</c:v>
                </c:pt>
                <c:pt idx="239">
                  <c:v>2128</c:v>
                </c:pt>
                <c:pt idx="240">
                  <c:v>2129</c:v>
                </c:pt>
                <c:pt idx="241">
                  <c:v>2130</c:v>
                </c:pt>
                <c:pt idx="242">
                  <c:v>2131</c:v>
                </c:pt>
                <c:pt idx="243">
                  <c:v>2132</c:v>
                </c:pt>
                <c:pt idx="244">
                  <c:v>2133</c:v>
                </c:pt>
                <c:pt idx="245">
                  <c:v>2134</c:v>
                </c:pt>
                <c:pt idx="246">
                  <c:v>2135</c:v>
                </c:pt>
                <c:pt idx="247">
                  <c:v>2136</c:v>
                </c:pt>
                <c:pt idx="248">
                  <c:v>2137</c:v>
                </c:pt>
                <c:pt idx="249">
                  <c:v>2138</c:v>
                </c:pt>
                <c:pt idx="250">
                  <c:v>2139</c:v>
                </c:pt>
                <c:pt idx="251">
                  <c:v>2140</c:v>
                </c:pt>
                <c:pt idx="252">
                  <c:v>2141</c:v>
                </c:pt>
                <c:pt idx="253">
                  <c:v>2142</c:v>
                </c:pt>
                <c:pt idx="254">
                  <c:v>2143</c:v>
                </c:pt>
                <c:pt idx="255">
                  <c:v>2144</c:v>
                </c:pt>
                <c:pt idx="256">
                  <c:v>2145</c:v>
                </c:pt>
                <c:pt idx="257">
                  <c:v>2146</c:v>
                </c:pt>
                <c:pt idx="258">
                  <c:v>2147</c:v>
                </c:pt>
                <c:pt idx="259">
                  <c:v>2148</c:v>
                </c:pt>
                <c:pt idx="260">
                  <c:v>2149</c:v>
                </c:pt>
                <c:pt idx="261">
                  <c:v>2150</c:v>
                </c:pt>
              </c:numCache>
            </c:numRef>
          </c:xVal>
          <c:yVal>
            <c:numRef>
              <c:f>Africa!$J$19:$J$288</c:f>
              <c:numCache>
                <c:formatCode>0.00</c:formatCode>
                <c:ptCount val="270"/>
                <c:pt idx="46">
                  <c:v>0.32933091313253188</c:v>
                </c:pt>
                <c:pt idx="47">
                  <c:v>0.34667463599357989</c:v>
                </c:pt>
                <c:pt idx="48">
                  <c:v>0.36478859755489346</c:v>
                </c:pt>
                <c:pt idx="49">
                  <c:v>0.38369866459652302</c:v>
                </c:pt>
                <c:pt idx="50">
                  <c:v>0.40343112342958765</c:v>
                </c:pt>
                <c:pt idx="51">
                  <c:v>0.42401266271992755</c:v>
                </c:pt>
                <c:pt idx="52">
                  <c:v>0.44547035484017339</c:v>
                </c:pt>
                <c:pt idx="53">
                  <c:v>0.4678316357285548</c:v>
                </c:pt>
                <c:pt idx="54">
                  <c:v>0.49112428323587892</c:v>
                </c:pt>
                <c:pt idx="55">
                  <c:v>0.51537639394540191</c:v>
                </c:pt>
                <c:pt idx="56">
                  <c:v>0.54061635845379297</c:v>
                </c:pt>
                <c:pt idx="57">
                  <c:v>0.56687283510505293</c:v>
                </c:pt>
                <c:pt idx="58">
                  <c:v>0.59417472217308953</c:v>
                </c:pt>
                <c:pt idx="59">
                  <c:v>0.62255112849266159</c:v>
                </c:pt>
                <c:pt idx="60">
                  <c:v>0.65203134254257988</c:v>
                </c:pt>
                <c:pt idx="61">
                  <c:v>0.68264479998937388</c:v>
                </c:pt>
                <c:pt idx="62">
                  <c:v>0.71442104970411402</c:v>
                </c:pt>
                <c:pt idx="63">
                  <c:v>0.74738971826968659</c:v>
                </c:pt>
                <c:pt idx="64">
                  <c:v>0.78158047300055067</c:v>
                </c:pt>
                <c:pt idx="65">
                  <c:v>0.81702298350184566</c:v>
                </c:pt>
                <c:pt idx="66">
                  <c:v>0.85374688179966896</c:v>
                </c:pt>
                <c:pt idx="67">
                  <c:v>0.89178172107936726</c:v>
                </c:pt>
                <c:pt idx="68">
                  <c:v>0.93115693307377445</c:v>
                </c:pt>
                <c:pt idx="69">
                  <c:v>0.97190178414848938</c:v>
                </c:pt>
                <c:pt idx="70">
                  <c:v>1.0140453301364707</c:v>
                </c:pt>
                <c:pt idx="71">
                  <c:v>1.0576163699794245</c:v>
                </c:pt>
                <c:pt idx="72">
                  <c:v>1.1026433982386814</c:v>
                </c:pt>
                <c:pt idx="73">
                  <c:v>1.1491545565434442</c:v>
                </c:pt>
                <c:pt idx="74">
                  <c:v>1.197177584049451</c:v>
                </c:pt>
                <c:pt idx="75">
                  <c:v>1.2467397669861817</c:v>
                </c:pt>
                <c:pt idx="76">
                  <c:v>1.2978678873757823</c:v>
                </c:pt>
                <c:pt idx="77">
                  <c:v>1.3505881710117968</c:v>
                </c:pt>
                <c:pt idx="78">
                  <c:v>1.4049262347906057</c:v>
                </c:pt>
                <c:pt idx="79">
                  <c:v>1.4609070334931615</c:v>
                </c:pt>
                <c:pt idx="80">
                  <c:v>1.5185548061190901</c:v>
                </c:pt>
                <c:pt idx="81">
                  <c:v>1.5778930218796066</c:v>
                </c:pt>
                <c:pt idx="82">
                  <c:v>1.6389443259597833</c:v>
                </c:pt>
                <c:pt idx="83">
                  <c:v>1.7017304851646526</c:v>
                </c:pt>
                <c:pt idx="84">
                  <c:v>1.7662723335672699</c:v>
                </c:pt>
                <c:pt idx="85">
                  <c:v>1.8325897182802735</c:v>
                </c:pt>
                <c:pt idx="86">
                  <c:v>1.9007014454756224</c:v>
                </c:pt>
                <c:pt idx="87">
                  <c:v>1.9706252267799613</c:v>
                </c:pt>
                <c:pt idx="88">
                  <c:v>2.0544671897333382</c:v>
                </c:pt>
                <c:pt idx="89">
                  <c:v>2.1793585940005205</c:v>
                </c:pt>
                <c:pt idx="90">
                  <c:v>2.3094972826113094</c:v>
                </c:pt>
                <c:pt idx="91">
                  <c:v>2.4449359450106223</c:v>
                </c:pt>
                <c:pt idx="92">
                  <c:v>2.5857160350144364</c:v>
                </c:pt>
                <c:pt idx="93">
                  <c:v>2.731867163702379</c:v>
                </c:pt>
                <c:pt idx="94">
                  <c:v>2.8834065281144894</c:v>
                </c:pt>
                <c:pt idx="95">
                  <c:v>3.0403383807408351</c:v>
                </c:pt>
                <c:pt idx="96">
                  <c:v>3.2026535446744457</c:v>
                </c:pt>
                <c:pt idx="97">
                  <c:v>3.3703289791326254</c:v>
                </c:pt>
                <c:pt idx="98">
                  <c:v>3.5433273998387342</c:v>
                </c:pt>
                <c:pt idx="99">
                  <c:v>3.7215969584966748</c:v>
                </c:pt>
                <c:pt idx="100">
                  <c:v>3.9050709852844516</c:v>
                </c:pt>
                <c:pt idx="101">
                  <c:v>4.0936677979428779</c:v>
                </c:pt>
                <c:pt idx="102">
                  <c:v>4.2872905806429218</c:v>
                </c:pt>
                <c:pt idx="103">
                  <c:v>4.4858273353829548</c:v>
                </c:pt>
                <c:pt idx="104">
                  <c:v>4.689150908198414</c:v>
                </c:pt>
                <c:pt idx="105">
                  <c:v>4.8971190919648873</c:v>
                </c:pt>
                <c:pt idx="106">
                  <c:v>5.1095748070454556</c:v>
                </c:pt>
                <c:pt idx="107">
                  <c:v>5.3263463604789125</c:v>
                </c:pt>
                <c:pt idx="108">
                  <c:v>5.5472477838321046</c:v>
                </c:pt>
                <c:pt idx="109">
                  <c:v>5.7720792492525588</c:v>
                </c:pt>
                <c:pt idx="110">
                  <c:v>6.0006275626621459</c:v>
                </c:pt>
                <c:pt idx="111">
                  <c:v>6.2326667324347405</c:v>
                </c:pt>
                <c:pt idx="112">
                  <c:v>6.467958611306436</c:v>
                </c:pt>
                <c:pt idx="113">
                  <c:v>6.7062536086820312</c:v>
                </c:pt>
                <c:pt idx="114">
                  <c:v>6.9472914699319626</c:v>
                </c:pt>
                <c:pt idx="115">
                  <c:v>7.1908021187258075</c:v>
                </c:pt>
                <c:pt idx="116">
                  <c:v>7.4365065579274541</c:v>
                </c:pt>
                <c:pt idx="117">
                  <c:v>7.6841178240886183</c:v>
                </c:pt>
                <c:pt idx="118">
                  <c:v>7.933341990126956</c:v>
                </c:pt>
                <c:pt idx="119">
                  <c:v>8.1838792103671594</c:v>
                </c:pt>
                <c:pt idx="120">
                  <c:v>8.4354248017628777</c:v>
                </c:pt>
                <c:pt idx="121">
                  <c:v>8.6876703548077536</c:v>
                </c:pt>
                <c:pt idx="122">
                  <c:v>8.9403048673889067</c:v>
                </c:pt>
                <c:pt idx="123">
                  <c:v>9.1930158946384957</c:v>
                </c:pt>
                <c:pt idx="124">
                  <c:v>9.4454907077008965</c:v>
                </c:pt>
                <c:pt idx="125">
                  <c:v>9.6974174542558504</c:v>
                </c:pt>
                <c:pt idx="126">
                  <c:v>9.9484863136228654</c:v>
                </c:pt>
                <c:pt idx="127">
                  <c:v>10.198390639318848</c:v>
                </c:pt>
                <c:pt idx="128">
                  <c:v>10.446828082049619</c:v>
                </c:pt>
                <c:pt idx="129">
                  <c:v>10.69350168628449</c:v>
                </c:pt>
                <c:pt idx="130">
                  <c:v>10.938120953790568</c:v>
                </c:pt>
                <c:pt idx="131">
                  <c:v>11.180402867786491</c:v>
                </c:pt>
                <c:pt idx="132">
                  <c:v>11.420072871711513</c:v>
                </c:pt>
                <c:pt idx="133">
                  <c:v>11.656865796990994</c:v>
                </c:pt>
                <c:pt idx="134">
                  <c:v>11.890526734609587</c:v>
                </c:pt>
                <c:pt idx="135">
                  <c:v>12.120811845773858</c:v>
                </c:pt>
                <c:pt idx="136">
                  <c:v>12.347489107451839</c:v>
                </c:pt>
                <c:pt idx="137">
                  <c:v>12.570338989112546</c:v>
                </c:pt>
                <c:pt idx="138">
                  <c:v>12.789155057548227</c:v>
                </c:pt>
                <c:pt idx="139">
                  <c:v>13.00374450724027</c:v>
                </c:pt>
                <c:pt idx="140">
                  <c:v>13.21392861432008</c:v>
                </c:pt>
                <c:pt idx="141">
                  <c:v>13.419543112773233</c:v>
                </c:pt>
                <c:pt idx="142">
                  <c:v>13.620438492132401</c:v>
                </c:pt>
                <c:pt idx="143">
                  <c:v>13.816480216496487</c:v>
                </c:pt>
                <c:pt idx="144">
                  <c:v>14.007548865294178</c:v>
                </c:pt>
                <c:pt idx="145">
                  <c:v>14.193540196774263</c:v>
                </c:pt>
                <c:pt idx="146">
                  <c:v>14.374365135747727</c:v>
                </c:pt>
                <c:pt idx="147">
                  <c:v>14.54994968762257</c:v>
                </c:pt>
                <c:pt idx="148">
                  <c:v>14.720234781257723</c:v>
                </c:pt>
                <c:pt idx="149">
                  <c:v>14.885176043612752</c:v>
                </c:pt>
                <c:pt idx="150">
                  <c:v>15.044743509582599</c:v>
                </c:pt>
                <c:pt idx="151">
                  <c:v>15.198921270777756</c:v>
                </c:pt>
                <c:pt idx="152">
                  <c:v>15.347707067338108</c:v>
                </c:pt>
                <c:pt idx="153">
                  <c:v>15.491111827151261</c:v>
                </c:pt>
                <c:pt idx="154">
                  <c:v>15.629159157082128</c:v>
                </c:pt>
                <c:pt idx="155">
                  <c:v>15.761884791009251</c:v>
                </c:pt>
                <c:pt idx="156">
                  <c:v>15.889335999604603</c:v>
                </c:pt>
                <c:pt idx="157">
                  <c:v>16.011570966887692</c:v>
                </c:pt>
                <c:pt idx="158">
                  <c:v>16.128658138632805</c:v>
                </c:pt>
                <c:pt idx="159">
                  <c:v>16.240675547710882</c:v>
                </c:pt>
                <c:pt idx="160">
                  <c:v>16.347710121407555</c:v>
                </c:pt>
                <c:pt idx="161">
                  <c:v>16.44985697567726</c:v>
                </c:pt>
                <c:pt idx="162">
                  <c:v>16.54721870117373</c:v>
                </c:pt>
                <c:pt idx="163">
                  <c:v>16.639904645741474</c:v>
                </c:pt>
                <c:pt idx="164">
                  <c:v>16.728030197864832</c:v>
                </c:pt>
                <c:pt idx="165">
                  <c:v>16.811716075353598</c:v>
                </c:pt>
                <c:pt idx="166">
                  <c:v>16.891087623301068</c:v>
                </c:pt>
                <c:pt idx="167">
                  <c:v>16.966274125084734</c:v>
                </c:pt>
                <c:pt idx="168">
                  <c:v>17.037408129895805</c:v>
                </c:pt>
                <c:pt idx="169">
                  <c:v>17.104624799984613</c:v>
                </c:pt>
                <c:pt idx="170">
                  <c:v>17.168061280498712</c:v>
                </c:pt>
                <c:pt idx="171">
                  <c:v>17.227856094472507</c:v>
                </c:pt>
                <c:pt idx="172">
                  <c:v>17.284148565204919</c:v>
                </c:pt>
                <c:pt idx="173">
                  <c:v>17.337078267938619</c:v>
                </c:pt>
                <c:pt idx="174">
                  <c:v>17.386784512433419</c:v>
                </c:pt>
                <c:pt idx="175">
                  <c:v>17.43340585771087</c:v>
                </c:pt>
                <c:pt idx="176">
                  <c:v>17.477079659939367</c:v>
                </c:pt>
                <c:pt idx="177">
                  <c:v>17.517941654131796</c:v>
                </c:pt>
                <c:pt idx="178">
                  <c:v>17.556125570043172</c:v>
                </c:pt>
                <c:pt idx="179">
                  <c:v>17.591762782385565</c:v>
                </c:pt>
                <c:pt idx="180">
                  <c:v>17.624981995223884</c:v>
                </c:pt>
                <c:pt idx="181">
                  <c:v>17.655908960179715</c:v>
                </c:pt>
                <c:pt idx="182">
                  <c:v>17.684666227853132</c:v>
                </c:pt>
                <c:pt idx="183">
                  <c:v>17.711372931674266</c:v>
                </c:pt>
                <c:pt idx="184">
                  <c:v>17.736144603218726</c:v>
                </c:pt>
                <c:pt idx="185">
                  <c:v>17.759093017863545</c:v>
                </c:pt>
                <c:pt idx="186">
                  <c:v>17.78032606952338</c:v>
                </c:pt>
                <c:pt idx="187">
                  <c:v>17.799947673090244</c:v>
                </c:pt>
                <c:pt idx="188">
                  <c:v>17.818057693103377</c:v>
                </c:pt>
                <c:pt idx="189">
                  <c:v>17.834751897098766</c:v>
                </c:pt>
                <c:pt idx="190">
                  <c:v>17.850121932029374</c:v>
                </c:pt>
                <c:pt idx="191">
                  <c:v>17.864255322106619</c:v>
                </c:pt>
                <c:pt idx="192">
                  <c:v>17.877235486389701</c:v>
                </c:pt>
                <c:pt idx="193">
                  <c:v>17.889141774441772</c:v>
                </c:pt>
                <c:pt idx="194">
                  <c:v>17.900049518378179</c:v>
                </c:pt>
                <c:pt idx="195">
                  <c:v>17.910030099652342</c:v>
                </c:pt>
                <c:pt idx="196">
                  <c:v>17.919151028956637</c:v>
                </c:pt>
                <c:pt idx="197">
                  <c:v>17.927476037658675</c:v>
                </c:pt>
                <c:pt idx="198">
                  <c:v>17.935065179245608</c:v>
                </c:pt>
                <c:pt idx="199">
                  <c:v>17.941974939309546</c:v>
                </c:pt>
                <c:pt idx="200">
                  <c:v>17.94825835267465</c:v>
                </c:pt>
                <c:pt idx="201">
                  <c:v>17.953965126339352</c:v>
                </c:pt>
                <c:pt idx="202">
                  <c:v>17.959141766984796</c:v>
                </c:pt>
                <c:pt idx="203">
                  <c:v>17.963831711881319</c:v>
                </c:pt>
                <c:pt idx="204">
                  <c:v>17.968075462107986</c:v>
                </c:pt>
                <c:pt idx="205">
                  <c:v>17.97191071708448</c:v>
                </c:pt>
                <c:pt idx="206">
                  <c:v>17.975372509499532</c:v>
                </c:pt>
                <c:pt idx="207">
                  <c:v>17.978493339804178</c:v>
                </c:pt>
                <c:pt idx="208">
                  <c:v>17.981303309521451</c:v>
                </c:pt>
                <c:pt idx="209">
                  <c:v>17.983830252705026</c:v>
                </c:pt>
                <c:pt idx="210">
                  <c:v>17.986099864958319</c:v>
                </c:pt>
                <c:pt idx="211">
                  <c:v>17.988135829501136</c:v>
                </c:pt>
                <c:pt idx="212">
                  <c:v>17.989959939843484</c:v>
                </c:pt>
                <c:pt idx="213">
                  <c:v>17.991592218694784</c:v>
                </c:pt>
                <c:pt idx="214">
                  <c:v>17.993051032801471</c:v>
                </c:pt>
                <c:pt idx="215">
                  <c:v>17.994353203466446</c:v>
                </c:pt>
                <c:pt idx="216">
                  <c:v>17.995514112560169</c:v>
                </c:pt>
                <c:pt idx="217">
                  <c:v>17.996547803884908</c:v>
                </c:pt>
                <c:pt idx="218">
                  <c:v>17.997467079801165</c:v>
                </c:pt>
                <c:pt idx="219">
                  <c:v>17.998283593068393</c:v>
                </c:pt>
                <c:pt idx="220">
                  <c:v>17.999007933890805</c:v>
                </c:pt>
                <c:pt idx="221">
                  <c:v>17.999649712193719</c:v>
                </c:pt>
                <c:pt idx="222">
                  <c:v>18.000217635186377</c:v>
                </c:pt>
                <c:pt idx="223">
                  <c:v>18.000719580293833</c:v>
                </c:pt>
                <c:pt idx="224">
                  <c:v>18.001162663563424</c:v>
                </c:pt>
                <c:pt idx="225">
                  <c:v>18.001553303670843</c:v>
                </c:pt>
                <c:pt idx="226">
                  <c:v>18.001897281666999</c:v>
                </c:pt>
                <c:pt idx="227">
                  <c:v>18.002199796619998</c:v>
                </c:pt>
                <c:pt idx="228">
                  <c:v>18.002465517316946</c:v>
                </c:pt>
                <c:pt idx="229">
                  <c:v>18.0026986301981</c:v>
                </c:pt>
                <c:pt idx="230">
                  <c:v>18.002902883701239</c:v>
                </c:pt>
                <c:pt idx="231">
                  <c:v>18.003081629197577</c:v>
                </c:pt>
                <c:pt idx="232">
                  <c:v>18.003237858701972</c:v>
                </c:pt>
                <c:pt idx="233">
                  <c:v>18.003374239539923</c:v>
                </c:pt>
                <c:pt idx="234">
                  <c:v>18.003493146152355</c:v>
                </c:pt>
                <c:pt idx="235">
                  <c:v>18.003596689216078</c:v>
                </c:pt>
                <c:pt idx="236">
                  <c:v>18.003686742254008</c:v>
                </c:pt>
                <c:pt idx="237">
                  <c:v>18.003764965904232</c:v>
                </c:pt>
                <c:pt idx="238">
                  <c:v>18.003832830011472</c:v>
                </c:pt>
                <c:pt idx="239">
                  <c:v>18.003891633698178</c:v>
                </c:pt>
                <c:pt idx="240">
                  <c:v>18.003942523565957</c:v>
                </c:pt>
                <c:pt idx="241">
                  <c:v>18.003986510170868</c:v>
                </c:pt>
                <c:pt idx="242">
                  <c:v>18.004024482909056</c:v>
                </c:pt>
                <c:pt idx="243">
                  <c:v>18.004057223441663</c:v>
                </c:pt>
                <c:pt idx="244">
                  <c:v>18.004085417780686</c:v>
                </c:pt>
                <c:pt idx="245">
                  <c:v>18.004109667150001</c:v>
                </c:pt>
                <c:pt idx="246">
                  <c:v>18.004130497728465</c:v>
                </c:pt>
                <c:pt idx="247">
                  <c:v>18.004148369374978</c:v>
                </c:pt>
                <c:pt idx="248">
                  <c:v>18.004163683428253</c:v>
                </c:pt>
                <c:pt idx="249">
                  <c:v>18.004176789667575</c:v>
                </c:pt>
                <c:pt idx="250">
                  <c:v>18.004187992514115</c:v>
                </c:pt>
                <c:pt idx="251">
                  <c:v>18.004197556546377</c:v>
                </c:pt>
                <c:pt idx="252">
                  <c:v>18.004205711397379</c:v>
                </c:pt>
                <c:pt idx="253">
                  <c:v>18.004212656095639</c:v>
                </c:pt>
                <c:pt idx="254">
                  <c:v>18.004218562906761</c:v>
                </c:pt>
                <c:pt idx="255">
                  <c:v>18.004223580727473</c:v>
                </c:pt>
                <c:pt idx="256">
                  <c:v>18.004227838079359</c:v>
                </c:pt>
                <c:pt idx="257">
                  <c:v>18.004231445745237</c:v>
                </c:pt>
                <c:pt idx="258">
                  <c:v>18.004234499087026</c:v>
                </c:pt>
                <c:pt idx="259">
                  <c:v>18.00423708008039</c:v>
                </c:pt>
                <c:pt idx="260">
                  <c:v>18.00423925909783</c:v>
                </c:pt>
                <c:pt idx="261">
                  <c:v>18.004241096468913</c:v>
                </c:pt>
              </c:numCache>
            </c:numRef>
          </c:yVal>
          <c:smooth val="1"/>
          <c:extLst>
            <c:ext xmlns:c16="http://schemas.microsoft.com/office/drawing/2014/chart" uri="{C3380CC4-5D6E-409C-BE32-E72D297353CC}">
              <c16:uniqueId val="{00000002-0490-3E43-844B-1DF6B9AB38C5}"/>
            </c:ext>
          </c:extLst>
        </c:ser>
        <c:ser>
          <c:idx val="3"/>
          <c:order val="3"/>
          <c:tx>
            <c:strRef>
              <c:f>Africa!$H$17</c:f>
              <c:strCache>
                <c:ptCount val="1"/>
                <c:pt idx="0">
                  <c:v>Q historical</c:v>
                </c:pt>
              </c:strCache>
            </c:strRef>
          </c:tx>
          <c:spPr>
            <a:ln w="15875">
              <a:solidFill>
                <a:srgbClr val="333399"/>
              </a:solidFill>
            </a:ln>
          </c:spPr>
          <c:marker>
            <c:symbol val="none"/>
          </c:marker>
          <c:xVal>
            <c:numRef>
              <c:f>Africa!$D$82:$D$188</c:f>
              <c:numCache>
                <c:formatCode>General</c:formatCode>
                <c:ptCount val="10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pt idx="57">
                  <c:v>2009</c:v>
                </c:pt>
                <c:pt idx="58">
                  <c:v>2010</c:v>
                </c:pt>
                <c:pt idx="59">
                  <c:v>2011</c:v>
                </c:pt>
                <c:pt idx="60">
                  <c:v>2012</c:v>
                </c:pt>
                <c:pt idx="61">
                  <c:v>2013</c:v>
                </c:pt>
                <c:pt idx="62">
                  <c:v>2014</c:v>
                </c:pt>
                <c:pt idx="63">
                  <c:v>2015</c:v>
                </c:pt>
                <c:pt idx="64">
                  <c:v>2016</c:v>
                </c:pt>
                <c:pt idx="65">
                  <c:v>2017</c:v>
                </c:pt>
                <c:pt idx="66">
                  <c:v>2018</c:v>
                </c:pt>
                <c:pt idx="67">
                  <c:v>2019</c:v>
                </c:pt>
                <c:pt idx="68">
                  <c:v>2020</c:v>
                </c:pt>
                <c:pt idx="69">
                  <c:v>2021</c:v>
                </c:pt>
                <c:pt idx="70">
                  <c:v>2022</c:v>
                </c:pt>
                <c:pt idx="71">
                  <c:v>2023</c:v>
                </c:pt>
                <c:pt idx="72">
                  <c:v>2024</c:v>
                </c:pt>
                <c:pt idx="73">
                  <c:v>2025</c:v>
                </c:pt>
                <c:pt idx="74">
                  <c:v>2026</c:v>
                </c:pt>
                <c:pt idx="75">
                  <c:v>2027</c:v>
                </c:pt>
                <c:pt idx="76">
                  <c:v>2028</c:v>
                </c:pt>
                <c:pt idx="77">
                  <c:v>2029</c:v>
                </c:pt>
                <c:pt idx="78">
                  <c:v>2030</c:v>
                </c:pt>
                <c:pt idx="79">
                  <c:v>2031</c:v>
                </c:pt>
                <c:pt idx="80">
                  <c:v>2032</c:v>
                </c:pt>
                <c:pt idx="81">
                  <c:v>2033</c:v>
                </c:pt>
                <c:pt idx="82">
                  <c:v>2034</c:v>
                </c:pt>
                <c:pt idx="83">
                  <c:v>2035</c:v>
                </c:pt>
                <c:pt idx="84">
                  <c:v>2036</c:v>
                </c:pt>
                <c:pt idx="85">
                  <c:v>2037</c:v>
                </c:pt>
                <c:pt idx="86">
                  <c:v>2038</c:v>
                </c:pt>
                <c:pt idx="87">
                  <c:v>2039</c:v>
                </c:pt>
                <c:pt idx="88">
                  <c:v>2040</c:v>
                </c:pt>
                <c:pt idx="89">
                  <c:v>2041</c:v>
                </c:pt>
                <c:pt idx="90">
                  <c:v>2042</c:v>
                </c:pt>
                <c:pt idx="91">
                  <c:v>2043</c:v>
                </c:pt>
                <c:pt idx="92">
                  <c:v>2044</c:v>
                </c:pt>
                <c:pt idx="93">
                  <c:v>2045</c:v>
                </c:pt>
                <c:pt idx="94">
                  <c:v>2046</c:v>
                </c:pt>
                <c:pt idx="95">
                  <c:v>2047</c:v>
                </c:pt>
                <c:pt idx="96">
                  <c:v>2048</c:v>
                </c:pt>
                <c:pt idx="97">
                  <c:v>2049</c:v>
                </c:pt>
                <c:pt idx="98">
                  <c:v>2050</c:v>
                </c:pt>
                <c:pt idx="99">
                  <c:v>2051</c:v>
                </c:pt>
                <c:pt idx="100">
                  <c:v>2052</c:v>
                </c:pt>
                <c:pt idx="101">
                  <c:v>2053</c:v>
                </c:pt>
                <c:pt idx="102">
                  <c:v>2054</c:v>
                </c:pt>
                <c:pt idx="103">
                  <c:v>2055</c:v>
                </c:pt>
                <c:pt idx="104">
                  <c:v>2056</c:v>
                </c:pt>
                <c:pt idx="105">
                  <c:v>2057</c:v>
                </c:pt>
                <c:pt idx="106">
                  <c:v>2058</c:v>
                </c:pt>
              </c:numCache>
            </c:numRef>
          </c:xVal>
          <c:yVal>
            <c:numRef>
              <c:f>Africa!$H$82:$H$188</c:f>
              <c:numCache>
                <c:formatCode>0.0</c:formatCode>
                <c:ptCount val="107"/>
                <c:pt idx="0">
                  <c:v>107.55778772047083</c:v>
                </c:pt>
                <c:pt idx="1">
                  <c:v>52.522877175414109</c:v>
                </c:pt>
                <c:pt idx="2">
                  <c:v>33.367988726562992</c:v>
                </c:pt>
                <c:pt idx="3">
                  <c:v>30.324132548540895</c:v>
                </c:pt>
                <c:pt idx="4">
                  <c:v>32.779688571652947</c:v>
                </c:pt>
                <c:pt idx="5">
                  <c:v>38.469691653216906</c:v>
                </c:pt>
                <c:pt idx="6">
                  <c:v>47.718479740860666</c:v>
                </c:pt>
                <c:pt idx="7">
                  <c:v>52.771504342313783</c:v>
                </c:pt>
                <c:pt idx="8">
                  <c:v>53.349870064420315</c:v>
                </c:pt>
                <c:pt idx="9">
                  <c:v>49.903131858344345</c:v>
                </c:pt>
                <c:pt idx="10">
                  <c:v>44.928585381771867</c:v>
                </c:pt>
                <c:pt idx="11">
                  <c:v>39.498752155337428</c:v>
                </c:pt>
                <c:pt idx="12">
                  <c:v>35.7073969940122</c:v>
                </c:pt>
                <c:pt idx="13">
                  <c:v>34.556823822127654</c:v>
                </c:pt>
                <c:pt idx="14">
                  <c:v>33.476783375001013</c:v>
                </c:pt>
                <c:pt idx="15">
                  <c:v>32.116660199899194</c:v>
                </c:pt>
                <c:pt idx="16">
                  <c:v>31.049884043288749</c:v>
                </c:pt>
                <c:pt idx="17">
                  <c:v>29.796390810568123</c:v>
                </c:pt>
                <c:pt idx="18">
                  <c:v>28.705533410180539</c:v>
                </c:pt>
                <c:pt idx="19">
                  <c:v>28.350753077780471</c:v>
                </c:pt>
                <c:pt idx="20">
                  <c:v>28.001295022859424</c:v>
                </c:pt>
                <c:pt idx="21">
                  <c:v>28.103575564626251</c:v>
                </c:pt>
                <c:pt idx="22">
                  <c:v>28.530388032435869</c:v>
                </c:pt>
                <c:pt idx="23">
                  <c:v>29.516394509622689</c:v>
                </c:pt>
                <c:pt idx="24">
                  <c:v>31.694388068914176</c:v>
                </c:pt>
                <c:pt idx="25">
                  <c:v>31.694329701321834</c:v>
                </c:pt>
                <c:pt idx="26">
                  <c:v>31.694329701321834</c:v>
                </c:pt>
                <c:pt idx="27">
                  <c:v>31.706293273980535</c:v>
                </c:pt>
                <c:pt idx="28">
                  <c:v>31.744045562333174</c:v>
                </c:pt>
                <c:pt idx="29">
                  <c:v>31.867204655006031</c:v>
                </c:pt>
                <c:pt idx="30">
                  <c:v>32.152635137512064</c:v>
                </c:pt>
                <c:pt idx="31">
                  <c:v>32.488982845852988</c:v>
                </c:pt>
                <c:pt idx="32">
                  <c:v>33.126373758109892</c:v>
                </c:pt>
                <c:pt idx="33">
                  <c:v>34.158581590624365</c:v>
                </c:pt>
                <c:pt idx="34">
                  <c:v>35.437006343819519</c:v>
                </c:pt>
                <c:pt idx="35">
                  <c:v>36.652453790039239</c:v>
                </c:pt>
                <c:pt idx="36">
                  <c:v>37.736557330506898</c:v>
                </c:pt>
                <c:pt idx="37">
                  <c:v>38.174631549799187</c:v>
                </c:pt>
                <c:pt idx="38">
                  <c:v>37.807544954165763</c:v>
                </c:pt>
                <c:pt idx="39">
                  <c:v>36.723885552621695</c:v>
                </c:pt>
                <c:pt idx="40">
                  <c:v>34.758706770991601</c:v>
                </c:pt>
                <c:pt idx="41">
                  <c:v>32.171868621959398</c:v>
                </c:pt>
                <c:pt idx="42">
                  <c:v>29.368732352627585</c:v>
                </c:pt>
                <c:pt idx="43">
                  <c:v>26.703700260699879</c:v>
                </c:pt>
                <c:pt idx="44">
                  <c:v>24.181879517767818</c:v>
                </c:pt>
                <c:pt idx="45">
                  <c:v>22.314483488087166</c:v>
                </c:pt>
                <c:pt idx="46">
                  <c:v>21.11726024874104</c:v>
                </c:pt>
                <c:pt idx="47">
                  <c:v>20.230626266968834</c:v>
                </c:pt>
                <c:pt idx="48">
                  <c:v>19.540303591846072</c:v>
                </c:pt>
                <c:pt idx="49">
                  <c:v>18.94840974468606</c:v>
                </c:pt>
                <c:pt idx="50">
                  <c:v>18.355579930113944</c:v>
                </c:pt>
                <c:pt idx="51">
                  <c:v>18.024165111688774</c:v>
                </c:pt>
                <c:pt idx="52">
                  <c:v>17.899063847218585</c:v>
                </c:pt>
                <c:pt idx="53">
                  <c:v>17.866544290577078</c:v>
                </c:pt>
                <c:pt idx="54">
                  <c:v>17.864380935461657</c:v>
                </c:pt>
                <c:pt idx="55">
                  <c:v>17.888378202690731</c:v>
                </c:pt>
                <c:pt idx="56">
                  <c:v>17.950167942848044</c:v>
                </c:pt>
                <c:pt idx="57">
                  <c:v>18.004254442992103</c:v>
                </c:pt>
              </c:numCache>
            </c:numRef>
          </c:yVal>
          <c:smooth val="1"/>
          <c:extLst>
            <c:ext xmlns:c16="http://schemas.microsoft.com/office/drawing/2014/chart" uri="{C3380CC4-5D6E-409C-BE32-E72D297353CC}">
              <c16:uniqueId val="{00000003-0490-3E43-844B-1DF6B9AB38C5}"/>
            </c:ext>
          </c:extLst>
        </c:ser>
        <c:dLbls>
          <c:showLegendKey val="0"/>
          <c:showVal val="0"/>
          <c:showCatName val="0"/>
          <c:showSerName val="0"/>
          <c:showPercent val="0"/>
          <c:showBubbleSize val="0"/>
        </c:dLbls>
        <c:axId val="134637824"/>
        <c:axId val="134672384"/>
      </c:scatterChart>
      <c:valAx>
        <c:axId val="134637824"/>
        <c:scaling>
          <c:orientation val="minMax"/>
          <c:max val="2020"/>
          <c:min val="196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4672384"/>
        <c:crossesAt val="-1000"/>
        <c:crossBetween val="midCat"/>
        <c:majorUnit val="30"/>
        <c:minorUnit val="10"/>
      </c:valAx>
      <c:valAx>
        <c:axId val="134672384"/>
        <c:scaling>
          <c:orientation val="minMax"/>
          <c:max val="40"/>
          <c:min val="0"/>
        </c:scaling>
        <c:delete val="0"/>
        <c:axPos val="r"/>
        <c:title>
          <c:tx>
            <c:rich>
              <a:bodyPr rot="-5400000" vert="horz"/>
              <a:lstStyle/>
              <a:p>
                <a:pPr>
                  <a:defRPr sz="1200" b="0">
                    <a:solidFill>
                      <a:srgbClr val="333399"/>
                    </a:solidFill>
                  </a:defRPr>
                </a:pPr>
                <a:r>
                  <a:rPr lang="en-US" sz="1200" b="0">
                    <a:solidFill>
                      <a:srgbClr val="333399"/>
                    </a:solidFill>
                  </a:rPr>
                  <a:t>Cumulatrive production, Gt</a:t>
                </a:r>
              </a:p>
            </c:rich>
          </c:tx>
          <c:layout>
            <c:manualLayout>
              <c:xMode val="edge"/>
              <c:yMode val="edge"/>
              <c:x val="0.96179660875723849"/>
              <c:y val="0.12210994459026002"/>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4637824"/>
        <c:crosses val="max"/>
        <c:crossBetween val="midCat"/>
        <c:majorUnit val="20"/>
        <c:minorUnit val="5"/>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4615323084614424"/>
          <c:h val="0.77264654418197765"/>
        </c:manualLayout>
      </c:layout>
      <c:scatterChart>
        <c:scatterStyle val="smoothMarker"/>
        <c:varyColors val="0"/>
        <c:ser>
          <c:idx val="3"/>
          <c:order val="0"/>
          <c:tx>
            <c:strRef>
              <c:f>Africa!$H$17</c:f>
              <c:strCache>
                <c:ptCount val="1"/>
                <c:pt idx="0">
                  <c:v>Q historical</c:v>
                </c:pt>
              </c:strCache>
            </c:strRef>
          </c:tx>
          <c:spPr>
            <a:ln w="15875">
              <a:solidFill>
                <a:srgbClr val="333399"/>
              </a:solidFill>
            </a:ln>
          </c:spPr>
          <c:marker>
            <c:symbol val="none"/>
          </c:marker>
          <c:xVal>
            <c:numRef>
              <c:f>Africa!$D$19:$D$188</c:f>
              <c:numCache>
                <c:formatCode>General</c:formatCode>
                <c:ptCount val="170"/>
                <c:pt idx="0">
                  <c:v>1889</c:v>
                </c:pt>
                <c:pt idx="1">
                  <c:v>1890</c:v>
                </c:pt>
                <c:pt idx="2">
                  <c:v>1891</c:v>
                </c:pt>
                <c:pt idx="3">
                  <c:v>1892</c:v>
                </c:pt>
                <c:pt idx="4">
                  <c:v>1893</c:v>
                </c:pt>
                <c:pt idx="5">
                  <c:v>1894</c:v>
                </c:pt>
                <c:pt idx="6">
                  <c:v>1895</c:v>
                </c:pt>
                <c:pt idx="7">
                  <c:v>1896</c:v>
                </c:pt>
                <c:pt idx="8">
                  <c:v>1897</c:v>
                </c:pt>
                <c:pt idx="9">
                  <c:v>1898</c:v>
                </c:pt>
                <c:pt idx="10">
                  <c:v>1899</c:v>
                </c:pt>
                <c:pt idx="11">
                  <c:v>1900</c:v>
                </c:pt>
                <c:pt idx="12">
                  <c:v>1901</c:v>
                </c:pt>
                <c:pt idx="13">
                  <c:v>1902</c:v>
                </c:pt>
                <c:pt idx="14">
                  <c:v>1903</c:v>
                </c:pt>
                <c:pt idx="15">
                  <c:v>1904</c:v>
                </c:pt>
                <c:pt idx="16">
                  <c:v>1905</c:v>
                </c:pt>
                <c:pt idx="17">
                  <c:v>1906</c:v>
                </c:pt>
                <c:pt idx="18">
                  <c:v>1907</c:v>
                </c:pt>
                <c:pt idx="19">
                  <c:v>1908</c:v>
                </c:pt>
                <c:pt idx="20">
                  <c:v>1909</c:v>
                </c:pt>
                <c:pt idx="21">
                  <c:v>1910</c:v>
                </c:pt>
                <c:pt idx="22">
                  <c:v>1911</c:v>
                </c:pt>
                <c:pt idx="23">
                  <c:v>1912</c:v>
                </c:pt>
                <c:pt idx="24">
                  <c:v>1913</c:v>
                </c:pt>
                <c:pt idx="25">
                  <c:v>1914</c:v>
                </c:pt>
                <c:pt idx="26">
                  <c:v>1915</c:v>
                </c:pt>
                <c:pt idx="27">
                  <c:v>1916</c:v>
                </c:pt>
                <c:pt idx="28">
                  <c:v>1917</c:v>
                </c:pt>
                <c:pt idx="29">
                  <c:v>1918</c:v>
                </c:pt>
                <c:pt idx="30">
                  <c:v>1919</c:v>
                </c:pt>
                <c:pt idx="31">
                  <c:v>1920</c:v>
                </c:pt>
                <c:pt idx="32">
                  <c:v>1921</c:v>
                </c:pt>
                <c:pt idx="33">
                  <c:v>1922</c:v>
                </c:pt>
                <c:pt idx="34">
                  <c:v>1923</c:v>
                </c:pt>
                <c:pt idx="35">
                  <c:v>1924</c:v>
                </c:pt>
                <c:pt idx="36">
                  <c:v>1925</c:v>
                </c:pt>
                <c:pt idx="37">
                  <c:v>1926</c:v>
                </c:pt>
                <c:pt idx="38">
                  <c:v>1927</c:v>
                </c:pt>
                <c:pt idx="39">
                  <c:v>1928</c:v>
                </c:pt>
                <c:pt idx="40">
                  <c:v>1929</c:v>
                </c:pt>
                <c:pt idx="41">
                  <c:v>1930</c:v>
                </c:pt>
                <c:pt idx="42">
                  <c:v>1931</c:v>
                </c:pt>
                <c:pt idx="43">
                  <c:v>1932</c:v>
                </c:pt>
                <c:pt idx="44">
                  <c:v>1933</c:v>
                </c:pt>
                <c:pt idx="45">
                  <c:v>1934</c:v>
                </c:pt>
                <c:pt idx="46">
                  <c:v>1935</c:v>
                </c:pt>
                <c:pt idx="47">
                  <c:v>1936</c:v>
                </c:pt>
                <c:pt idx="48">
                  <c:v>1937</c:v>
                </c:pt>
                <c:pt idx="49">
                  <c:v>1938</c:v>
                </c:pt>
                <c:pt idx="50">
                  <c:v>1939</c:v>
                </c:pt>
                <c:pt idx="51">
                  <c:v>1940</c:v>
                </c:pt>
                <c:pt idx="52">
                  <c:v>1941</c:v>
                </c:pt>
                <c:pt idx="53">
                  <c:v>1942</c:v>
                </c:pt>
                <c:pt idx="54">
                  <c:v>1943</c:v>
                </c:pt>
                <c:pt idx="55">
                  <c:v>1944</c:v>
                </c:pt>
                <c:pt idx="56">
                  <c:v>1945</c:v>
                </c:pt>
                <c:pt idx="57">
                  <c:v>1946</c:v>
                </c:pt>
                <c:pt idx="58">
                  <c:v>1947</c:v>
                </c:pt>
                <c:pt idx="59">
                  <c:v>1948</c:v>
                </c:pt>
                <c:pt idx="60">
                  <c:v>1949</c:v>
                </c:pt>
                <c:pt idx="61">
                  <c:v>1950</c:v>
                </c:pt>
                <c:pt idx="62">
                  <c:v>1951</c:v>
                </c:pt>
                <c:pt idx="63">
                  <c:v>1952</c:v>
                </c:pt>
                <c:pt idx="64">
                  <c:v>1953</c:v>
                </c:pt>
                <c:pt idx="65">
                  <c:v>1954</c:v>
                </c:pt>
                <c:pt idx="66">
                  <c:v>1955</c:v>
                </c:pt>
                <c:pt idx="67">
                  <c:v>1956</c:v>
                </c:pt>
                <c:pt idx="68">
                  <c:v>1957</c:v>
                </c:pt>
                <c:pt idx="69">
                  <c:v>1958</c:v>
                </c:pt>
                <c:pt idx="70">
                  <c:v>1959</c:v>
                </c:pt>
                <c:pt idx="71">
                  <c:v>1960</c:v>
                </c:pt>
                <c:pt idx="72">
                  <c:v>1961</c:v>
                </c:pt>
                <c:pt idx="73">
                  <c:v>1962</c:v>
                </c:pt>
                <c:pt idx="74">
                  <c:v>1963</c:v>
                </c:pt>
                <c:pt idx="75">
                  <c:v>1964</c:v>
                </c:pt>
                <c:pt idx="76">
                  <c:v>1965</c:v>
                </c:pt>
                <c:pt idx="77">
                  <c:v>1966</c:v>
                </c:pt>
                <c:pt idx="78">
                  <c:v>1967</c:v>
                </c:pt>
                <c:pt idx="79">
                  <c:v>1968</c:v>
                </c:pt>
                <c:pt idx="80">
                  <c:v>1969</c:v>
                </c:pt>
                <c:pt idx="81">
                  <c:v>1970</c:v>
                </c:pt>
                <c:pt idx="82">
                  <c:v>1971</c:v>
                </c:pt>
                <c:pt idx="83">
                  <c:v>1972</c:v>
                </c:pt>
                <c:pt idx="84">
                  <c:v>1973</c:v>
                </c:pt>
                <c:pt idx="85">
                  <c:v>1974</c:v>
                </c:pt>
                <c:pt idx="86">
                  <c:v>1975</c:v>
                </c:pt>
                <c:pt idx="87">
                  <c:v>1976</c:v>
                </c:pt>
                <c:pt idx="88">
                  <c:v>1977</c:v>
                </c:pt>
                <c:pt idx="89">
                  <c:v>1978</c:v>
                </c:pt>
                <c:pt idx="90">
                  <c:v>1979</c:v>
                </c:pt>
                <c:pt idx="91">
                  <c:v>1980</c:v>
                </c:pt>
                <c:pt idx="92">
                  <c:v>1981</c:v>
                </c:pt>
                <c:pt idx="93">
                  <c:v>1982</c:v>
                </c:pt>
                <c:pt idx="94">
                  <c:v>1983</c:v>
                </c:pt>
                <c:pt idx="95">
                  <c:v>1984</c:v>
                </c:pt>
                <c:pt idx="96">
                  <c:v>1985</c:v>
                </c:pt>
                <c:pt idx="97">
                  <c:v>1986</c:v>
                </c:pt>
                <c:pt idx="98">
                  <c:v>1987</c:v>
                </c:pt>
                <c:pt idx="99">
                  <c:v>1988</c:v>
                </c:pt>
                <c:pt idx="100">
                  <c:v>1989</c:v>
                </c:pt>
                <c:pt idx="101">
                  <c:v>1990</c:v>
                </c:pt>
                <c:pt idx="102">
                  <c:v>1991</c:v>
                </c:pt>
                <c:pt idx="103">
                  <c:v>1992</c:v>
                </c:pt>
                <c:pt idx="104">
                  <c:v>1993</c:v>
                </c:pt>
                <c:pt idx="105">
                  <c:v>1994</c:v>
                </c:pt>
                <c:pt idx="106">
                  <c:v>1995</c:v>
                </c:pt>
                <c:pt idx="107">
                  <c:v>1996</c:v>
                </c:pt>
                <c:pt idx="108">
                  <c:v>1997</c:v>
                </c:pt>
                <c:pt idx="109">
                  <c:v>1998</c:v>
                </c:pt>
                <c:pt idx="110">
                  <c:v>1999</c:v>
                </c:pt>
                <c:pt idx="111">
                  <c:v>2000</c:v>
                </c:pt>
                <c:pt idx="112">
                  <c:v>2001</c:v>
                </c:pt>
                <c:pt idx="113">
                  <c:v>2002</c:v>
                </c:pt>
                <c:pt idx="114">
                  <c:v>2003</c:v>
                </c:pt>
                <c:pt idx="115">
                  <c:v>2004</c:v>
                </c:pt>
                <c:pt idx="116">
                  <c:v>2005</c:v>
                </c:pt>
                <c:pt idx="117">
                  <c:v>2006</c:v>
                </c:pt>
                <c:pt idx="118">
                  <c:v>2007</c:v>
                </c:pt>
                <c:pt idx="119">
                  <c:v>2008</c:v>
                </c:pt>
                <c:pt idx="120">
                  <c:v>2009</c:v>
                </c:pt>
                <c:pt idx="121">
                  <c:v>2010</c:v>
                </c:pt>
                <c:pt idx="122">
                  <c:v>2011</c:v>
                </c:pt>
                <c:pt idx="123">
                  <c:v>2012</c:v>
                </c:pt>
                <c:pt idx="124">
                  <c:v>2013</c:v>
                </c:pt>
                <c:pt idx="125">
                  <c:v>2014</c:v>
                </c:pt>
                <c:pt idx="126">
                  <c:v>2015</c:v>
                </c:pt>
                <c:pt idx="127">
                  <c:v>2016</c:v>
                </c:pt>
                <c:pt idx="128">
                  <c:v>2017</c:v>
                </c:pt>
                <c:pt idx="129">
                  <c:v>2018</c:v>
                </c:pt>
                <c:pt idx="130">
                  <c:v>2019</c:v>
                </c:pt>
                <c:pt idx="131">
                  <c:v>2020</c:v>
                </c:pt>
                <c:pt idx="132">
                  <c:v>2021</c:v>
                </c:pt>
                <c:pt idx="133">
                  <c:v>2022</c:v>
                </c:pt>
                <c:pt idx="134">
                  <c:v>2023</c:v>
                </c:pt>
                <c:pt idx="135">
                  <c:v>2024</c:v>
                </c:pt>
                <c:pt idx="136">
                  <c:v>2025</c:v>
                </c:pt>
                <c:pt idx="137">
                  <c:v>2026</c:v>
                </c:pt>
                <c:pt idx="138">
                  <c:v>2027</c:v>
                </c:pt>
                <c:pt idx="139">
                  <c:v>2028</c:v>
                </c:pt>
                <c:pt idx="140">
                  <c:v>2029</c:v>
                </c:pt>
                <c:pt idx="141">
                  <c:v>2030</c:v>
                </c:pt>
                <c:pt idx="142">
                  <c:v>2031</c:v>
                </c:pt>
                <c:pt idx="143">
                  <c:v>2032</c:v>
                </c:pt>
                <c:pt idx="144">
                  <c:v>2033</c:v>
                </c:pt>
                <c:pt idx="145">
                  <c:v>2034</c:v>
                </c:pt>
                <c:pt idx="146">
                  <c:v>2035</c:v>
                </c:pt>
                <c:pt idx="147">
                  <c:v>2036</c:v>
                </c:pt>
                <c:pt idx="148">
                  <c:v>2037</c:v>
                </c:pt>
                <c:pt idx="149">
                  <c:v>2038</c:v>
                </c:pt>
                <c:pt idx="150">
                  <c:v>2039</c:v>
                </c:pt>
                <c:pt idx="151">
                  <c:v>2040</c:v>
                </c:pt>
                <c:pt idx="152">
                  <c:v>2041</c:v>
                </c:pt>
                <c:pt idx="153">
                  <c:v>2042</c:v>
                </c:pt>
                <c:pt idx="154">
                  <c:v>2043</c:v>
                </c:pt>
                <c:pt idx="155">
                  <c:v>2044</c:v>
                </c:pt>
                <c:pt idx="156">
                  <c:v>2045</c:v>
                </c:pt>
                <c:pt idx="157">
                  <c:v>2046</c:v>
                </c:pt>
                <c:pt idx="158">
                  <c:v>2047</c:v>
                </c:pt>
                <c:pt idx="159">
                  <c:v>2048</c:v>
                </c:pt>
                <c:pt idx="160">
                  <c:v>2049</c:v>
                </c:pt>
                <c:pt idx="161">
                  <c:v>2050</c:v>
                </c:pt>
                <c:pt idx="162">
                  <c:v>2051</c:v>
                </c:pt>
                <c:pt idx="163">
                  <c:v>2052</c:v>
                </c:pt>
                <c:pt idx="164">
                  <c:v>2053</c:v>
                </c:pt>
                <c:pt idx="165">
                  <c:v>2054</c:v>
                </c:pt>
                <c:pt idx="166">
                  <c:v>2055</c:v>
                </c:pt>
                <c:pt idx="167">
                  <c:v>2056</c:v>
                </c:pt>
                <c:pt idx="168">
                  <c:v>2057</c:v>
                </c:pt>
                <c:pt idx="169">
                  <c:v>2058</c:v>
                </c:pt>
              </c:numCache>
            </c:numRef>
          </c:xVal>
          <c:yVal>
            <c:numRef>
              <c:f>Africa!$H$19:$H$188</c:f>
              <c:numCache>
                <c:formatCode>General</c:formatCode>
                <c:ptCount val="170"/>
                <c:pt idx="62" formatCode="0.0">
                  <c:v>430.84730261862705</c:v>
                </c:pt>
                <c:pt idx="63" formatCode="0.0">
                  <c:v>107.55778772047083</c:v>
                </c:pt>
                <c:pt idx="64" formatCode="0.0">
                  <c:v>52.522877175414109</c:v>
                </c:pt>
                <c:pt idx="65" formatCode="0.0">
                  <c:v>33.367988726562992</c:v>
                </c:pt>
                <c:pt idx="66" formatCode="0.0">
                  <c:v>30.324132548540895</c:v>
                </c:pt>
                <c:pt idx="67" formatCode="0.0">
                  <c:v>32.779688571652947</c:v>
                </c:pt>
                <c:pt idx="68" formatCode="0.0">
                  <c:v>38.469691653216906</c:v>
                </c:pt>
                <c:pt idx="69" formatCode="0.0">
                  <c:v>47.718479740860666</c:v>
                </c:pt>
                <c:pt idx="70" formatCode="0.0">
                  <c:v>52.771504342313783</c:v>
                </c:pt>
                <c:pt idx="71" formatCode="0.0">
                  <c:v>53.349870064420315</c:v>
                </c:pt>
                <c:pt idx="72" formatCode="0.0">
                  <c:v>49.903131858344345</c:v>
                </c:pt>
                <c:pt idx="73" formatCode="0.0">
                  <c:v>44.928585381771867</c:v>
                </c:pt>
                <c:pt idx="74" formatCode="0.0">
                  <c:v>39.498752155337428</c:v>
                </c:pt>
                <c:pt idx="75" formatCode="0.0">
                  <c:v>35.7073969940122</c:v>
                </c:pt>
                <c:pt idx="76" formatCode="0.0">
                  <c:v>34.556823822127654</c:v>
                </c:pt>
                <c:pt idx="77" formatCode="0.0">
                  <c:v>33.476783375001013</c:v>
                </c:pt>
                <c:pt idx="78" formatCode="0.0">
                  <c:v>32.116660199899194</c:v>
                </c:pt>
                <c:pt idx="79" formatCode="0.0">
                  <c:v>31.049884043288749</c:v>
                </c:pt>
                <c:pt idx="80" formatCode="0.0">
                  <c:v>29.796390810568123</c:v>
                </c:pt>
                <c:pt idx="81" formatCode="0.0">
                  <c:v>28.705533410180539</c:v>
                </c:pt>
                <c:pt idx="82" formatCode="0.0">
                  <c:v>28.350753077780471</c:v>
                </c:pt>
                <c:pt idx="83" formatCode="0.0">
                  <c:v>28.001295022859424</c:v>
                </c:pt>
                <c:pt idx="84" formatCode="0.0">
                  <c:v>28.103575564626251</c:v>
                </c:pt>
                <c:pt idx="85" formatCode="0.0">
                  <c:v>28.530388032435869</c:v>
                </c:pt>
                <c:pt idx="86" formatCode="0.0">
                  <c:v>29.516394509622689</c:v>
                </c:pt>
                <c:pt idx="87" formatCode="0.0">
                  <c:v>31.694388068914176</c:v>
                </c:pt>
                <c:pt idx="88" formatCode="0.0">
                  <c:v>31.694329701321834</c:v>
                </c:pt>
                <c:pt idx="89" formatCode="0.0">
                  <c:v>31.694329701321834</c:v>
                </c:pt>
                <c:pt idx="90" formatCode="0.0">
                  <c:v>31.706293273980535</c:v>
                </c:pt>
                <c:pt idx="91" formatCode="0.0">
                  <c:v>31.744045562333174</c:v>
                </c:pt>
                <c:pt idx="92" formatCode="0.0">
                  <c:v>31.867204655006031</c:v>
                </c:pt>
                <c:pt idx="93" formatCode="0.0">
                  <c:v>32.152635137512064</c:v>
                </c:pt>
                <c:pt idx="94" formatCode="0.0">
                  <c:v>32.488982845852988</c:v>
                </c:pt>
                <c:pt idx="95" formatCode="0.0">
                  <c:v>33.126373758109892</c:v>
                </c:pt>
                <c:pt idx="96" formatCode="0.0">
                  <c:v>34.158581590624365</c:v>
                </c:pt>
                <c:pt idx="97" formatCode="0.0">
                  <c:v>35.437006343819519</c:v>
                </c:pt>
                <c:pt idx="98" formatCode="0.0">
                  <c:v>36.652453790039239</c:v>
                </c:pt>
                <c:pt idx="99" formatCode="0.0">
                  <c:v>37.736557330506898</c:v>
                </c:pt>
                <c:pt idx="100" formatCode="0.0">
                  <c:v>38.174631549799187</c:v>
                </c:pt>
                <c:pt idx="101" formatCode="0.0">
                  <c:v>37.807544954165763</c:v>
                </c:pt>
                <c:pt idx="102" formatCode="0.0">
                  <c:v>36.723885552621695</c:v>
                </c:pt>
                <c:pt idx="103" formatCode="0.0">
                  <c:v>34.758706770991601</c:v>
                </c:pt>
                <c:pt idx="104" formatCode="0.0">
                  <c:v>32.171868621959398</c:v>
                </c:pt>
                <c:pt idx="105" formatCode="0.0">
                  <c:v>29.368732352627585</c:v>
                </c:pt>
                <c:pt idx="106" formatCode="0.0">
                  <c:v>26.703700260699879</c:v>
                </c:pt>
                <c:pt idx="107" formatCode="0.0">
                  <c:v>24.181879517767818</c:v>
                </c:pt>
                <c:pt idx="108" formatCode="0.0">
                  <c:v>22.314483488087166</c:v>
                </c:pt>
                <c:pt idx="109" formatCode="0.0">
                  <c:v>21.11726024874104</c:v>
                </c:pt>
                <c:pt idx="110" formatCode="0.0">
                  <c:v>20.230626266968834</c:v>
                </c:pt>
                <c:pt idx="111" formatCode="0.0">
                  <c:v>19.540303591846072</c:v>
                </c:pt>
                <c:pt idx="112" formatCode="0.0">
                  <c:v>18.94840974468606</c:v>
                </c:pt>
                <c:pt idx="113" formatCode="0.0">
                  <c:v>18.355579930113944</c:v>
                </c:pt>
                <c:pt idx="114" formatCode="0.0">
                  <c:v>18.024165111688774</c:v>
                </c:pt>
                <c:pt idx="115" formatCode="0.0">
                  <c:v>17.899063847218585</c:v>
                </c:pt>
                <c:pt idx="116" formatCode="0.0">
                  <c:v>17.866544290577078</c:v>
                </c:pt>
                <c:pt idx="117" formatCode="0.0">
                  <c:v>17.864380935461657</c:v>
                </c:pt>
                <c:pt idx="118" formatCode="0.0">
                  <c:v>17.888378202690731</c:v>
                </c:pt>
                <c:pt idx="119" formatCode="0.0">
                  <c:v>17.950167942848044</c:v>
                </c:pt>
                <c:pt idx="120" formatCode="0.0">
                  <c:v>18.004254442992103</c:v>
                </c:pt>
              </c:numCache>
            </c:numRef>
          </c:yVal>
          <c:smooth val="1"/>
          <c:extLst>
            <c:ext xmlns:c16="http://schemas.microsoft.com/office/drawing/2014/chart" uri="{C3380CC4-5D6E-409C-BE32-E72D297353CC}">
              <c16:uniqueId val="{00000000-E064-0D46-9DF1-7A794B14C3E5}"/>
            </c:ext>
          </c:extLst>
        </c:ser>
        <c:ser>
          <c:idx val="4"/>
          <c:order val="1"/>
          <c:tx>
            <c:strRef>
              <c:f>Africa!$O$17</c:f>
              <c:strCache>
                <c:ptCount val="1"/>
                <c:pt idx="0">
                  <c:v>Q reserves</c:v>
                </c:pt>
              </c:strCache>
            </c:strRef>
          </c:tx>
          <c:spPr>
            <a:ln>
              <a:noFill/>
            </a:ln>
          </c:spPr>
          <c:marker>
            <c:symbol val="circle"/>
            <c:size val="6"/>
            <c:spPr>
              <a:noFill/>
              <a:ln>
                <a:solidFill>
                  <a:srgbClr val="333399"/>
                </a:solidFill>
              </a:ln>
            </c:spPr>
          </c:marker>
          <c:xVal>
            <c:numRef>
              <c:f>Africa!$N$18:$N$53</c:f>
              <c:numCache>
                <c:formatCode>General</c:formatCode>
                <c:ptCount val="36"/>
                <c:pt idx="0">
                  <c:v>1913</c:v>
                </c:pt>
                <c:pt idx="1">
                  <c:v>1936</c:v>
                </c:pt>
                <c:pt idx="2">
                  <c:v>1937</c:v>
                </c:pt>
                <c:pt idx="3">
                  <c:v>1938</c:v>
                </c:pt>
                <c:pt idx="4">
                  <c:v>1948</c:v>
                </c:pt>
                <c:pt idx="5">
                  <c:v>1950</c:v>
                </c:pt>
                <c:pt idx="6">
                  <c:v>1954</c:v>
                </c:pt>
                <c:pt idx="7">
                  <c:v>1956</c:v>
                </c:pt>
                <c:pt idx="8">
                  <c:v>1960</c:v>
                </c:pt>
                <c:pt idx="9">
                  <c:v>1962</c:v>
                </c:pt>
                <c:pt idx="10">
                  <c:v>1968</c:v>
                </c:pt>
                <c:pt idx="11">
                  <c:v>1974</c:v>
                </c:pt>
                <c:pt idx="12">
                  <c:v>1980</c:v>
                </c:pt>
                <c:pt idx="13">
                  <c:v>1986</c:v>
                </c:pt>
                <c:pt idx="14">
                  <c:v>1989</c:v>
                </c:pt>
                <c:pt idx="15">
                  <c:v>1992</c:v>
                </c:pt>
                <c:pt idx="16">
                  <c:v>1995</c:v>
                </c:pt>
                <c:pt idx="17">
                  <c:v>1998</c:v>
                </c:pt>
                <c:pt idx="18">
                  <c:v>2001</c:v>
                </c:pt>
                <c:pt idx="19">
                  <c:v>2004</c:v>
                </c:pt>
                <c:pt idx="20">
                  <c:v>2007</c:v>
                </c:pt>
                <c:pt idx="21">
                  <c:v>2010</c:v>
                </c:pt>
              </c:numCache>
            </c:numRef>
          </c:xVal>
          <c:yVal>
            <c:numRef>
              <c:f>Africa!$O$18:$O$53</c:f>
              <c:numCache>
                <c:formatCode>0.0</c:formatCode>
                <c:ptCount val="36"/>
                <c:pt idx="0">
                  <c:v>57.914816999999999</c:v>
                </c:pt>
                <c:pt idx="1">
                  <c:v>221.830198</c:v>
                </c:pt>
                <c:pt idx="2">
                  <c:v>207.230198</c:v>
                </c:pt>
                <c:pt idx="3">
                  <c:v>211.230198</c:v>
                </c:pt>
                <c:pt idx="4">
                  <c:v>206.42329899999999</c:v>
                </c:pt>
                <c:pt idx="5">
                  <c:v>68.935769999999991</c:v>
                </c:pt>
                <c:pt idx="6">
                  <c:v>47.122551000000001</c:v>
                </c:pt>
                <c:pt idx="7">
                  <c:v>68.830434999999994</c:v>
                </c:pt>
                <c:pt idx="8">
                  <c:v>72.589670999999981</c:v>
                </c:pt>
                <c:pt idx="9">
                  <c:v>77.035491999999991</c:v>
                </c:pt>
                <c:pt idx="10">
                  <c:v>86.544412999999992</c:v>
                </c:pt>
                <c:pt idx="11">
                  <c:v>17.144413</c:v>
                </c:pt>
                <c:pt idx="12">
                  <c:v>34.686512999999998</c:v>
                </c:pt>
                <c:pt idx="13">
                  <c:v>68.930287000000007</c:v>
                </c:pt>
                <c:pt idx="14">
                  <c:v>66.479372999999995</c:v>
                </c:pt>
                <c:pt idx="15">
                  <c:v>66.202347000000003</c:v>
                </c:pt>
                <c:pt idx="16">
                  <c:v>66.354964999999993</c:v>
                </c:pt>
                <c:pt idx="17">
                  <c:v>66.726256000000006</c:v>
                </c:pt>
                <c:pt idx="18">
                  <c:v>61.370512999999995</c:v>
                </c:pt>
                <c:pt idx="19">
                  <c:v>57.026555672999997</c:v>
                </c:pt>
                <c:pt idx="20">
                  <c:v>57.037280378999995</c:v>
                </c:pt>
                <c:pt idx="21">
                  <c:v>39.880662696000002</c:v>
                </c:pt>
              </c:numCache>
            </c:numRef>
          </c:yVal>
          <c:smooth val="1"/>
          <c:extLst>
            <c:ext xmlns:c16="http://schemas.microsoft.com/office/drawing/2014/chart" uri="{C3380CC4-5D6E-409C-BE32-E72D297353CC}">
              <c16:uniqueId val="{00000001-E064-0D46-9DF1-7A794B14C3E5}"/>
            </c:ext>
          </c:extLst>
        </c:ser>
        <c:dLbls>
          <c:showLegendKey val="0"/>
          <c:showVal val="0"/>
          <c:showCatName val="0"/>
          <c:showSerName val="0"/>
          <c:showPercent val="0"/>
          <c:showBubbleSize val="0"/>
        </c:dLbls>
        <c:axId val="134681344"/>
        <c:axId val="134683264"/>
      </c:scatterChart>
      <c:valAx>
        <c:axId val="134681344"/>
        <c:scaling>
          <c:orientation val="minMax"/>
          <c:max val="2020"/>
          <c:min val="191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4683264"/>
        <c:crossesAt val="-1000"/>
        <c:crossBetween val="midCat"/>
        <c:majorUnit val="50"/>
        <c:minorUnit val="10"/>
      </c:valAx>
      <c:valAx>
        <c:axId val="134683264"/>
        <c:scaling>
          <c:orientation val="minMax"/>
          <c:max val="220"/>
          <c:min val="0"/>
        </c:scaling>
        <c:delete val="0"/>
        <c:axPos val="r"/>
        <c:title>
          <c:tx>
            <c:rich>
              <a:bodyPr rot="-5400000" vert="horz"/>
              <a:lstStyle/>
              <a:p>
                <a:pPr>
                  <a:defRPr sz="1200" b="0">
                    <a:solidFill>
                      <a:srgbClr val="333399"/>
                    </a:solidFill>
                  </a:defRPr>
                </a:pPr>
                <a:r>
                  <a:rPr lang="en-US" sz="1200" b="0">
                    <a:solidFill>
                      <a:srgbClr val="333399"/>
                    </a:solidFill>
                  </a:rPr>
                  <a:t>Long-term production, Gt</a:t>
                </a:r>
              </a:p>
            </c:rich>
          </c:tx>
          <c:layout>
            <c:manualLayout>
              <c:xMode val="edge"/>
              <c:yMode val="edge"/>
              <c:x val="0.96179660875723849"/>
              <c:y val="0.17303587051618546"/>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4681344"/>
        <c:crosses val="max"/>
        <c:crossBetween val="midCat"/>
        <c:majorUnit val="100"/>
        <c:minorUnit val="5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778487916283264"/>
          <c:h val="0.77264654418197765"/>
        </c:manualLayout>
      </c:layout>
      <c:scatterChart>
        <c:scatterStyle val="smoothMarker"/>
        <c:varyColors val="0"/>
        <c:ser>
          <c:idx val="3"/>
          <c:order val="0"/>
          <c:tx>
            <c:v>early logit</c:v>
          </c:tx>
          <c:spPr>
            <a:ln w="15875">
              <a:solidFill>
                <a:srgbClr val="008000"/>
              </a:solidFill>
              <a:prstDash val="lgDash"/>
            </a:ln>
          </c:spPr>
          <c:marker>
            <c:symbol val="none"/>
          </c:marker>
          <c:xVal>
            <c:numRef>
              <c:f>Europe!$D$19:$D$170</c:f>
              <c:numCache>
                <c:formatCode>General</c:formatCode>
                <c:ptCount val="152"/>
                <c:pt idx="0">
                  <c:v>1799</c:v>
                </c:pt>
                <c:pt idx="1">
                  <c:v>1800</c:v>
                </c:pt>
                <c:pt idx="2">
                  <c:v>1801</c:v>
                </c:pt>
                <c:pt idx="3">
                  <c:v>1802</c:v>
                </c:pt>
                <c:pt idx="4">
                  <c:v>1803</c:v>
                </c:pt>
                <c:pt idx="5">
                  <c:v>1804</c:v>
                </c:pt>
                <c:pt idx="6">
                  <c:v>1805</c:v>
                </c:pt>
                <c:pt idx="7">
                  <c:v>1806</c:v>
                </c:pt>
                <c:pt idx="8">
                  <c:v>1807</c:v>
                </c:pt>
                <c:pt idx="9">
                  <c:v>1808</c:v>
                </c:pt>
                <c:pt idx="10">
                  <c:v>1809</c:v>
                </c:pt>
                <c:pt idx="11">
                  <c:v>1810</c:v>
                </c:pt>
                <c:pt idx="12">
                  <c:v>1811</c:v>
                </c:pt>
                <c:pt idx="13">
                  <c:v>1812</c:v>
                </c:pt>
                <c:pt idx="14">
                  <c:v>1813</c:v>
                </c:pt>
                <c:pt idx="15">
                  <c:v>1814</c:v>
                </c:pt>
                <c:pt idx="16">
                  <c:v>1815</c:v>
                </c:pt>
                <c:pt idx="17">
                  <c:v>1816</c:v>
                </c:pt>
                <c:pt idx="18">
                  <c:v>1817</c:v>
                </c:pt>
                <c:pt idx="19">
                  <c:v>1818</c:v>
                </c:pt>
                <c:pt idx="20">
                  <c:v>1819</c:v>
                </c:pt>
                <c:pt idx="21">
                  <c:v>1820</c:v>
                </c:pt>
                <c:pt idx="22">
                  <c:v>1821</c:v>
                </c:pt>
                <c:pt idx="23">
                  <c:v>1822</c:v>
                </c:pt>
                <c:pt idx="24">
                  <c:v>1823</c:v>
                </c:pt>
                <c:pt idx="25">
                  <c:v>1824</c:v>
                </c:pt>
                <c:pt idx="26">
                  <c:v>1825</c:v>
                </c:pt>
                <c:pt idx="27">
                  <c:v>1826</c:v>
                </c:pt>
                <c:pt idx="28">
                  <c:v>1827</c:v>
                </c:pt>
                <c:pt idx="29">
                  <c:v>1828</c:v>
                </c:pt>
                <c:pt idx="30">
                  <c:v>1829</c:v>
                </c:pt>
                <c:pt idx="31">
                  <c:v>1830</c:v>
                </c:pt>
                <c:pt idx="32">
                  <c:v>1831</c:v>
                </c:pt>
                <c:pt idx="33">
                  <c:v>1832</c:v>
                </c:pt>
                <c:pt idx="34">
                  <c:v>1833</c:v>
                </c:pt>
                <c:pt idx="35">
                  <c:v>1834</c:v>
                </c:pt>
                <c:pt idx="36">
                  <c:v>1835</c:v>
                </c:pt>
                <c:pt idx="37">
                  <c:v>1836</c:v>
                </c:pt>
                <c:pt idx="38">
                  <c:v>1837</c:v>
                </c:pt>
                <c:pt idx="39">
                  <c:v>1838</c:v>
                </c:pt>
                <c:pt idx="40">
                  <c:v>1839</c:v>
                </c:pt>
                <c:pt idx="41">
                  <c:v>1840</c:v>
                </c:pt>
                <c:pt idx="42">
                  <c:v>1841</c:v>
                </c:pt>
                <c:pt idx="43">
                  <c:v>1842</c:v>
                </c:pt>
                <c:pt idx="44">
                  <c:v>1843</c:v>
                </c:pt>
                <c:pt idx="45">
                  <c:v>1844</c:v>
                </c:pt>
                <c:pt idx="46">
                  <c:v>1845</c:v>
                </c:pt>
                <c:pt idx="47">
                  <c:v>1846</c:v>
                </c:pt>
                <c:pt idx="48">
                  <c:v>1847</c:v>
                </c:pt>
                <c:pt idx="49">
                  <c:v>1848</c:v>
                </c:pt>
                <c:pt idx="50">
                  <c:v>1849</c:v>
                </c:pt>
                <c:pt idx="51">
                  <c:v>1850</c:v>
                </c:pt>
                <c:pt idx="52">
                  <c:v>1851</c:v>
                </c:pt>
                <c:pt idx="53">
                  <c:v>1852</c:v>
                </c:pt>
                <c:pt idx="54">
                  <c:v>1853</c:v>
                </c:pt>
                <c:pt idx="55">
                  <c:v>1854</c:v>
                </c:pt>
                <c:pt idx="56">
                  <c:v>1855</c:v>
                </c:pt>
                <c:pt idx="57">
                  <c:v>1856</c:v>
                </c:pt>
                <c:pt idx="58">
                  <c:v>1857</c:v>
                </c:pt>
                <c:pt idx="59">
                  <c:v>1858</c:v>
                </c:pt>
                <c:pt idx="60">
                  <c:v>1859</c:v>
                </c:pt>
                <c:pt idx="61">
                  <c:v>1860</c:v>
                </c:pt>
                <c:pt idx="62">
                  <c:v>1861</c:v>
                </c:pt>
                <c:pt idx="63">
                  <c:v>1862</c:v>
                </c:pt>
                <c:pt idx="64">
                  <c:v>1863</c:v>
                </c:pt>
                <c:pt idx="65">
                  <c:v>1864</c:v>
                </c:pt>
                <c:pt idx="66">
                  <c:v>1865</c:v>
                </c:pt>
                <c:pt idx="67">
                  <c:v>1866</c:v>
                </c:pt>
                <c:pt idx="68">
                  <c:v>1867</c:v>
                </c:pt>
                <c:pt idx="69">
                  <c:v>1868</c:v>
                </c:pt>
                <c:pt idx="70">
                  <c:v>1869</c:v>
                </c:pt>
                <c:pt idx="71">
                  <c:v>1870</c:v>
                </c:pt>
                <c:pt idx="72">
                  <c:v>1871</c:v>
                </c:pt>
                <c:pt idx="73">
                  <c:v>1872</c:v>
                </c:pt>
                <c:pt idx="74">
                  <c:v>1873</c:v>
                </c:pt>
                <c:pt idx="75">
                  <c:v>1874</c:v>
                </c:pt>
                <c:pt idx="76">
                  <c:v>1875</c:v>
                </c:pt>
                <c:pt idx="77">
                  <c:v>1876</c:v>
                </c:pt>
                <c:pt idx="78">
                  <c:v>1877</c:v>
                </c:pt>
                <c:pt idx="79">
                  <c:v>1878</c:v>
                </c:pt>
                <c:pt idx="80">
                  <c:v>1879</c:v>
                </c:pt>
                <c:pt idx="81">
                  <c:v>1880</c:v>
                </c:pt>
                <c:pt idx="82">
                  <c:v>1881</c:v>
                </c:pt>
                <c:pt idx="83">
                  <c:v>1882</c:v>
                </c:pt>
                <c:pt idx="84">
                  <c:v>1883</c:v>
                </c:pt>
                <c:pt idx="85">
                  <c:v>1884</c:v>
                </c:pt>
                <c:pt idx="86">
                  <c:v>1885</c:v>
                </c:pt>
                <c:pt idx="87">
                  <c:v>1886</c:v>
                </c:pt>
                <c:pt idx="88">
                  <c:v>1887</c:v>
                </c:pt>
                <c:pt idx="89">
                  <c:v>1888</c:v>
                </c:pt>
                <c:pt idx="90">
                  <c:v>1889</c:v>
                </c:pt>
                <c:pt idx="91">
                  <c:v>1890</c:v>
                </c:pt>
                <c:pt idx="92">
                  <c:v>1891</c:v>
                </c:pt>
                <c:pt idx="93">
                  <c:v>1892</c:v>
                </c:pt>
                <c:pt idx="94">
                  <c:v>1893</c:v>
                </c:pt>
                <c:pt idx="95">
                  <c:v>1894</c:v>
                </c:pt>
                <c:pt idx="96">
                  <c:v>1895</c:v>
                </c:pt>
                <c:pt idx="97">
                  <c:v>1896</c:v>
                </c:pt>
                <c:pt idx="98">
                  <c:v>1897</c:v>
                </c:pt>
                <c:pt idx="99">
                  <c:v>1898</c:v>
                </c:pt>
                <c:pt idx="100">
                  <c:v>1899</c:v>
                </c:pt>
                <c:pt idx="101">
                  <c:v>1900</c:v>
                </c:pt>
                <c:pt idx="102">
                  <c:v>1901</c:v>
                </c:pt>
                <c:pt idx="103">
                  <c:v>1902</c:v>
                </c:pt>
                <c:pt idx="104">
                  <c:v>1903</c:v>
                </c:pt>
                <c:pt idx="105">
                  <c:v>1904</c:v>
                </c:pt>
                <c:pt idx="106">
                  <c:v>1905</c:v>
                </c:pt>
                <c:pt idx="107">
                  <c:v>1906</c:v>
                </c:pt>
                <c:pt idx="108">
                  <c:v>1907</c:v>
                </c:pt>
                <c:pt idx="109">
                  <c:v>1908</c:v>
                </c:pt>
                <c:pt idx="110">
                  <c:v>1909</c:v>
                </c:pt>
                <c:pt idx="111">
                  <c:v>1910</c:v>
                </c:pt>
                <c:pt idx="112">
                  <c:v>1911</c:v>
                </c:pt>
                <c:pt idx="113">
                  <c:v>1912</c:v>
                </c:pt>
                <c:pt idx="114">
                  <c:v>1913</c:v>
                </c:pt>
                <c:pt idx="115">
                  <c:v>1914</c:v>
                </c:pt>
                <c:pt idx="116">
                  <c:v>1915</c:v>
                </c:pt>
                <c:pt idx="117">
                  <c:v>1916</c:v>
                </c:pt>
                <c:pt idx="118">
                  <c:v>1917</c:v>
                </c:pt>
                <c:pt idx="119">
                  <c:v>1918</c:v>
                </c:pt>
                <c:pt idx="120">
                  <c:v>1919</c:v>
                </c:pt>
                <c:pt idx="121">
                  <c:v>1920</c:v>
                </c:pt>
                <c:pt idx="122">
                  <c:v>1921</c:v>
                </c:pt>
                <c:pt idx="123">
                  <c:v>1922</c:v>
                </c:pt>
                <c:pt idx="124">
                  <c:v>1923</c:v>
                </c:pt>
                <c:pt idx="125">
                  <c:v>1924</c:v>
                </c:pt>
                <c:pt idx="126">
                  <c:v>1925</c:v>
                </c:pt>
                <c:pt idx="127">
                  <c:v>1926</c:v>
                </c:pt>
                <c:pt idx="128">
                  <c:v>1927</c:v>
                </c:pt>
                <c:pt idx="129">
                  <c:v>1928</c:v>
                </c:pt>
                <c:pt idx="130">
                  <c:v>1929</c:v>
                </c:pt>
                <c:pt idx="131">
                  <c:v>1930</c:v>
                </c:pt>
                <c:pt idx="132">
                  <c:v>1931</c:v>
                </c:pt>
                <c:pt idx="133">
                  <c:v>1932</c:v>
                </c:pt>
                <c:pt idx="134">
                  <c:v>1933</c:v>
                </c:pt>
                <c:pt idx="135">
                  <c:v>1934</c:v>
                </c:pt>
                <c:pt idx="136">
                  <c:v>1935</c:v>
                </c:pt>
                <c:pt idx="137">
                  <c:v>1936</c:v>
                </c:pt>
                <c:pt idx="138">
                  <c:v>1937</c:v>
                </c:pt>
                <c:pt idx="139">
                  <c:v>1938</c:v>
                </c:pt>
                <c:pt idx="140">
                  <c:v>1939</c:v>
                </c:pt>
                <c:pt idx="141">
                  <c:v>1940</c:v>
                </c:pt>
                <c:pt idx="142">
                  <c:v>1941</c:v>
                </c:pt>
                <c:pt idx="143">
                  <c:v>1942</c:v>
                </c:pt>
                <c:pt idx="144">
                  <c:v>1943</c:v>
                </c:pt>
                <c:pt idx="145">
                  <c:v>1944</c:v>
                </c:pt>
                <c:pt idx="146">
                  <c:v>1945</c:v>
                </c:pt>
                <c:pt idx="147">
                  <c:v>1946</c:v>
                </c:pt>
                <c:pt idx="148">
                  <c:v>1947</c:v>
                </c:pt>
                <c:pt idx="149">
                  <c:v>1948</c:v>
                </c:pt>
                <c:pt idx="150">
                  <c:v>1949</c:v>
                </c:pt>
                <c:pt idx="151">
                  <c:v>1950</c:v>
                </c:pt>
              </c:numCache>
            </c:numRef>
          </c:xVal>
          <c:yVal>
            <c:numRef>
              <c:f>Europe!$G$19:$G$170</c:f>
              <c:numCache>
                <c:formatCode>0.00</c:formatCode>
                <c:ptCount val="152"/>
                <c:pt idx="0">
                  <c:v>-15.84629159088394</c:v>
                </c:pt>
                <c:pt idx="1">
                  <c:v>-15.818831189867197</c:v>
                </c:pt>
                <c:pt idx="2">
                  <c:v>-15.786201863333076</c:v>
                </c:pt>
                <c:pt idx="3">
                  <c:v>-15.749433010326495</c:v>
                </c:pt>
                <c:pt idx="4">
                  <c:v>-15.693277899145576</c:v>
                </c:pt>
                <c:pt idx="5">
                  <c:v>-15.627247307183502</c:v>
                </c:pt>
                <c:pt idx="6">
                  <c:v>-15.561027168103427</c:v>
                </c:pt>
                <c:pt idx="7">
                  <c:v>-15.484572514337204</c:v>
                </c:pt>
                <c:pt idx="8">
                  <c:v>-15.412076998131852</c:v>
                </c:pt>
                <c:pt idx="9">
                  <c:v>-15.337627305207832</c:v>
                </c:pt>
                <c:pt idx="10">
                  <c:v>-15.261983086191959</c:v>
                </c:pt>
                <c:pt idx="11">
                  <c:v>-15.185773138447933</c:v>
                </c:pt>
                <c:pt idx="12">
                  <c:v>-15.111686112217797</c:v>
                </c:pt>
                <c:pt idx="13">
                  <c:v>-15.040678353469836</c:v>
                </c:pt>
                <c:pt idx="14">
                  <c:v>-14.969876147901557</c:v>
                </c:pt>
                <c:pt idx="15">
                  <c:v>-14.903535776240117</c:v>
                </c:pt>
                <c:pt idx="16">
                  <c:v>-14.837172867935738</c:v>
                </c:pt>
                <c:pt idx="17">
                  <c:v>-14.77144406163702</c:v>
                </c:pt>
                <c:pt idx="18">
                  <c:v>-11.502638547754698</c:v>
                </c:pt>
                <c:pt idx="19">
                  <c:v>-10.82862337583042</c:v>
                </c:pt>
                <c:pt idx="20">
                  <c:v>-10.429560944745493</c:v>
                </c:pt>
                <c:pt idx="21">
                  <c:v>-10.126223129548531</c:v>
                </c:pt>
                <c:pt idx="22">
                  <c:v>-9.8790191485565835</c:v>
                </c:pt>
                <c:pt idx="23">
                  <c:v>-9.669059172723232</c:v>
                </c:pt>
                <c:pt idx="24">
                  <c:v>-9.4955658585159135</c:v>
                </c:pt>
                <c:pt idx="25">
                  <c:v>-9.3307776729812133</c:v>
                </c:pt>
                <c:pt idx="26">
                  <c:v>-9.18931483623183</c:v>
                </c:pt>
                <c:pt idx="27">
                  <c:v>-9.0653171538640915</c:v>
                </c:pt>
                <c:pt idx="28">
                  <c:v>-8.9492021738155092</c:v>
                </c:pt>
                <c:pt idx="29">
                  <c:v>-8.8451416476097293</c:v>
                </c:pt>
                <c:pt idx="30">
                  <c:v>-8.7508820149359501</c:v>
                </c:pt>
                <c:pt idx="31">
                  <c:v>-8.6604116422417654</c:v>
                </c:pt>
                <c:pt idx="32">
                  <c:v>-8.5813879136781868</c:v>
                </c:pt>
                <c:pt idx="33">
                  <c:v>-8.5007804492090902</c:v>
                </c:pt>
                <c:pt idx="34">
                  <c:v>-8.4193750139001189</c:v>
                </c:pt>
                <c:pt idx="35">
                  <c:v>-8.3440854171420309</c:v>
                </c:pt>
                <c:pt idx="36">
                  <c:v>-8.2711348170199681</c:v>
                </c:pt>
                <c:pt idx="37">
                  <c:v>-8.1976908531268986</c:v>
                </c:pt>
                <c:pt idx="38">
                  <c:v>-8.1067396607566682</c:v>
                </c:pt>
                <c:pt idx="39">
                  <c:v>-8.0165595012699953</c:v>
                </c:pt>
                <c:pt idx="40">
                  <c:v>-7.9271946195081178</c:v>
                </c:pt>
                <c:pt idx="41">
                  <c:v>-7.8394544040491967</c:v>
                </c:pt>
                <c:pt idx="42">
                  <c:v>-7.7568503100453592</c:v>
                </c:pt>
                <c:pt idx="43">
                  <c:v>-7.6675215457547043</c:v>
                </c:pt>
                <c:pt idx="44">
                  <c:v>-7.5899858272841509</c:v>
                </c:pt>
                <c:pt idx="45">
                  <c:v>-7.5126022528393834</c:v>
                </c:pt>
                <c:pt idx="46">
                  <c:v>-7.429243582027822</c:v>
                </c:pt>
                <c:pt idx="47">
                  <c:v>-7.3475619893606252</c:v>
                </c:pt>
                <c:pt idx="48">
                  <c:v>-7.2676950467642873</c:v>
                </c:pt>
                <c:pt idx="49">
                  <c:v>-7.1945435335111805</c:v>
                </c:pt>
                <c:pt idx="50">
                  <c:v>-7.1234733879267624</c:v>
                </c:pt>
                <c:pt idx="51">
                  <c:v>-7.053581551098838</c:v>
                </c:pt>
                <c:pt idx="52">
                  <c:v>-6.9767231148782081</c:v>
                </c:pt>
                <c:pt idx="53">
                  <c:v>-6.8977072254980207</c:v>
                </c:pt>
                <c:pt idx="54">
                  <c:v>-6.8146731143452977</c:v>
                </c:pt>
                <c:pt idx="55">
                  <c:v>-6.7276671127891978</c:v>
                </c:pt>
                <c:pt idx="56">
                  <c:v>-6.636643302451958</c:v>
                </c:pt>
                <c:pt idx="57">
                  <c:v>-6.5454220689279961</c:v>
                </c:pt>
                <c:pt idx="58">
                  <c:v>-6.4555025525283529</c:v>
                </c:pt>
                <c:pt idx="59">
                  <c:v>-6.3683491464613544</c:v>
                </c:pt>
                <c:pt idx="60">
                  <c:v>-6.2949654724498592</c:v>
                </c:pt>
                <c:pt idx="61">
                  <c:v>-6.2080145360838284</c:v>
                </c:pt>
                <c:pt idx="62">
                  <c:v>-6.1249430378280803</c:v>
                </c:pt>
                <c:pt idx="63">
                  <c:v>-6.0406047928520747</c:v>
                </c:pt>
                <c:pt idx="64">
                  <c:v>-5.957670630766458</c:v>
                </c:pt>
                <c:pt idx="65">
                  <c:v>-5.8723600500213839</c:v>
                </c:pt>
                <c:pt idx="66">
                  <c:v>-5.7847547527332424</c:v>
                </c:pt>
                <c:pt idx="67">
                  <c:v>-5.7060155179663328</c:v>
                </c:pt>
                <c:pt idx="68">
                  <c:v>-5.6245174783695147</c:v>
                </c:pt>
                <c:pt idx="69">
                  <c:v>-5.543360659336817</c:v>
                </c:pt>
                <c:pt idx="70">
                  <c:v>-5.4642081398674085</c:v>
                </c:pt>
                <c:pt idx="71">
                  <c:v>-5.3900251830629342</c:v>
                </c:pt>
                <c:pt idx="72">
                  <c:v>-5.3118800330224616</c:v>
                </c:pt>
                <c:pt idx="73">
                  <c:v>-5.2324621891460197</c:v>
                </c:pt>
                <c:pt idx="74">
                  <c:v>-5.1518634665501075</c:v>
                </c:pt>
                <c:pt idx="75">
                  <c:v>-5.0760523692556472</c:v>
                </c:pt>
                <c:pt idx="76">
                  <c:v>-5.0032099381256225</c:v>
                </c:pt>
                <c:pt idx="77">
                  <c:v>-4.9327493442332617</c:v>
                </c:pt>
                <c:pt idx="78">
                  <c:v>-4.8679530862355387</c:v>
                </c:pt>
                <c:pt idx="79">
                  <c:v>-4.8045307334241336</c:v>
                </c:pt>
                <c:pt idx="80">
                  <c:v>-4.7411844375192027</c:v>
                </c:pt>
                <c:pt idx="81">
                  <c:v>-4.6758229590288716</c:v>
                </c:pt>
                <c:pt idx="82">
                  <c:v>-4.6112669673075546</c:v>
                </c:pt>
                <c:pt idx="83">
                  <c:v>-4.5472789274220098</c:v>
                </c:pt>
                <c:pt idx="84">
                  <c:v>-4.4825365620873008</c:v>
                </c:pt>
                <c:pt idx="85">
                  <c:v>-4.420477639522054</c:v>
                </c:pt>
                <c:pt idx="86">
                  <c:v>-4.3604764510662175</c:v>
                </c:pt>
                <c:pt idx="87">
                  <c:v>-4.3033905887290667</c:v>
                </c:pt>
                <c:pt idx="88">
                  <c:v>-4.2473474432684544</c:v>
                </c:pt>
                <c:pt idx="89">
                  <c:v>-4.1900185483719445</c:v>
                </c:pt>
                <c:pt idx="90">
                  <c:v>-4.1333481305982858</c:v>
                </c:pt>
                <c:pt idx="91">
                  <c:v>-4.0765385468058755</c:v>
                </c:pt>
                <c:pt idx="92">
                  <c:v>-4.0197915055541289</c:v>
                </c:pt>
                <c:pt idx="93">
                  <c:v>-3.9664247617282387</c:v>
                </c:pt>
                <c:pt idx="94">
                  <c:v>-3.9136503428024101</c:v>
                </c:pt>
                <c:pt idx="95">
                  <c:v>-3.861650813673672</c:v>
                </c:pt>
                <c:pt idx="96">
                  <c:v>-3.8096736920413057</c:v>
                </c:pt>
                <c:pt idx="97">
                  <c:v>-3.7568425822354419</c:v>
                </c:pt>
                <c:pt idx="98">
                  <c:v>-3.7027351916958402</c:v>
                </c:pt>
                <c:pt idx="99">
                  <c:v>-3.6480485003351455</c:v>
                </c:pt>
                <c:pt idx="100">
                  <c:v>-3.5926490222645437</c:v>
                </c:pt>
                <c:pt idx="101">
                  <c:v>-3.5358634989080149</c:v>
                </c:pt>
                <c:pt idx="102">
                  <c:v>-3.4806006002150993</c:v>
                </c:pt>
                <c:pt idx="103">
                  <c:v>-3.429160242238845</c:v>
                </c:pt>
                <c:pt idx="104">
                  <c:v>-3.3767419841192643</c:v>
                </c:pt>
                <c:pt idx="105">
                  <c:v>-3.3247414409251652</c:v>
                </c:pt>
                <c:pt idx="106">
                  <c:v>-3.2738209566754106</c:v>
                </c:pt>
                <c:pt idx="107">
                  <c:v>-3.2202767231942957</c:v>
                </c:pt>
                <c:pt idx="108">
                  <c:v>-3.165535406734814</c:v>
                </c:pt>
                <c:pt idx="109">
                  <c:v>-3.1114850431128471</c:v>
                </c:pt>
                <c:pt idx="110">
                  <c:v>-3.0594605003497568</c:v>
                </c:pt>
                <c:pt idx="111">
                  <c:v>-3.009320452477048</c:v>
                </c:pt>
                <c:pt idx="112">
                  <c:v>-2.9586331321173795</c:v>
                </c:pt>
                <c:pt idx="113">
                  <c:v>-2.9064683479871065</c:v>
                </c:pt>
                <c:pt idx="114">
                  <c:v>-2.8475532408895603</c:v>
                </c:pt>
                <c:pt idx="115">
                  <c:v>-2.7964890976004386</c:v>
                </c:pt>
                <c:pt idx="116">
                  <c:v>-2.7491364659132072</c:v>
                </c:pt>
                <c:pt idx="117">
                  <c:v>-2.705490343162479</c:v>
                </c:pt>
                <c:pt idx="118">
                  <c:v>-2.6627070276682248</c:v>
                </c:pt>
                <c:pt idx="119">
                  <c:v>-2.6241135376268119</c:v>
                </c:pt>
                <c:pt idx="120">
                  <c:v>-2.5929757550025316</c:v>
                </c:pt>
                <c:pt idx="121">
                  <c:v>-2.5571605747511827</c:v>
                </c:pt>
                <c:pt idx="122">
                  <c:v>-2.5205980688766965</c:v>
                </c:pt>
                <c:pt idx="123">
                  <c:v>-2.4825761220177762</c:v>
                </c:pt>
                <c:pt idx="124">
                  <c:v>-2.4529191978790474</c:v>
                </c:pt>
                <c:pt idx="125">
                  <c:v>-2.416938655576419</c:v>
                </c:pt>
                <c:pt idx="126">
                  <c:v>-2.3798113972596862</c:v>
                </c:pt>
                <c:pt idx="127">
                  <c:v>-2.3409437405523779</c:v>
                </c:pt>
                <c:pt idx="128">
                  <c:v>-2.3005681410406971</c:v>
                </c:pt>
                <c:pt idx="129">
                  <c:v>-2.2600403443076242</c:v>
                </c:pt>
                <c:pt idx="130">
                  <c:v>-2.2177584611478971</c:v>
                </c:pt>
                <c:pt idx="131">
                  <c:v>-2.1821784588740125</c:v>
                </c:pt>
                <c:pt idx="132">
                  <c:v>-2.1500339050137769</c:v>
                </c:pt>
                <c:pt idx="133">
                  <c:v>-2.1213200883770185</c:v>
                </c:pt>
                <c:pt idx="134">
                  <c:v>-2.0924860923440436</c:v>
                </c:pt>
                <c:pt idx="135">
                  <c:v>-2.0614900291072922</c:v>
                </c:pt>
                <c:pt idx="136">
                  <c:v>-2.0286554284593916</c:v>
                </c:pt>
                <c:pt idx="137">
                  <c:v>-1.9939218688916387</c:v>
                </c:pt>
                <c:pt idx="138">
                  <c:v>-1.9554740395760493</c:v>
                </c:pt>
                <c:pt idx="139">
                  <c:v>-1.9169535281815595</c:v>
                </c:pt>
                <c:pt idx="140">
                  <c:v>-1.8785635482357661</c:v>
                </c:pt>
                <c:pt idx="141">
                  <c:v>-1.8376175031425204</c:v>
                </c:pt>
                <c:pt idx="142">
                  <c:v>-1.7981464602430057</c:v>
                </c:pt>
                <c:pt idx="143">
                  <c:v>-1.7616842684665583</c:v>
                </c:pt>
                <c:pt idx="144">
                  <c:v>-1.7249087693409413</c:v>
                </c:pt>
                <c:pt idx="145">
                  <c:v>-1.6926124383049734</c:v>
                </c:pt>
                <c:pt idx="146">
                  <c:v>-1.6825794569443557</c:v>
                </c:pt>
                <c:pt idx="147">
                  <c:v>-1.6608980947573531</c:v>
                </c:pt>
                <c:pt idx="148">
                  <c:v>-1.6364945764423704</c:v>
                </c:pt>
                <c:pt idx="149">
                  <c:v>-1.6094504744823774</c:v>
                </c:pt>
                <c:pt idx="150">
                  <c:v>-1.5796763904960334</c:v>
                </c:pt>
                <c:pt idx="151">
                  <c:v>-1.5480749038667168</c:v>
                </c:pt>
              </c:numCache>
            </c:numRef>
          </c:yVal>
          <c:smooth val="1"/>
          <c:extLst>
            <c:ext xmlns:c16="http://schemas.microsoft.com/office/drawing/2014/chart" uri="{C3380CC4-5D6E-409C-BE32-E72D297353CC}">
              <c16:uniqueId val="{00000000-3897-A147-B7D5-2C7F7C56A5B9}"/>
            </c:ext>
          </c:extLst>
        </c:ser>
        <c:ser>
          <c:idx val="0"/>
          <c:order val="1"/>
          <c:tx>
            <c:strRef>
              <c:f>Europe!$G$17</c:f>
              <c:strCache>
                <c:ptCount val="1"/>
                <c:pt idx="0">
                  <c:v>logit</c:v>
                </c:pt>
              </c:strCache>
            </c:strRef>
          </c:tx>
          <c:spPr>
            <a:ln w="15875">
              <a:solidFill>
                <a:srgbClr val="008000"/>
              </a:solidFill>
            </a:ln>
          </c:spPr>
          <c:marker>
            <c:symbol val="none"/>
          </c:marker>
          <c:xVal>
            <c:numRef>
              <c:f>Europe!$D$171:$D$284</c:f>
              <c:numCache>
                <c:formatCode>General</c:formatCode>
                <c:ptCount val="114"/>
                <c:pt idx="0">
                  <c:v>1951</c:v>
                </c:pt>
                <c:pt idx="1">
                  <c:v>1952</c:v>
                </c:pt>
                <c:pt idx="2">
                  <c:v>1953</c:v>
                </c:pt>
                <c:pt idx="3">
                  <c:v>1954</c:v>
                </c:pt>
                <c:pt idx="4">
                  <c:v>1955</c:v>
                </c:pt>
                <c:pt idx="5">
                  <c:v>1956</c:v>
                </c:pt>
                <c:pt idx="6">
                  <c:v>1957</c:v>
                </c:pt>
                <c:pt idx="7">
                  <c:v>1958</c:v>
                </c:pt>
                <c:pt idx="8">
                  <c:v>1959</c:v>
                </c:pt>
                <c:pt idx="9">
                  <c:v>1960</c:v>
                </c:pt>
                <c:pt idx="10">
                  <c:v>1961</c:v>
                </c:pt>
                <c:pt idx="11">
                  <c:v>1962</c:v>
                </c:pt>
                <c:pt idx="12">
                  <c:v>1963</c:v>
                </c:pt>
                <c:pt idx="13">
                  <c:v>1964</c:v>
                </c:pt>
                <c:pt idx="14">
                  <c:v>1965</c:v>
                </c:pt>
                <c:pt idx="15">
                  <c:v>1966</c:v>
                </c:pt>
                <c:pt idx="16">
                  <c:v>1967</c:v>
                </c:pt>
                <c:pt idx="17">
                  <c:v>1968</c:v>
                </c:pt>
                <c:pt idx="18">
                  <c:v>1969</c:v>
                </c:pt>
                <c:pt idx="19">
                  <c:v>1970</c:v>
                </c:pt>
                <c:pt idx="20">
                  <c:v>1971</c:v>
                </c:pt>
                <c:pt idx="21">
                  <c:v>1972</c:v>
                </c:pt>
                <c:pt idx="22">
                  <c:v>1973</c:v>
                </c:pt>
                <c:pt idx="23">
                  <c:v>1974</c:v>
                </c:pt>
                <c:pt idx="24">
                  <c:v>1975</c:v>
                </c:pt>
                <c:pt idx="25">
                  <c:v>1976</c:v>
                </c:pt>
                <c:pt idx="26">
                  <c:v>1977</c:v>
                </c:pt>
                <c:pt idx="27">
                  <c:v>1978</c:v>
                </c:pt>
                <c:pt idx="28">
                  <c:v>1979</c:v>
                </c:pt>
                <c:pt idx="29">
                  <c:v>1980</c:v>
                </c:pt>
                <c:pt idx="30">
                  <c:v>1981</c:v>
                </c:pt>
                <c:pt idx="31">
                  <c:v>1982</c:v>
                </c:pt>
                <c:pt idx="32">
                  <c:v>1983</c:v>
                </c:pt>
                <c:pt idx="33">
                  <c:v>1984</c:v>
                </c:pt>
                <c:pt idx="34">
                  <c:v>1985</c:v>
                </c:pt>
                <c:pt idx="35">
                  <c:v>1986</c:v>
                </c:pt>
                <c:pt idx="36">
                  <c:v>1987</c:v>
                </c:pt>
                <c:pt idx="37">
                  <c:v>1988</c:v>
                </c:pt>
                <c:pt idx="38">
                  <c:v>1989</c:v>
                </c:pt>
                <c:pt idx="39">
                  <c:v>1990</c:v>
                </c:pt>
                <c:pt idx="40">
                  <c:v>1991</c:v>
                </c:pt>
                <c:pt idx="41">
                  <c:v>1992</c:v>
                </c:pt>
                <c:pt idx="42">
                  <c:v>1993</c:v>
                </c:pt>
                <c:pt idx="43">
                  <c:v>1994</c:v>
                </c:pt>
                <c:pt idx="44">
                  <c:v>1995</c:v>
                </c:pt>
                <c:pt idx="45">
                  <c:v>1996</c:v>
                </c:pt>
                <c:pt idx="46">
                  <c:v>1997</c:v>
                </c:pt>
                <c:pt idx="47">
                  <c:v>1998</c:v>
                </c:pt>
                <c:pt idx="48">
                  <c:v>1999</c:v>
                </c:pt>
                <c:pt idx="49">
                  <c:v>2000</c:v>
                </c:pt>
                <c:pt idx="50">
                  <c:v>2001</c:v>
                </c:pt>
                <c:pt idx="51">
                  <c:v>2002</c:v>
                </c:pt>
                <c:pt idx="52">
                  <c:v>2003</c:v>
                </c:pt>
                <c:pt idx="53">
                  <c:v>2004</c:v>
                </c:pt>
                <c:pt idx="54">
                  <c:v>2005</c:v>
                </c:pt>
                <c:pt idx="55">
                  <c:v>2006</c:v>
                </c:pt>
                <c:pt idx="56">
                  <c:v>2007</c:v>
                </c:pt>
                <c:pt idx="57">
                  <c:v>2008</c:v>
                </c:pt>
                <c:pt idx="58">
                  <c:v>2009</c:v>
                </c:pt>
                <c:pt idx="59">
                  <c:v>2010</c:v>
                </c:pt>
                <c:pt idx="60">
                  <c:v>2011</c:v>
                </c:pt>
                <c:pt idx="61">
                  <c:v>2012</c:v>
                </c:pt>
                <c:pt idx="62">
                  <c:v>2013</c:v>
                </c:pt>
                <c:pt idx="63">
                  <c:v>2014</c:v>
                </c:pt>
                <c:pt idx="64">
                  <c:v>2015</c:v>
                </c:pt>
                <c:pt idx="65">
                  <c:v>2016</c:v>
                </c:pt>
                <c:pt idx="66">
                  <c:v>2017</c:v>
                </c:pt>
                <c:pt idx="67">
                  <c:v>2018</c:v>
                </c:pt>
                <c:pt idx="68">
                  <c:v>2019</c:v>
                </c:pt>
                <c:pt idx="69">
                  <c:v>2020</c:v>
                </c:pt>
                <c:pt idx="70">
                  <c:v>2021</c:v>
                </c:pt>
                <c:pt idx="71">
                  <c:v>2022</c:v>
                </c:pt>
                <c:pt idx="72">
                  <c:v>2023</c:v>
                </c:pt>
                <c:pt idx="73">
                  <c:v>2024</c:v>
                </c:pt>
                <c:pt idx="74">
                  <c:v>2025</c:v>
                </c:pt>
                <c:pt idx="75">
                  <c:v>2026</c:v>
                </c:pt>
                <c:pt idx="76">
                  <c:v>2027</c:v>
                </c:pt>
                <c:pt idx="77">
                  <c:v>2028</c:v>
                </c:pt>
                <c:pt idx="78">
                  <c:v>2029</c:v>
                </c:pt>
                <c:pt idx="79">
                  <c:v>2030</c:v>
                </c:pt>
                <c:pt idx="80">
                  <c:v>2031</c:v>
                </c:pt>
                <c:pt idx="81">
                  <c:v>2032</c:v>
                </c:pt>
                <c:pt idx="82">
                  <c:v>2033</c:v>
                </c:pt>
                <c:pt idx="83">
                  <c:v>2034</c:v>
                </c:pt>
                <c:pt idx="84">
                  <c:v>2035</c:v>
                </c:pt>
                <c:pt idx="85">
                  <c:v>2036</c:v>
                </c:pt>
                <c:pt idx="86">
                  <c:v>2037</c:v>
                </c:pt>
                <c:pt idx="87">
                  <c:v>2038</c:v>
                </c:pt>
                <c:pt idx="88">
                  <c:v>2039</c:v>
                </c:pt>
                <c:pt idx="89">
                  <c:v>2040</c:v>
                </c:pt>
                <c:pt idx="90">
                  <c:v>2041</c:v>
                </c:pt>
                <c:pt idx="91">
                  <c:v>2042</c:v>
                </c:pt>
                <c:pt idx="92">
                  <c:v>2043</c:v>
                </c:pt>
                <c:pt idx="93">
                  <c:v>2044</c:v>
                </c:pt>
                <c:pt idx="94">
                  <c:v>2045</c:v>
                </c:pt>
                <c:pt idx="95">
                  <c:v>2046</c:v>
                </c:pt>
                <c:pt idx="96">
                  <c:v>2047</c:v>
                </c:pt>
                <c:pt idx="97">
                  <c:v>2048</c:v>
                </c:pt>
                <c:pt idx="98">
                  <c:v>2049</c:v>
                </c:pt>
                <c:pt idx="99">
                  <c:v>2050</c:v>
                </c:pt>
                <c:pt idx="100">
                  <c:v>2051</c:v>
                </c:pt>
                <c:pt idx="101">
                  <c:v>2052</c:v>
                </c:pt>
                <c:pt idx="102">
                  <c:v>2053</c:v>
                </c:pt>
                <c:pt idx="103">
                  <c:v>2054</c:v>
                </c:pt>
                <c:pt idx="104">
                  <c:v>2055</c:v>
                </c:pt>
                <c:pt idx="105">
                  <c:v>2056</c:v>
                </c:pt>
                <c:pt idx="106">
                  <c:v>2057</c:v>
                </c:pt>
                <c:pt idx="107">
                  <c:v>2058</c:v>
                </c:pt>
                <c:pt idx="108">
                  <c:v>2059</c:v>
                </c:pt>
                <c:pt idx="109">
                  <c:v>2060</c:v>
                </c:pt>
                <c:pt idx="110">
                  <c:v>2061</c:v>
                </c:pt>
                <c:pt idx="111">
                  <c:v>2062</c:v>
                </c:pt>
                <c:pt idx="112">
                  <c:v>2063</c:v>
                </c:pt>
                <c:pt idx="113">
                  <c:v>2064</c:v>
                </c:pt>
              </c:numCache>
            </c:numRef>
          </c:xVal>
          <c:yVal>
            <c:numRef>
              <c:f>Europe!$G$171:$G$284</c:f>
              <c:numCache>
                <c:formatCode>0.00</c:formatCode>
                <c:ptCount val="114"/>
                <c:pt idx="0">
                  <c:v>-1.5148406687292173</c:v>
                </c:pt>
                <c:pt idx="1">
                  <c:v>-1.4807315533140315</c:v>
                </c:pt>
                <c:pt idx="2">
                  <c:v>-1.4459384375022137</c:v>
                </c:pt>
                <c:pt idx="3">
                  <c:v>-1.4100485169610693</c:v>
                </c:pt>
                <c:pt idx="4">
                  <c:v>-1.3723395753432472</c:v>
                </c:pt>
                <c:pt idx="5">
                  <c:v>-1.3338144370748597</c:v>
                </c:pt>
                <c:pt idx="6">
                  <c:v>-1.2950116856821725</c:v>
                </c:pt>
                <c:pt idx="7">
                  <c:v>-1.2560569014816449</c:v>
                </c:pt>
                <c:pt idx="8">
                  <c:v>-1.2164913712742524</c:v>
                </c:pt>
                <c:pt idx="9">
                  <c:v>-1.1764378982197814</c:v>
                </c:pt>
                <c:pt idx="10">
                  <c:v>-1.1360415563847677</c:v>
                </c:pt>
                <c:pt idx="11">
                  <c:v>-1.0953299248656503</c:v>
                </c:pt>
                <c:pt idx="12">
                  <c:v>-1.0539669016509978</c:v>
                </c:pt>
                <c:pt idx="13">
                  <c:v>-1.0121241602539943</c:v>
                </c:pt>
                <c:pt idx="14">
                  <c:v>-0.97149463880236753</c:v>
                </c:pt>
                <c:pt idx="15">
                  <c:v>-0.93197423556267678</c:v>
                </c:pt>
                <c:pt idx="16">
                  <c:v>-0.89411600735499119</c:v>
                </c:pt>
                <c:pt idx="17">
                  <c:v>-0.85603695029807525</c:v>
                </c:pt>
                <c:pt idx="18">
                  <c:v>-0.81732682027256942</c:v>
                </c:pt>
                <c:pt idx="19">
                  <c:v>-0.77836076218312866</c:v>
                </c:pt>
                <c:pt idx="20">
                  <c:v>-0.73948151884923563</c:v>
                </c:pt>
                <c:pt idx="21">
                  <c:v>-0.70136582118957436</c:v>
                </c:pt>
                <c:pt idx="22">
                  <c:v>-0.66334836137203901</c:v>
                </c:pt>
                <c:pt idx="23">
                  <c:v>-0.62577778703741382</c:v>
                </c:pt>
                <c:pt idx="24">
                  <c:v>-0.58753586565796145</c:v>
                </c:pt>
                <c:pt idx="25">
                  <c:v>-0.54891415012201461</c:v>
                </c:pt>
                <c:pt idx="26">
                  <c:v>-0.51049645560721224</c:v>
                </c:pt>
                <c:pt idx="27">
                  <c:v>-0.47216910111419569</c:v>
                </c:pt>
                <c:pt idx="28">
                  <c:v>-0.4331872220244502</c:v>
                </c:pt>
                <c:pt idx="29">
                  <c:v>-0.39463483269146182</c:v>
                </c:pt>
                <c:pt idx="30">
                  <c:v>-0.35629806472981618</c:v>
                </c:pt>
                <c:pt idx="31">
                  <c:v>-0.31664930955504439</c:v>
                </c:pt>
                <c:pt idx="32">
                  <c:v>-0.27723704442232566</c:v>
                </c:pt>
                <c:pt idx="33">
                  <c:v>-0.23656064226784412</c:v>
                </c:pt>
                <c:pt idx="34">
                  <c:v>-0.19482898693725248</c:v>
                </c:pt>
                <c:pt idx="35">
                  <c:v>-0.15274634680046842</c:v>
                </c:pt>
                <c:pt idx="36">
                  <c:v>-0.11066813279520653</c:v>
                </c:pt>
                <c:pt idx="37">
                  <c:v>-6.9034919243014123E-2</c:v>
                </c:pt>
                <c:pt idx="38">
                  <c:v>-2.820241665876292E-2</c:v>
                </c:pt>
                <c:pt idx="39">
                  <c:v>8.2126220868592569E-3</c:v>
                </c:pt>
                <c:pt idx="40">
                  <c:v>4.0226706684664867E-2</c:v>
                </c:pt>
                <c:pt idx="41">
                  <c:v>7.0790211133970257E-2</c:v>
                </c:pt>
                <c:pt idx="42">
                  <c:v>9.9585758064875768E-2</c:v>
                </c:pt>
                <c:pt idx="43">
                  <c:v>0.12681769027855738</c:v>
                </c:pt>
                <c:pt idx="44">
                  <c:v>0.15343648666187912</c:v>
                </c:pt>
                <c:pt idx="45">
                  <c:v>0.17952201604723206</c:v>
                </c:pt>
                <c:pt idx="46">
                  <c:v>0.20554977801575525</c:v>
                </c:pt>
                <c:pt idx="47">
                  <c:v>0.23046560695299001</c:v>
                </c:pt>
                <c:pt idx="48">
                  <c:v>0.25422618562891652</c:v>
                </c:pt>
                <c:pt idx="49">
                  <c:v>0.27830489761081939</c:v>
                </c:pt>
                <c:pt idx="50">
                  <c:v>0.30283760735909371</c:v>
                </c:pt>
                <c:pt idx="51">
                  <c:v>0.32710938697956843</c:v>
                </c:pt>
                <c:pt idx="52">
                  <c:v>0.35137659380870812</c:v>
                </c:pt>
                <c:pt idx="53">
                  <c:v>0.37561741806596177</c:v>
                </c:pt>
                <c:pt idx="54">
                  <c:v>0.39976493324611778</c:v>
                </c:pt>
                <c:pt idx="55">
                  <c:v>0.42397337706077376</c:v>
                </c:pt>
                <c:pt idx="56">
                  <c:v>0.4485679186311014</c:v>
                </c:pt>
                <c:pt idx="57">
                  <c:v>0.47284215429063975</c:v>
                </c:pt>
                <c:pt idx="58">
                  <c:v>0.49595115603011686</c:v>
                </c:pt>
              </c:numCache>
            </c:numRef>
          </c:yVal>
          <c:smooth val="1"/>
          <c:extLst>
            <c:ext xmlns:c16="http://schemas.microsoft.com/office/drawing/2014/chart" uri="{C3380CC4-5D6E-409C-BE32-E72D297353CC}">
              <c16:uniqueId val="{00000001-3897-A147-B7D5-2C7F7C56A5B9}"/>
            </c:ext>
          </c:extLst>
        </c:ser>
        <c:ser>
          <c:idx val="1"/>
          <c:order val="2"/>
          <c:tx>
            <c:strRef>
              <c:f>Europe!$G$3</c:f>
              <c:strCache>
                <c:ptCount val="1"/>
                <c:pt idx="0">
                  <c:v>trend early</c:v>
                </c:pt>
              </c:strCache>
            </c:strRef>
          </c:tx>
          <c:spPr>
            <a:ln w="15875">
              <a:solidFill>
                <a:srgbClr val="808080"/>
              </a:solidFill>
              <a:prstDash val="dash"/>
            </a:ln>
          </c:spPr>
          <c:marker>
            <c:symbol val="none"/>
          </c:marker>
          <c:xVal>
            <c:numRef>
              <c:f>Europe!$E$3:$E$4</c:f>
              <c:numCache>
                <c:formatCode>0</c:formatCode>
                <c:ptCount val="2"/>
                <c:pt idx="0" formatCode="General">
                  <c:v>1952</c:v>
                </c:pt>
                <c:pt idx="1">
                  <c:v>1992</c:v>
                </c:pt>
              </c:numCache>
            </c:numRef>
          </c:xVal>
          <c:yVal>
            <c:numRef>
              <c:f>Europe!$F$3:$F$4</c:f>
              <c:numCache>
                <c:formatCode>0.00</c:formatCode>
                <c:ptCount val="2"/>
                <c:pt idx="0">
                  <c:v>-1.4867121904153608</c:v>
                </c:pt>
                <c:pt idx="1">
                  <c:v>8.0197567310358181E-2</c:v>
                </c:pt>
              </c:numCache>
            </c:numRef>
          </c:yVal>
          <c:smooth val="1"/>
          <c:extLst>
            <c:ext xmlns:c16="http://schemas.microsoft.com/office/drawing/2014/chart" uri="{C3380CC4-5D6E-409C-BE32-E72D297353CC}">
              <c16:uniqueId val="{00000002-3897-A147-B7D5-2C7F7C56A5B9}"/>
            </c:ext>
          </c:extLst>
        </c:ser>
        <c:ser>
          <c:idx val="2"/>
          <c:order val="3"/>
          <c:tx>
            <c:strRef>
              <c:f>Europe!$G$6</c:f>
              <c:strCache>
                <c:ptCount val="1"/>
                <c:pt idx="0">
                  <c:v>trend current</c:v>
                </c:pt>
              </c:strCache>
            </c:strRef>
          </c:tx>
          <c:spPr>
            <a:ln w="15875">
              <a:solidFill>
                <a:srgbClr val="808080"/>
              </a:solidFill>
              <a:prstDash val="dash"/>
            </a:ln>
          </c:spPr>
          <c:marker>
            <c:symbol val="none"/>
          </c:marker>
          <c:xVal>
            <c:numRef>
              <c:f>Europe!$E$6:$E$7</c:f>
              <c:numCache>
                <c:formatCode>0</c:formatCode>
                <c:ptCount val="2"/>
                <c:pt idx="0">
                  <c:v>1993</c:v>
                </c:pt>
                <c:pt idx="1">
                  <c:v>2009</c:v>
                </c:pt>
              </c:numCache>
            </c:numRef>
          </c:xVal>
          <c:yVal>
            <c:numRef>
              <c:f>Europe!$F$6:$F$7</c:f>
              <c:numCache>
                <c:formatCode>0.00</c:formatCode>
                <c:ptCount val="2"/>
                <c:pt idx="0">
                  <c:v>0.10463305304943052</c:v>
                </c:pt>
                <c:pt idx="1">
                  <c:v>0.49841976633093049</c:v>
                </c:pt>
              </c:numCache>
            </c:numRef>
          </c:yVal>
          <c:smooth val="1"/>
          <c:extLst>
            <c:ext xmlns:c16="http://schemas.microsoft.com/office/drawing/2014/chart" uri="{C3380CC4-5D6E-409C-BE32-E72D297353CC}">
              <c16:uniqueId val="{00000003-3897-A147-B7D5-2C7F7C56A5B9}"/>
            </c:ext>
          </c:extLst>
        </c:ser>
        <c:dLbls>
          <c:showLegendKey val="0"/>
          <c:showVal val="0"/>
          <c:showCatName val="0"/>
          <c:showSerName val="0"/>
          <c:showPercent val="0"/>
          <c:showBubbleSize val="0"/>
        </c:dLbls>
        <c:axId val="134816128"/>
        <c:axId val="134817664"/>
      </c:scatterChart>
      <c:valAx>
        <c:axId val="134816128"/>
        <c:scaling>
          <c:orientation val="minMax"/>
          <c:max val="2020"/>
          <c:min val="1920"/>
        </c:scaling>
        <c:delete val="0"/>
        <c:axPos val="b"/>
        <c:numFmt formatCode="General" sourceLinked="1"/>
        <c:majorTickMark val="in"/>
        <c:minorTickMark val="in"/>
        <c:tickLblPos val="nextTo"/>
        <c:spPr>
          <a:ln>
            <a:solidFill>
              <a:srgbClr val="333399"/>
            </a:solidFill>
          </a:ln>
        </c:spPr>
        <c:crossAx val="134817664"/>
        <c:crossesAt val="-100"/>
        <c:crossBetween val="midCat"/>
        <c:majorUnit val="50"/>
        <c:minorUnit val="10"/>
      </c:valAx>
      <c:valAx>
        <c:axId val="134817664"/>
        <c:scaling>
          <c:orientation val="minMax"/>
          <c:max val="1"/>
          <c:min val="-3"/>
        </c:scaling>
        <c:delete val="0"/>
        <c:axPos val="r"/>
        <c:title>
          <c:tx>
            <c:rich>
              <a:bodyPr rot="-5400000" vert="horz"/>
              <a:lstStyle/>
              <a:p>
                <a:pPr>
                  <a:defRPr b="0"/>
                </a:pPr>
                <a:r>
                  <a:rPr lang="en-US" b="0"/>
                  <a:t>logit (</a:t>
                </a:r>
                <a:r>
                  <a:rPr lang="en-US" b="0" i="1"/>
                  <a:t>q</a:t>
                </a:r>
                <a:r>
                  <a:rPr lang="en-US" b="0"/>
                  <a:t>/</a:t>
                </a:r>
                <a:r>
                  <a:rPr lang="en-US" b="0" i="1"/>
                  <a:t>Q</a:t>
                </a:r>
                <a:r>
                  <a:rPr lang="en-US" b="0"/>
                  <a:t>)</a:t>
                </a:r>
              </a:p>
            </c:rich>
          </c:tx>
          <c:layout>
            <c:manualLayout>
              <c:xMode val="edge"/>
              <c:yMode val="edge"/>
              <c:x val="0.96179653679653765"/>
              <c:y val="0.28854512977544688"/>
            </c:manualLayout>
          </c:layout>
          <c:overlay val="0"/>
        </c:title>
        <c:numFmt formatCode="0" sourceLinked="0"/>
        <c:majorTickMark val="in"/>
        <c:minorTickMark val="in"/>
        <c:tickLblPos val="nextTo"/>
        <c:spPr>
          <a:ln>
            <a:solidFill>
              <a:srgbClr val="333399"/>
            </a:solidFill>
          </a:ln>
        </c:spPr>
        <c:crossAx val="134816128"/>
        <c:crosses val="max"/>
        <c:crossBetween val="midCat"/>
        <c:majorUnit val="1"/>
        <c:minorUnit val="0.5"/>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2426764836213651"/>
          <c:h val="0.77264654418197765"/>
        </c:manualLayout>
      </c:layout>
      <c:scatterChart>
        <c:scatterStyle val="smoothMarker"/>
        <c:varyColors val="0"/>
        <c:ser>
          <c:idx val="0"/>
          <c:order val="0"/>
          <c:tx>
            <c:strRef>
              <c:f>Europe!$E$17</c:f>
              <c:strCache>
                <c:ptCount val="1"/>
                <c:pt idx="0">
                  <c:v>p Mt</c:v>
                </c:pt>
              </c:strCache>
            </c:strRef>
          </c:tx>
          <c:spPr>
            <a:ln w="15875">
              <a:solidFill>
                <a:srgbClr val="008000"/>
              </a:solidFill>
            </a:ln>
          </c:spPr>
          <c:marker>
            <c:symbol val="none"/>
          </c:marker>
          <c:xVal>
            <c:numRef>
              <c:f>Europe!$D$19:$D$290</c:f>
              <c:numCache>
                <c:formatCode>General</c:formatCode>
                <c:ptCount val="272"/>
                <c:pt idx="0">
                  <c:v>1799</c:v>
                </c:pt>
                <c:pt idx="1">
                  <c:v>1800</c:v>
                </c:pt>
                <c:pt idx="2">
                  <c:v>1801</c:v>
                </c:pt>
                <c:pt idx="3">
                  <c:v>1802</c:v>
                </c:pt>
                <c:pt idx="4">
                  <c:v>1803</c:v>
                </c:pt>
                <c:pt idx="5">
                  <c:v>1804</c:v>
                </c:pt>
                <c:pt idx="6">
                  <c:v>1805</c:v>
                </c:pt>
                <c:pt idx="7">
                  <c:v>1806</c:v>
                </c:pt>
                <c:pt idx="8">
                  <c:v>1807</c:v>
                </c:pt>
                <c:pt idx="9">
                  <c:v>1808</c:v>
                </c:pt>
                <c:pt idx="10">
                  <c:v>1809</c:v>
                </c:pt>
                <c:pt idx="11">
                  <c:v>1810</c:v>
                </c:pt>
                <c:pt idx="12">
                  <c:v>1811</c:v>
                </c:pt>
                <c:pt idx="13">
                  <c:v>1812</c:v>
                </c:pt>
                <c:pt idx="14">
                  <c:v>1813</c:v>
                </c:pt>
                <c:pt idx="15">
                  <c:v>1814</c:v>
                </c:pt>
                <c:pt idx="16">
                  <c:v>1815</c:v>
                </c:pt>
                <c:pt idx="17">
                  <c:v>1816</c:v>
                </c:pt>
                <c:pt idx="18">
                  <c:v>1817</c:v>
                </c:pt>
                <c:pt idx="19">
                  <c:v>1818</c:v>
                </c:pt>
                <c:pt idx="20">
                  <c:v>1819</c:v>
                </c:pt>
                <c:pt idx="21">
                  <c:v>1820</c:v>
                </c:pt>
                <c:pt idx="22">
                  <c:v>1821</c:v>
                </c:pt>
                <c:pt idx="23">
                  <c:v>1822</c:v>
                </c:pt>
                <c:pt idx="24">
                  <c:v>1823</c:v>
                </c:pt>
                <c:pt idx="25">
                  <c:v>1824</c:v>
                </c:pt>
                <c:pt idx="26">
                  <c:v>1825</c:v>
                </c:pt>
                <c:pt idx="27">
                  <c:v>1826</c:v>
                </c:pt>
                <c:pt idx="28">
                  <c:v>1827</c:v>
                </c:pt>
                <c:pt idx="29">
                  <c:v>1828</c:v>
                </c:pt>
                <c:pt idx="30">
                  <c:v>1829</c:v>
                </c:pt>
                <c:pt idx="31">
                  <c:v>1830</c:v>
                </c:pt>
                <c:pt idx="32">
                  <c:v>1831</c:v>
                </c:pt>
                <c:pt idx="33">
                  <c:v>1832</c:v>
                </c:pt>
                <c:pt idx="34">
                  <c:v>1833</c:v>
                </c:pt>
                <c:pt idx="35">
                  <c:v>1834</c:v>
                </c:pt>
                <c:pt idx="36">
                  <c:v>1835</c:v>
                </c:pt>
                <c:pt idx="37">
                  <c:v>1836</c:v>
                </c:pt>
                <c:pt idx="38">
                  <c:v>1837</c:v>
                </c:pt>
                <c:pt idx="39">
                  <c:v>1838</c:v>
                </c:pt>
                <c:pt idx="40">
                  <c:v>1839</c:v>
                </c:pt>
                <c:pt idx="41">
                  <c:v>1840</c:v>
                </c:pt>
                <c:pt idx="42">
                  <c:v>1841</c:v>
                </c:pt>
                <c:pt idx="43">
                  <c:v>1842</c:v>
                </c:pt>
                <c:pt idx="44">
                  <c:v>1843</c:v>
                </c:pt>
                <c:pt idx="45">
                  <c:v>1844</c:v>
                </c:pt>
                <c:pt idx="46">
                  <c:v>1845</c:v>
                </c:pt>
                <c:pt idx="47">
                  <c:v>1846</c:v>
                </c:pt>
                <c:pt idx="48">
                  <c:v>1847</c:v>
                </c:pt>
                <c:pt idx="49">
                  <c:v>1848</c:v>
                </c:pt>
                <c:pt idx="50">
                  <c:v>1849</c:v>
                </c:pt>
                <c:pt idx="51">
                  <c:v>1850</c:v>
                </c:pt>
                <c:pt idx="52">
                  <c:v>1851</c:v>
                </c:pt>
                <c:pt idx="53">
                  <c:v>1852</c:v>
                </c:pt>
                <c:pt idx="54">
                  <c:v>1853</c:v>
                </c:pt>
                <c:pt idx="55">
                  <c:v>1854</c:v>
                </c:pt>
                <c:pt idx="56">
                  <c:v>1855</c:v>
                </c:pt>
                <c:pt idx="57">
                  <c:v>1856</c:v>
                </c:pt>
                <c:pt idx="58">
                  <c:v>1857</c:v>
                </c:pt>
                <c:pt idx="59">
                  <c:v>1858</c:v>
                </c:pt>
                <c:pt idx="60">
                  <c:v>1859</c:v>
                </c:pt>
                <c:pt idx="61">
                  <c:v>1860</c:v>
                </c:pt>
                <c:pt idx="62">
                  <c:v>1861</c:v>
                </c:pt>
                <c:pt idx="63">
                  <c:v>1862</c:v>
                </c:pt>
                <c:pt idx="64">
                  <c:v>1863</c:v>
                </c:pt>
                <c:pt idx="65">
                  <c:v>1864</c:v>
                </c:pt>
                <c:pt idx="66">
                  <c:v>1865</c:v>
                </c:pt>
                <c:pt idx="67">
                  <c:v>1866</c:v>
                </c:pt>
                <c:pt idx="68">
                  <c:v>1867</c:v>
                </c:pt>
                <c:pt idx="69">
                  <c:v>1868</c:v>
                </c:pt>
                <c:pt idx="70">
                  <c:v>1869</c:v>
                </c:pt>
                <c:pt idx="71">
                  <c:v>1870</c:v>
                </c:pt>
                <c:pt idx="72">
                  <c:v>1871</c:v>
                </c:pt>
                <c:pt idx="73">
                  <c:v>1872</c:v>
                </c:pt>
                <c:pt idx="74">
                  <c:v>1873</c:v>
                </c:pt>
                <c:pt idx="75">
                  <c:v>1874</c:v>
                </c:pt>
                <c:pt idx="76">
                  <c:v>1875</c:v>
                </c:pt>
                <c:pt idx="77">
                  <c:v>1876</c:v>
                </c:pt>
                <c:pt idx="78">
                  <c:v>1877</c:v>
                </c:pt>
                <c:pt idx="79">
                  <c:v>1878</c:v>
                </c:pt>
                <c:pt idx="80">
                  <c:v>1879</c:v>
                </c:pt>
                <c:pt idx="81">
                  <c:v>1880</c:v>
                </c:pt>
                <c:pt idx="82">
                  <c:v>1881</c:v>
                </c:pt>
                <c:pt idx="83">
                  <c:v>1882</c:v>
                </c:pt>
                <c:pt idx="84">
                  <c:v>1883</c:v>
                </c:pt>
                <c:pt idx="85">
                  <c:v>1884</c:v>
                </c:pt>
                <c:pt idx="86">
                  <c:v>1885</c:v>
                </c:pt>
                <c:pt idx="87">
                  <c:v>1886</c:v>
                </c:pt>
                <c:pt idx="88">
                  <c:v>1887</c:v>
                </c:pt>
                <c:pt idx="89">
                  <c:v>1888</c:v>
                </c:pt>
                <c:pt idx="90">
                  <c:v>1889</c:v>
                </c:pt>
                <c:pt idx="91">
                  <c:v>1890</c:v>
                </c:pt>
                <c:pt idx="92">
                  <c:v>1891</c:v>
                </c:pt>
                <c:pt idx="93">
                  <c:v>1892</c:v>
                </c:pt>
                <c:pt idx="94">
                  <c:v>1893</c:v>
                </c:pt>
                <c:pt idx="95">
                  <c:v>1894</c:v>
                </c:pt>
                <c:pt idx="96">
                  <c:v>1895</c:v>
                </c:pt>
                <c:pt idx="97">
                  <c:v>1896</c:v>
                </c:pt>
                <c:pt idx="98">
                  <c:v>1897</c:v>
                </c:pt>
                <c:pt idx="99">
                  <c:v>1898</c:v>
                </c:pt>
                <c:pt idx="100">
                  <c:v>1899</c:v>
                </c:pt>
                <c:pt idx="101">
                  <c:v>1900</c:v>
                </c:pt>
                <c:pt idx="102">
                  <c:v>1901</c:v>
                </c:pt>
                <c:pt idx="103">
                  <c:v>1902</c:v>
                </c:pt>
                <c:pt idx="104">
                  <c:v>1903</c:v>
                </c:pt>
                <c:pt idx="105">
                  <c:v>1904</c:v>
                </c:pt>
                <c:pt idx="106">
                  <c:v>1905</c:v>
                </c:pt>
                <c:pt idx="107">
                  <c:v>1906</c:v>
                </c:pt>
                <c:pt idx="108">
                  <c:v>1907</c:v>
                </c:pt>
                <c:pt idx="109">
                  <c:v>1908</c:v>
                </c:pt>
                <c:pt idx="110">
                  <c:v>1909</c:v>
                </c:pt>
                <c:pt idx="111">
                  <c:v>1910</c:v>
                </c:pt>
                <c:pt idx="112">
                  <c:v>1911</c:v>
                </c:pt>
                <c:pt idx="113">
                  <c:v>1912</c:v>
                </c:pt>
                <c:pt idx="114">
                  <c:v>1913</c:v>
                </c:pt>
                <c:pt idx="115">
                  <c:v>1914</c:v>
                </c:pt>
                <c:pt idx="116">
                  <c:v>1915</c:v>
                </c:pt>
                <c:pt idx="117">
                  <c:v>1916</c:v>
                </c:pt>
                <c:pt idx="118">
                  <c:v>1917</c:v>
                </c:pt>
                <c:pt idx="119">
                  <c:v>1918</c:v>
                </c:pt>
                <c:pt idx="120">
                  <c:v>1919</c:v>
                </c:pt>
                <c:pt idx="121">
                  <c:v>1920</c:v>
                </c:pt>
                <c:pt idx="122">
                  <c:v>1921</c:v>
                </c:pt>
                <c:pt idx="123">
                  <c:v>1922</c:v>
                </c:pt>
                <c:pt idx="124">
                  <c:v>1923</c:v>
                </c:pt>
                <c:pt idx="125">
                  <c:v>1924</c:v>
                </c:pt>
                <c:pt idx="126">
                  <c:v>1925</c:v>
                </c:pt>
                <c:pt idx="127">
                  <c:v>1926</c:v>
                </c:pt>
                <c:pt idx="128">
                  <c:v>1927</c:v>
                </c:pt>
                <c:pt idx="129">
                  <c:v>1928</c:v>
                </c:pt>
                <c:pt idx="130">
                  <c:v>1929</c:v>
                </c:pt>
                <c:pt idx="131">
                  <c:v>1930</c:v>
                </c:pt>
                <c:pt idx="132">
                  <c:v>1931</c:v>
                </c:pt>
                <c:pt idx="133">
                  <c:v>1932</c:v>
                </c:pt>
                <c:pt idx="134">
                  <c:v>1933</c:v>
                </c:pt>
                <c:pt idx="135">
                  <c:v>1934</c:v>
                </c:pt>
                <c:pt idx="136">
                  <c:v>1935</c:v>
                </c:pt>
                <c:pt idx="137">
                  <c:v>1936</c:v>
                </c:pt>
                <c:pt idx="138">
                  <c:v>1937</c:v>
                </c:pt>
                <c:pt idx="139">
                  <c:v>1938</c:v>
                </c:pt>
                <c:pt idx="140">
                  <c:v>1939</c:v>
                </c:pt>
                <c:pt idx="141">
                  <c:v>1940</c:v>
                </c:pt>
                <c:pt idx="142">
                  <c:v>1941</c:v>
                </c:pt>
                <c:pt idx="143">
                  <c:v>1942</c:v>
                </c:pt>
                <c:pt idx="144">
                  <c:v>1943</c:v>
                </c:pt>
                <c:pt idx="145">
                  <c:v>1944</c:v>
                </c:pt>
                <c:pt idx="146">
                  <c:v>1945</c:v>
                </c:pt>
                <c:pt idx="147">
                  <c:v>1946</c:v>
                </c:pt>
                <c:pt idx="148">
                  <c:v>1947</c:v>
                </c:pt>
                <c:pt idx="149">
                  <c:v>1948</c:v>
                </c:pt>
                <c:pt idx="150">
                  <c:v>1949</c:v>
                </c:pt>
                <c:pt idx="151">
                  <c:v>1950</c:v>
                </c:pt>
                <c:pt idx="152">
                  <c:v>1951</c:v>
                </c:pt>
                <c:pt idx="153">
                  <c:v>1952</c:v>
                </c:pt>
                <c:pt idx="154">
                  <c:v>1953</c:v>
                </c:pt>
                <c:pt idx="155">
                  <c:v>1954</c:v>
                </c:pt>
                <c:pt idx="156">
                  <c:v>1955</c:v>
                </c:pt>
                <c:pt idx="157">
                  <c:v>1956</c:v>
                </c:pt>
                <c:pt idx="158">
                  <c:v>1957</c:v>
                </c:pt>
                <c:pt idx="159">
                  <c:v>1958</c:v>
                </c:pt>
                <c:pt idx="160">
                  <c:v>1959</c:v>
                </c:pt>
                <c:pt idx="161">
                  <c:v>1960</c:v>
                </c:pt>
                <c:pt idx="162">
                  <c:v>1961</c:v>
                </c:pt>
                <c:pt idx="163">
                  <c:v>1962</c:v>
                </c:pt>
                <c:pt idx="164">
                  <c:v>1963</c:v>
                </c:pt>
                <c:pt idx="165">
                  <c:v>1964</c:v>
                </c:pt>
                <c:pt idx="166">
                  <c:v>1965</c:v>
                </c:pt>
                <c:pt idx="167">
                  <c:v>1966</c:v>
                </c:pt>
                <c:pt idx="168">
                  <c:v>1967</c:v>
                </c:pt>
                <c:pt idx="169">
                  <c:v>1968</c:v>
                </c:pt>
                <c:pt idx="170">
                  <c:v>1969</c:v>
                </c:pt>
                <c:pt idx="171">
                  <c:v>1970</c:v>
                </c:pt>
                <c:pt idx="172">
                  <c:v>1971</c:v>
                </c:pt>
                <c:pt idx="173">
                  <c:v>1972</c:v>
                </c:pt>
                <c:pt idx="174">
                  <c:v>1973</c:v>
                </c:pt>
                <c:pt idx="175">
                  <c:v>1974</c:v>
                </c:pt>
                <c:pt idx="176">
                  <c:v>1975</c:v>
                </c:pt>
                <c:pt idx="177">
                  <c:v>1976</c:v>
                </c:pt>
                <c:pt idx="178">
                  <c:v>1977</c:v>
                </c:pt>
                <c:pt idx="179">
                  <c:v>1978</c:v>
                </c:pt>
                <c:pt idx="180">
                  <c:v>1979</c:v>
                </c:pt>
                <c:pt idx="181">
                  <c:v>1980</c:v>
                </c:pt>
                <c:pt idx="182">
                  <c:v>1981</c:v>
                </c:pt>
                <c:pt idx="183">
                  <c:v>1982</c:v>
                </c:pt>
                <c:pt idx="184">
                  <c:v>1983</c:v>
                </c:pt>
                <c:pt idx="185">
                  <c:v>1984</c:v>
                </c:pt>
                <c:pt idx="186">
                  <c:v>1985</c:v>
                </c:pt>
                <c:pt idx="187">
                  <c:v>1986</c:v>
                </c:pt>
                <c:pt idx="188">
                  <c:v>1987</c:v>
                </c:pt>
                <c:pt idx="189">
                  <c:v>1988</c:v>
                </c:pt>
                <c:pt idx="190">
                  <c:v>1989</c:v>
                </c:pt>
                <c:pt idx="191">
                  <c:v>1990</c:v>
                </c:pt>
                <c:pt idx="192">
                  <c:v>1991</c:v>
                </c:pt>
                <c:pt idx="193">
                  <c:v>1992</c:v>
                </c:pt>
                <c:pt idx="194">
                  <c:v>1993</c:v>
                </c:pt>
                <c:pt idx="195">
                  <c:v>1994</c:v>
                </c:pt>
                <c:pt idx="196">
                  <c:v>1995</c:v>
                </c:pt>
                <c:pt idx="197">
                  <c:v>1996</c:v>
                </c:pt>
                <c:pt idx="198">
                  <c:v>1997</c:v>
                </c:pt>
                <c:pt idx="199">
                  <c:v>1998</c:v>
                </c:pt>
                <c:pt idx="200">
                  <c:v>1999</c:v>
                </c:pt>
                <c:pt idx="201">
                  <c:v>2000</c:v>
                </c:pt>
                <c:pt idx="202">
                  <c:v>2001</c:v>
                </c:pt>
                <c:pt idx="203">
                  <c:v>2002</c:v>
                </c:pt>
                <c:pt idx="204">
                  <c:v>2003</c:v>
                </c:pt>
                <c:pt idx="205">
                  <c:v>2004</c:v>
                </c:pt>
                <c:pt idx="206">
                  <c:v>2005</c:v>
                </c:pt>
                <c:pt idx="207">
                  <c:v>2006</c:v>
                </c:pt>
                <c:pt idx="208">
                  <c:v>2007</c:v>
                </c:pt>
                <c:pt idx="209">
                  <c:v>2008</c:v>
                </c:pt>
                <c:pt idx="210">
                  <c:v>2009</c:v>
                </c:pt>
                <c:pt idx="211">
                  <c:v>2010</c:v>
                </c:pt>
                <c:pt idx="212">
                  <c:v>2011</c:v>
                </c:pt>
                <c:pt idx="213">
                  <c:v>2012</c:v>
                </c:pt>
                <c:pt idx="214">
                  <c:v>2013</c:v>
                </c:pt>
                <c:pt idx="215">
                  <c:v>2014</c:v>
                </c:pt>
                <c:pt idx="216">
                  <c:v>2015</c:v>
                </c:pt>
                <c:pt idx="217">
                  <c:v>2016</c:v>
                </c:pt>
                <c:pt idx="218">
                  <c:v>2017</c:v>
                </c:pt>
                <c:pt idx="219">
                  <c:v>2018</c:v>
                </c:pt>
                <c:pt idx="220">
                  <c:v>2019</c:v>
                </c:pt>
                <c:pt idx="221">
                  <c:v>2020</c:v>
                </c:pt>
                <c:pt idx="222">
                  <c:v>2021</c:v>
                </c:pt>
                <c:pt idx="223">
                  <c:v>2022</c:v>
                </c:pt>
                <c:pt idx="224">
                  <c:v>2023</c:v>
                </c:pt>
                <c:pt idx="225">
                  <c:v>2024</c:v>
                </c:pt>
                <c:pt idx="226">
                  <c:v>2025</c:v>
                </c:pt>
                <c:pt idx="227">
                  <c:v>2026</c:v>
                </c:pt>
                <c:pt idx="228">
                  <c:v>2027</c:v>
                </c:pt>
                <c:pt idx="229">
                  <c:v>2028</c:v>
                </c:pt>
                <c:pt idx="230">
                  <c:v>2029</c:v>
                </c:pt>
                <c:pt idx="231">
                  <c:v>2030</c:v>
                </c:pt>
                <c:pt idx="232">
                  <c:v>2031</c:v>
                </c:pt>
                <c:pt idx="233">
                  <c:v>2032</c:v>
                </c:pt>
                <c:pt idx="234">
                  <c:v>2033</c:v>
                </c:pt>
                <c:pt idx="235">
                  <c:v>2034</c:v>
                </c:pt>
                <c:pt idx="236">
                  <c:v>2035</c:v>
                </c:pt>
                <c:pt idx="237">
                  <c:v>2036</c:v>
                </c:pt>
                <c:pt idx="238">
                  <c:v>2037</c:v>
                </c:pt>
                <c:pt idx="239">
                  <c:v>2038</c:v>
                </c:pt>
                <c:pt idx="240">
                  <c:v>2039</c:v>
                </c:pt>
                <c:pt idx="241">
                  <c:v>2040</c:v>
                </c:pt>
                <c:pt idx="242">
                  <c:v>2041</c:v>
                </c:pt>
                <c:pt idx="243">
                  <c:v>2042</c:v>
                </c:pt>
                <c:pt idx="244">
                  <c:v>2043</c:v>
                </c:pt>
                <c:pt idx="245">
                  <c:v>2044</c:v>
                </c:pt>
                <c:pt idx="246">
                  <c:v>2045</c:v>
                </c:pt>
                <c:pt idx="247">
                  <c:v>2046</c:v>
                </c:pt>
                <c:pt idx="248">
                  <c:v>2047</c:v>
                </c:pt>
                <c:pt idx="249">
                  <c:v>2048</c:v>
                </c:pt>
                <c:pt idx="250">
                  <c:v>2049</c:v>
                </c:pt>
                <c:pt idx="251">
                  <c:v>2050</c:v>
                </c:pt>
                <c:pt idx="252">
                  <c:v>2051</c:v>
                </c:pt>
                <c:pt idx="253">
                  <c:v>2052</c:v>
                </c:pt>
                <c:pt idx="254">
                  <c:v>2053</c:v>
                </c:pt>
                <c:pt idx="255">
                  <c:v>2054</c:v>
                </c:pt>
                <c:pt idx="256">
                  <c:v>2055</c:v>
                </c:pt>
                <c:pt idx="257">
                  <c:v>2056</c:v>
                </c:pt>
                <c:pt idx="258">
                  <c:v>2057</c:v>
                </c:pt>
                <c:pt idx="259">
                  <c:v>2058</c:v>
                </c:pt>
                <c:pt idx="260">
                  <c:v>2059</c:v>
                </c:pt>
                <c:pt idx="261">
                  <c:v>2060</c:v>
                </c:pt>
                <c:pt idx="262">
                  <c:v>2061</c:v>
                </c:pt>
                <c:pt idx="263">
                  <c:v>2062</c:v>
                </c:pt>
                <c:pt idx="264">
                  <c:v>2063</c:v>
                </c:pt>
                <c:pt idx="265">
                  <c:v>2064</c:v>
                </c:pt>
                <c:pt idx="266">
                  <c:v>2065</c:v>
                </c:pt>
                <c:pt idx="267">
                  <c:v>2066</c:v>
                </c:pt>
                <c:pt idx="268">
                  <c:v>2067</c:v>
                </c:pt>
                <c:pt idx="269">
                  <c:v>2068</c:v>
                </c:pt>
                <c:pt idx="270">
                  <c:v>2069</c:v>
                </c:pt>
                <c:pt idx="271">
                  <c:v>2070</c:v>
                </c:pt>
              </c:numCache>
            </c:numRef>
          </c:xVal>
          <c:yVal>
            <c:numRef>
              <c:f>Europe!$E$19:$E$290</c:f>
              <c:numCache>
                <c:formatCode>#,##0.0</c:formatCode>
                <c:ptCount val="272"/>
                <c:pt idx="0">
                  <c:v>1.7600000000000001E-2</c:v>
                </c:pt>
                <c:pt idx="1">
                  <c:v>4.8999999999999998E-4</c:v>
                </c:pt>
                <c:pt idx="2">
                  <c:v>5.9999999999999995E-4</c:v>
                </c:pt>
                <c:pt idx="3">
                  <c:v>6.9999999999999999E-4</c:v>
                </c:pt>
                <c:pt idx="4">
                  <c:v>1.1200000000000001E-3</c:v>
                </c:pt>
                <c:pt idx="5">
                  <c:v>1.4E-3</c:v>
                </c:pt>
                <c:pt idx="6">
                  <c:v>1.5E-3</c:v>
                </c:pt>
                <c:pt idx="7">
                  <c:v>1.8600000000000001E-3</c:v>
                </c:pt>
                <c:pt idx="8">
                  <c:v>1.9E-3</c:v>
                </c:pt>
                <c:pt idx="9">
                  <c:v>2.1000000000000003E-3</c:v>
                </c:pt>
                <c:pt idx="10">
                  <c:v>2.3E-3</c:v>
                </c:pt>
                <c:pt idx="11">
                  <c:v>2.5000000000000001E-3</c:v>
                </c:pt>
                <c:pt idx="12">
                  <c:v>2.6199999999999999E-3</c:v>
                </c:pt>
                <c:pt idx="13">
                  <c:v>2.7000000000000001E-3</c:v>
                </c:pt>
                <c:pt idx="14">
                  <c:v>2.8900000000000002E-3</c:v>
                </c:pt>
                <c:pt idx="15">
                  <c:v>2.8999999999999998E-3</c:v>
                </c:pt>
                <c:pt idx="16">
                  <c:v>3.0999999999999999E-3</c:v>
                </c:pt>
                <c:pt idx="17">
                  <c:v>3.2799999999999999E-3</c:v>
                </c:pt>
                <c:pt idx="18">
                  <c:v>1.30342</c:v>
                </c:pt>
                <c:pt idx="19">
                  <c:v>1.3036000000000001</c:v>
                </c:pt>
                <c:pt idx="20">
                  <c:v>1.3038000000000001</c:v>
                </c:pt>
                <c:pt idx="21">
                  <c:v>1.4040999999999999</c:v>
                </c:pt>
                <c:pt idx="22">
                  <c:v>1.5048999999999999</c:v>
                </c:pt>
                <c:pt idx="23">
                  <c:v>1.6052500000000001</c:v>
                </c:pt>
                <c:pt idx="24">
                  <c:v>1.6058000000000001</c:v>
                </c:pt>
                <c:pt idx="25">
                  <c:v>1.8060400000000001</c:v>
                </c:pt>
                <c:pt idx="26">
                  <c:v>1.80636</c:v>
                </c:pt>
                <c:pt idx="27">
                  <c:v>1.80769</c:v>
                </c:pt>
                <c:pt idx="28">
                  <c:v>1.9084999999999999</c:v>
                </c:pt>
                <c:pt idx="29">
                  <c:v>1.9091499999999999</c:v>
                </c:pt>
                <c:pt idx="30">
                  <c:v>1.9094</c:v>
                </c:pt>
                <c:pt idx="31">
                  <c:v>2.0098600000000002</c:v>
                </c:pt>
                <c:pt idx="32">
                  <c:v>1.91062</c:v>
                </c:pt>
                <c:pt idx="33">
                  <c:v>2.1108000000000002</c:v>
                </c:pt>
                <c:pt idx="34">
                  <c:v>2.3114999999999997</c:v>
                </c:pt>
                <c:pt idx="35">
                  <c:v>2.3118999999999996</c:v>
                </c:pt>
                <c:pt idx="36">
                  <c:v>2.4123000000000001</c:v>
                </c:pt>
                <c:pt idx="37">
                  <c:v>2.6129600000000002</c:v>
                </c:pt>
                <c:pt idx="38">
                  <c:v>3.5133000000000001</c:v>
                </c:pt>
                <c:pt idx="39">
                  <c:v>3.8134999999999999</c:v>
                </c:pt>
                <c:pt idx="40">
                  <c:v>4.1337000000000002</c:v>
                </c:pt>
                <c:pt idx="41">
                  <c:v>4.4340000000000002</c:v>
                </c:pt>
                <c:pt idx="42">
                  <c:v>4.5451000000000006</c:v>
                </c:pt>
                <c:pt idx="43">
                  <c:v>5.3562000000000003</c:v>
                </c:pt>
                <c:pt idx="44">
                  <c:v>5.0528000000000004</c:v>
                </c:pt>
                <c:pt idx="45">
                  <c:v>5.4485999999999999</c:v>
                </c:pt>
                <c:pt idx="46">
                  <c:v>6.3601999999999999</c:v>
                </c:pt>
                <c:pt idx="47">
                  <c:v>6.7675999999999998</c:v>
                </c:pt>
                <c:pt idx="48">
                  <c:v>7.1730999999999998</c:v>
                </c:pt>
                <c:pt idx="49">
                  <c:v>7.0912999999999995</c:v>
                </c:pt>
                <c:pt idx="50">
                  <c:v>7.4038000000000004</c:v>
                </c:pt>
                <c:pt idx="51">
                  <c:v>7.8117999999999999</c:v>
                </c:pt>
                <c:pt idx="52">
                  <c:v>9.2437000000000005</c:v>
                </c:pt>
                <c:pt idx="53">
                  <c:v>10.2721</c:v>
                </c:pt>
                <c:pt idx="54">
                  <c:v>11.703899999999999</c:v>
                </c:pt>
                <c:pt idx="55">
                  <c:v>13.349900000000002</c:v>
                </c:pt>
                <c:pt idx="56">
                  <c:v>15.2638</c:v>
                </c:pt>
                <c:pt idx="57">
                  <c:v>16.752300000000002</c:v>
                </c:pt>
                <c:pt idx="58">
                  <c:v>18.073799999999999</c:v>
                </c:pt>
                <c:pt idx="59">
                  <c:v>19.133799999999997</c:v>
                </c:pt>
                <c:pt idx="60">
                  <c:v>17.450900000000001</c:v>
                </c:pt>
                <c:pt idx="61">
                  <c:v>22.398500000000002</c:v>
                </c:pt>
                <c:pt idx="62">
                  <c:v>23.289300000000001</c:v>
                </c:pt>
                <c:pt idx="63">
                  <c:v>25.6996</c:v>
                </c:pt>
                <c:pt idx="64">
                  <c:v>27.4651</c:v>
                </c:pt>
                <c:pt idx="65">
                  <c:v>30.718699999999998</c:v>
                </c:pt>
                <c:pt idx="66">
                  <c:v>34.377500000000005</c:v>
                </c:pt>
                <c:pt idx="67">
                  <c:v>33.558999999999997</c:v>
                </c:pt>
                <c:pt idx="68">
                  <c:v>37.612899999999996</c:v>
                </c:pt>
                <c:pt idx="69">
                  <c:v>40.604999999999997</c:v>
                </c:pt>
                <c:pt idx="70">
                  <c:v>42.879800000000003</c:v>
                </c:pt>
                <c:pt idx="71">
                  <c:v>43.360499999999995</c:v>
                </c:pt>
                <c:pt idx="72">
                  <c:v>49.258299999999998</c:v>
                </c:pt>
                <c:pt idx="73">
                  <c:v>54.122399999999999</c:v>
                </c:pt>
                <c:pt idx="74">
                  <c:v>59.452200000000005</c:v>
                </c:pt>
                <c:pt idx="75">
                  <c:v>60.413300000000007</c:v>
                </c:pt>
                <c:pt idx="76">
                  <c:v>62.467700000000001</c:v>
                </c:pt>
                <c:pt idx="77">
                  <c:v>64.8506</c:v>
                </c:pt>
                <c:pt idx="78">
                  <c:v>63.746300000000005</c:v>
                </c:pt>
                <c:pt idx="79">
                  <c:v>66.4602</c:v>
                </c:pt>
                <c:pt idx="80">
                  <c:v>70.651300000000006</c:v>
                </c:pt>
                <c:pt idx="81">
                  <c:v>77.658600000000007</c:v>
                </c:pt>
                <c:pt idx="82">
                  <c:v>81.750900000000001</c:v>
                </c:pt>
                <c:pt idx="83">
                  <c:v>86.301200000000009</c:v>
                </c:pt>
                <c:pt idx="84">
                  <c:v>92.9983</c:v>
                </c:pt>
                <c:pt idx="85">
                  <c:v>94.842700000000008</c:v>
                </c:pt>
                <c:pt idx="86">
                  <c:v>97.326300000000003</c:v>
                </c:pt>
                <c:pt idx="87">
                  <c:v>98.034099999999995</c:v>
                </c:pt>
                <c:pt idx="88">
                  <c:v>101.69019999999999</c:v>
                </c:pt>
                <c:pt idx="89">
                  <c:v>109.91480000000001</c:v>
                </c:pt>
                <c:pt idx="90">
                  <c:v>114.82950000000001</c:v>
                </c:pt>
                <c:pt idx="91">
                  <c:v>121.6138</c:v>
                </c:pt>
                <c:pt idx="92">
                  <c:v>128.33340000000001</c:v>
                </c:pt>
                <c:pt idx="93">
                  <c:v>127.27080000000001</c:v>
                </c:pt>
                <c:pt idx="94">
                  <c:v>132.45600000000002</c:v>
                </c:pt>
                <c:pt idx="95">
                  <c:v>137.2482</c:v>
                </c:pt>
                <c:pt idx="96">
                  <c:v>144.20059999999998</c:v>
                </c:pt>
                <c:pt idx="97">
                  <c:v>154.1053</c:v>
                </c:pt>
                <c:pt idx="98">
                  <c:v>166.09139999999999</c:v>
                </c:pt>
                <c:pt idx="99">
                  <c:v>176.79089999999999</c:v>
                </c:pt>
                <c:pt idx="100">
                  <c:v>188.70170000000002</c:v>
                </c:pt>
                <c:pt idx="101">
                  <c:v>203.9692</c:v>
                </c:pt>
                <c:pt idx="102">
                  <c:v>209.27210000000002</c:v>
                </c:pt>
                <c:pt idx="103">
                  <c:v>204.81529999999998</c:v>
                </c:pt>
                <c:pt idx="104">
                  <c:v>219.11799999999999</c:v>
                </c:pt>
                <c:pt idx="105">
                  <c:v>228.23309999999998</c:v>
                </c:pt>
                <c:pt idx="106">
                  <c:v>234.45420000000001</c:v>
                </c:pt>
                <c:pt idx="107">
                  <c:v>258.76740000000001</c:v>
                </c:pt>
                <c:pt idx="108">
                  <c:v>278.1123</c:v>
                </c:pt>
                <c:pt idx="109">
                  <c:v>288.67759999999998</c:v>
                </c:pt>
                <c:pt idx="110">
                  <c:v>291.66860000000003</c:v>
                </c:pt>
                <c:pt idx="111">
                  <c:v>294.483</c:v>
                </c:pt>
                <c:pt idx="112">
                  <c:v>311.60939999999999</c:v>
                </c:pt>
                <c:pt idx="113">
                  <c:v>335.9074</c:v>
                </c:pt>
                <c:pt idx="114">
                  <c:v>398.74330000000003</c:v>
                </c:pt>
                <c:pt idx="115">
                  <c:v>362.94400000000002</c:v>
                </c:pt>
                <c:pt idx="116">
                  <c:v>351.54200000000003</c:v>
                </c:pt>
                <c:pt idx="117">
                  <c:v>337.25600000000003</c:v>
                </c:pt>
                <c:pt idx="118">
                  <c:v>343.32366666666672</c:v>
                </c:pt>
                <c:pt idx="119">
                  <c:v>320.85388888888895</c:v>
                </c:pt>
                <c:pt idx="120">
                  <c:v>266.79211111111113</c:v>
                </c:pt>
                <c:pt idx="121">
                  <c:v>315.84100000000001</c:v>
                </c:pt>
                <c:pt idx="122">
                  <c:v>332.577</c:v>
                </c:pt>
                <c:pt idx="123">
                  <c:v>357.00600000000003</c:v>
                </c:pt>
                <c:pt idx="124">
                  <c:v>286.54700000000003</c:v>
                </c:pt>
                <c:pt idx="125">
                  <c:v>357.38200000000001</c:v>
                </c:pt>
                <c:pt idx="126">
                  <c:v>380.21800000000002</c:v>
                </c:pt>
                <c:pt idx="127">
                  <c:v>410.803</c:v>
                </c:pt>
                <c:pt idx="128">
                  <c:v>440.91</c:v>
                </c:pt>
                <c:pt idx="129">
                  <c:v>457.45799999999997</c:v>
                </c:pt>
                <c:pt idx="130">
                  <c:v>493.55500000000001</c:v>
                </c:pt>
                <c:pt idx="131">
                  <c:v>428.524</c:v>
                </c:pt>
                <c:pt idx="132">
                  <c:v>397.74199999999996</c:v>
                </c:pt>
                <c:pt idx="133">
                  <c:v>363.95099999999996</c:v>
                </c:pt>
                <c:pt idx="134">
                  <c:v>373.83299999999997</c:v>
                </c:pt>
                <c:pt idx="135">
                  <c:v>411.35500000000002</c:v>
                </c:pt>
                <c:pt idx="136">
                  <c:v>446.65500000000003</c:v>
                </c:pt>
                <c:pt idx="137">
                  <c:v>484.89800000000002</c:v>
                </c:pt>
                <c:pt idx="138">
                  <c:v>551.89100000000008</c:v>
                </c:pt>
                <c:pt idx="139">
                  <c:v>569.17100000000005</c:v>
                </c:pt>
                <c:pt idx="140">
                  <c:v>583.69599999999991</c:v>
                </c:pt>
                <c:pt idx="141">
                  <c:v>640.97200000000009</c:v>
                </c:pt>
                <c:pt idx="142">
                  <c:v>636.16800000000001</c:v>
                </c:pt>
                <c:pt idx="143">
                  <c:v>603.86599999999999</c:v>
                </c:pt>
                <c:pt idx="144">
                  <c:v>625.024</c:v>
                </c:pt>
                <c:pt idx="145">
                  <c:v>562.28399999999999</c:v>
                </c:pt>
                <c:pt idx="146">
                  <c:v>177.24600000000001</c:v>
                </c:pt>
                <c:pt idx="147">
                  <c:v>387.21899999999999</c:v>
                </c:pt>
                <c:pt idx="148">
                  <c:v>442.72399999999999</c:v>
                </c:pt>
                <c:pt idx="149">
                  <c:v>499.209</c:v>
                </c:pt>
                <c:pt idx="150">
                  <c:v>560.10749999999996</c:v>
                </c:pt>
                <c:pt idx="151">
                  <c:v>606.61400000000003</c:v>
                </c:pt>
                <c:pt idx="152">
                  <c:v>651.52300000000002</c:v>
                </c:pt>
                <c:pt idx="153">
                  <c:v>683.22799999999995</c:v>
                </c:pt>
                <c:pt idx="154">
                  <c:v>712.20299999999997</c:v>
                </c:pt>
                <c:pt idx="155">
                  <c:v>750.89299999999992</c:v>
                </c:pt>
                <c:pt idx="156">
                  <c:v>806.78300000000002</c:v>
                </c:pt>
                <c:pt idx="157">
                  <c:v>843.16575</c:v>
                </c:pt>
                <c:pt idx="158">
                  <c:v>868.59750000000008</c:v>
                </c:pt>
                <c:pt idx="159">
                  <c:v>891.53825000000006</c:v>
                </c:pt>
                <c:pt idx="160">
                  <c:v>925.52099999999996</c:v>
                </c:pt>
                <c:pt idx="161">
                  <c:v>957.40100000000007</c:v>
                </c:pt>
                <c:pt idx="162">
                  <c:v>986.34500000000003</c:v>
                </c:pt>
                <c:pt idx="163">
                  <c:v>1014.974</c:v>
                </c:pt>
                <c:pt idx="164">
                  <c:v>1052.5329999999999</c:v>
                </c:pt>
                <c:pt idx="165">
                  <c:v>1086.3499999999999</c:v>
                </c:pt>
                <c:pt idx="166">
                  <c:v>1075.3599999999999</c:v>
                </c:pt>
                <c:pt idx="167">
                  <c:v>1065.078</c:v>
                </c:pt>
                <c:pt idx="168">
                  <c:v>1037.6030000000001</c:v>
                </c:pt>
                <c:pt idx="169">
                  <c:v>1060.4079999999999</c:v>
                </c:pt>
                <c:pt idx="170">
                  <c:v>1094.8140000000001</c:v>
                </c:pt>
                <c:pt idx="171">
                  <c:v>1118.7530000000002</c:v>
                </c:pt>
                <c:pt idx="172">
                  <c:v>1132.48</c:v>
                </c:pt>
                <c:pt idx="173">
                  <c:v>1125.4659999999999</c:v>
                </c:pt>
                <c:pt idx="174">
                  <c:v>1137.057</c:v>
                </c:pt>
                <c:pt idx="175">
                  <c:v>1137.366</c:v>
                </c:pt>
                <c:pt idx="176">
                  <c:v>1171.06</c:v>
                </c:pt>
                <c:pt idx="177">
                  <c:v>1195.739</c:v>
                </c:pt>
                <c:pt idx="178">
                  <c:v>1201.7539999999999</c:v>
                </c:pt>
                <c:pt idx="179">
                  <c:v>1210.4769999999999</c:v>
                </c:pt>
                <c:pt idx="180">
                  <c:v>1242.2230000000002</c:v>
                </c:pt>
                <c:pt idx="181">
                  <c:v>1238.7380000000001</c:v>
                </c:pt>
                <c:pt idx="182">
                  <c:v>1241.0697843808862</c:v>
                </c:pt>
                <c:pt idx="183">
                  <c:v>1292.384341331373</c:v>
                </c:pt>
                <c:pt idx="184">
                  <c:v>1292.6752952523079</c:v>
                </c:pt>
                <c:pt idx="185">
                  <c:v>1341.5044220291406</c:v>
                </c:pt>
                <c:pt idx="186">
                  <c:v>1382.9885543840876</c:v>
                </c:pt>
                <c:pt idx="187">
                  <c:v>1400.3029632208516</c:v>
                </c:pt>
                <c:pt idx="188">
                  <c:v>1404.6533899928997</c:v>
                </c:pt>
                <c:pt idx="189">
                  <c:v>1393.0215156448924</c:v>
                </c:pt>
                <c:pt idx="190">
                  <c:v>1368.1825645618114</c:v>
                </c:pt>
                <c:pt idx="191">
                  <c:v>1220.8650560726678</c:v>
                </c:pt>
                <c:pt idx="192">
                  <c:v>1073.1930771469101</c:v>
                </c:pt>
                <c:pt idx="193">
                  <c:v>1023.9292618876706</c:v>
                </c:pt>
                <c:pt idx="194">
                  <c:v>963.6956985791644</c:v>
                </c:pt>
                <c:pt idx="195">
                  <c:v>910.103854258051</c:v>
                </c:pt>
                <c:pt idx="196">
                  <c:v>888.09957273212683</c:v>
                </c:pt>
                <c:pt idx="197">
                  <c:v>868.55568915554318</c:v>
                </c:pt>
                <c:pt idx="198">
                  <c:v>864.61340762961936</c:v>
                </c:pt>
                <c:pt idx="199">
                  <c:v>825.52384457777202</c:v>
                </c:pt>
                <c:pt idx="200">
                  <c:v>785.05612610369565</c:v>
                </c:pt>
                <c:pt idx="201">
                  <c:v>793.16412610369593</c:v>
                </c:pt>
                <c:pt idx="202">
                  <c:v>805.4065630518478</c:v>
                </c:pt>
                <c:pt idx="203">
                  <c:v>793.92456305184783</c:v>
                </c:pt>
                <c:pt idx="204">
                  <c:v>790.65828152592383</c:v>
                </c:pt>
                <c:pt idx="205">
                  <c:v>786.47471105184786</c:v>
                </c:pt>
                <c:pt idx="206">
                  <c:v>779.93708852592408</c:v>
                </c:pt>
                <c:pt idx="207">
                  <c:v>778.1846645051686</c:v>
                </c:pt>
                <c:pt idx="208">
                  <c:v>786.57572210064484</c:v>
                </c:pt>
                <c:pt idx="209">
                  <c:v>772.15962234865549</c:v>
                </c:pt>
                <c:pt idx="210">
                  <c:v>731.0657100518298</c:v>
                </c:pt>
              </c:numCache>
            </c:numRef>
          </c:yVal>
          <c:smooth val="1"/>
          <c:extLst>
            <c:ext xmlns:c16="http://schemas.microsoft.com/office/drawing/2014/chart" uri="{C3380CC4-5D6E-409C-BE32-E72D297353CC}">
              <c16:uniqueId val="{00000000-47BC-AB4E-BDCA-89E3893E2E0C}"/>
            </c:ext>
          </c:extLst>
        </c:ser>
        <c:dLbls>
          <c:showLegendKey val="0"/>
          <c:showVal val="0"/>
          <c:showCatName val="0"/>
          <c:showSerName val="0"/>
          <c:showPercent val="0"/>
          <c:showBubbleSize val="0"/>
        </c:dLbls>
        <c:axId val="134774144"/>
        <c:axId val="134793472"/>
      </c:scatterChart>
      <c:valAx>
        <c:axId val="134774144"/>
        <c:scaling>
          <c:orientation val="minMax"/>
          <c:max val="2020"/>
          <c:min val="188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4793472"/>
        <c:crossesAt val="-1000"/>
        <c:crossBetween val="midCat"/>
        <c:majorUnit val="70"/>
        <c:minorUnit val="10"/>
      </c:valAx>
      <c:valAx>
        <c:axId val="134793472"/>
        <c:scaling>
          <c:orientation val="minMax"/>
          <c:max val="150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179653679653765"/>
              <c:y val="0.17303587051618549"/>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4774144"/>
        <c:crosses val="max"/>
        <c:crossBetween val="midCat"/>
        <c:majorUnit val="500"/>
        <c:minorUnit val="10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4931933508311463"/>
          <c:h val="0.77264654418197765"/>
        </c:manualLayout>
      </c:layout>
      <c:scatterChart>
        <c:scatterStyle val="smoothMarker"/>
        <c:varyColors val="0"/>
        <c:ser>
          <c:idx val="2"/>
          <c:order val="0"/>
          <c:tx>
            <c:v>zero</c:v>
          </c:tx>
          <c:spPr>
            <a:ln w="15875">
              <a:solidFill>
                <a:srgbClr val="808080"/>
              </a:solidFill>
            </a:ln>
          </c:spPr>
          <c:marker>
            <c:symbol val="none"/>
          </c:marker>
          <c:xVal>
            <c:numRef>
              <c:f>(Europe!$E$3,Europe!$E$7)</c:f>
              <c:numCache>
                <c:formatCode>0</c:formatCode>
                <c:ptCount val="2"/>
                <c:pt idx="0" formatCode="General">
                  <c:v>1952</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0-2FB5-D844-AFB5-625DB3188281}"/>
            </c:ext>
          </c:extLst>
        </c:ser>
        <c:ser>
          <c:idx val="0"/>
          <c:order val="1"/>
          <c:tx>
            <c:strRef>
              <c:f>Europe!$I$17</c:f>
              <c:strCache>
                <c:ptCount val="1"/>
                <c:pt idx="0">
                  <c:v>r m</c:v>
                </c:pt>
              </c:strCache>
            </c:strRef>
          </c:tx>
          <c:spPr>
            <a:ln w="15875">
              <a:solidFill>
                <a:srgbClr val="008000"/>
              </a:solidFill>
            </a:ln>
          </c:spPr>
          <c:marker>
            <c:symbol val="none"/>
          </c:marker>
          <c:xVal>
            <c:numRef>
              <c:f>Europe!$D$172:$D$284</c:f>
              <c:numCache>
                <c:formatCode>General</c:formatCode>
                <c:ptCount val="113"/>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pt idx="57">
                  <c:v>2009</c:v>
                </c:pt>
                <c:pt idx="58">
                  <c:v>2010</c:v>
                </c:pt>
                <c:pt idx="59">
                  <c:v>2011</c:v>
                </c:pt>
                <c:pt idx="60">
                  <c:v>2012</c:v>
                </c:pt>
                <c:pt idx="61">
                  <c:v>2013</c:v>
                </c:pt>
                <c:pt idx="62">
                  <c:v>2014</c:v>
                </c:pt>
                <c:pt idx="63">
                  <c:v>2015</c:v>
                </c:pt>
                <c:pt idx="64">
                  <c:v>2016</c:v>
                </c:pt>
                <c:pt idx="65">
                  <c:v>2017</c:v>
                </c:pt>
                <c:pt idx="66">
                  <c:v>2018</c:v>
                </c:pt>
                <c:pt idx="67">
                  <c:v>2019</c:v>
                </c:pt>
                <c:pt idx="68">
                  <c:v>2020</c:v>
                </c:pt>
                <c:pt idx="69">
                  <c:v>2021</c:v>
                </c:pt>
                <c:pt idx="70">
                  <c:v>2022</c:v>
                </c:pt>
                <c:pt idx="71">
                  <c:v>2023</c:v>
                </c:pt>
                <c:pt idx="72">
                  <c:v>2024</c:v>
                </c:pt>
                <c:pt idx="73">
                  <c:v>2025</c:v>
                </c:pt>
                <c:pt idx="74">
                  <c:v>2026</c:v>
                </c:pt>
                <c:pt idx="75">
                  <c:v>2027</c:v>
                </c:pt>
                <c:pt idx="76">
                  <c:v>2028</c:v>
                </c:pt>
                <c:pt idx="77">
                  <c:v>2029</c:v>
                </c:pt>
                <c:pt idx="78">
                  <c:v>2030</c:v>
                </c:pt>
                <c:pt idx="79">
                  <c:v>2031</c:v>
                </c:pt>
                <c:pt idx="80">
                  <c:v>2032</c:v>
                </c:pt>
                <c:pt idx="81">
                  <c:v>2033</c:v>
                </c:pt>
                <c:pt idx="82">
                  <c:v>2034</c:v>
                </c:pt>
                <c:pt idx="83">
                  <c:v>2035</c:v>
                </c:pt>
                <c:pt idx="84">
                  <c:v>2036</c:v>
                </c:pt>
                <c:pt idx="85">
                  <c:v>2037</c:v>
                </c:pt>
                <c:pt idx="86">
                  <c:v>2038</c:v>
                </c:pt>
                <c:pt idx="87">
                  <c:v>2039</c:v>
                </c:pt>
                <c:pt idx="88">
                  <c:v>2040</c:v>
                </c:pt>
                <c:pt idx="89">
                  <c:v>2041</c:v>
                </c:pt>
                <c:pt idx="90">
                  <c:v>2042</c:v>
                </c:pt>
                <c:pt idx="91">
                  <c:v>2043</c:v>
                </c:pt>
                <c:pt idx="92">
                  <c:v>2044</c:v>
                </c:pt>
                <c:pt idx="93">
                  <c:v>2045</c:v>
                </c:pt>
                <c:pt idx="94">
                  <c:v>2046</c:v>
                </c:pt>
                <c:pt idx="95">
                  <c:v>2047</c:v>
                </c:pt>
                <c:pt idx="96">
                  <c:v>2048</c:v>
                </c:pt>
                <c:pt idx="97">
                  <c:v>2049</c:v>
                </c:pt>
                <c:pt idx="98">
                  <c:v>2050</c:v>
                </c:pt>
                <c:pt idx="99">
                  <c:v>2051</c:v>
                </c:pt>
                <c:pt idx="100">
                  <c:v>2052</c:v>
                </c:pt>
                <c:pt idx="101">
                  <c:v>2053</c:v>
                </c:pt>
                <c:pt idx="102">
                  <c:v>2054</c:v>
                </c:pt>
                <c:pt idx="103">
                  <c:v>2055</c:v>
                </c:pt>
                <c:pt idx="104">
                  <c:v>2056</c:v>
                </c:pt>
                <c:pt idx="105">
                  <c:v>2057</c:v>
                </c:pt>
                <c:pt idx="106">
                  <c:v>2058</c:v>
                </c:pt>
                <c:pt idx="107">
                  <c:v>2059</c:v>
                </c:pt>
                <c:pt idx="108">
                  <c:v>2060</c:v>
                </c:pt>
                <c:pt idx="109">
                  <c:v>2061</c:v>
                </c:pt>
                <c:pt idx="110">
                  <c:v>2062</c:v>
                </c:pt>
                <c:pt idx="111">
                  <c:v>2063</c:v>
                </c:pt>
                <c:pt idx="112">
                  <c:v>2064</c:v>
                </c:pt>
              </c:numCache>
            </c:numRef>
          </c:xVal>
          <c:yVal>
            <c:numRef>
              <c:f>Europe!$I$172:$I$284</c:f>
              <c:numCache>
                <c:formatCode>0.0</c:formatCode>
                <c:ptCount val="113"/>
                <c:pt idx="0">
                  <c:v>1.8320811358044011</c:v>
                </c:pt>
                <c:pt idx="1">
                  <c:v>0.49044579741257621</c:v>
                </c:pt>
                <c:pt idx="2">
                  <c:v>-0.51519937467855925</c:v>
                </c:pt>
                <c:pt idx="3">
                  <c:v>-0.9636139133517645</c:v>
                </c:pt>
                <c:pt idx="4">
                  <c:v>-1.1619984867766107</c:v>
                </c:pt>
                <c:pt idx="5">
                  <c:v>-1.2753403198612432</c:v>
                </c:pt>
                <c:pt idx="6">
                  <c:v>-1.3421091148984488</c:v>
                </c:pt>
                <c:pt idx="7">
                  <c:v>-1.2217847593246915</c:v>
                </c:pt>
                <c:pt idx="8">
                  <c:v>-0.95198621390591143</c:v>
                </c:pt>
                <c:pt idx="9">
                  <c:v>-0.57715480756633042</c:v>
                </c:pt>
                <c:pt idx="10">
                  <c:v>-0.10573899512019125</c:v>
                </c:pt>
                <c:pt idx="11">
                  <c:v>0.56522118311841041</c:v>
                </c:pt>
                <c:pt idx="12">
                  <c:v>1.3831360448593841</c:v>
                </c:pt>
                <c:pt idx="13">
                  <c:v>1.8293986331309497</c:v>
                </c:pt>
                <c:pt idx="14">
                  <c:v>1.9358989989113979</c:v>
                </c:pt>
                <c:pt idx="15">
                  <c:v>1.5332162343775053</c:v>
                </c:pt>
                <c:pt idx="16">
                  <c:v>1.1981811739324257</c:v>
                </c:pt>
                <c:pt idx="17">
                  <c:v>1.0564661329935916</c:v>
                </c:pt>
                <c:pt idx="18">
                  <c:v>0.99315092974666186</c:v>
                </c:pt>
                <c:pt idx="19">
                  <c:v>0.90324128961310635</c:v>
                </c:pt>
                <c:pt idx="20">
                  <c:v>0.57943054456609389</c:v>
                </c:pt>
                <c:pt idx="21">
                  <c:v>0.22552606630506489</c:v>
                </c:pt>
                <c:pt idx="22">
                  <c:v>-0.26527527582493349</c:v>
                </c:pt>
                <c:pt idx="23">
                  <c:v>-0.55041922133204935</c:v>
                </c:pt>
                <c:pt idx="24">
                  <c:v>-0.71921875439511496</c:v>
                </c:pt>
                <c:pt idx="25">
                  <c:v>-0.950517158031289</c:v>
                </c:pt>
                <c:pt idx="26">
                  <c:v>-1.2094899125631855</c:v>
                </c:pt>
                <c:pt idx="27">
                  <c:v>-1.2679585826172115</c:v>
                </c:pt>
                <c:pt idx="28">
                  <c:v>-1.4579951890054872</c:v>
                </c:pt>
                <c:pt idx="29">
                  <c:v>-1.7140842644239456</c:v>
                </c:pt>
                <c:pt idx="30">
                  <c:v>-1.5682651513216115</c:v>
                </c:pt>
                <c:pt idx="31">
                  <c:v>-1.4948913208072554</c:v>
                </c:pt>
                <c:pt idx="32">
                  <c:v>-1.0342675114989106</c:v>
                </c:pt>
                <c:pt idx="33">
                  <c:v>-0.250382249492759</c:v>
                </c:pt>
                <c:pt idx="34">
                  <c:v>0.64102209977409075</c:v>
                </c:pt>
                <c:pt idx="35">
                  <c:v>1.531070568067662</c:v>
                </c:pt>
                <c:pt idx="36">
                  <c:v>2.2847996239515851</c:v>
                </c:pt>
                <c:pt idx="37">
                  <c:v>2.7932425280832831</c:v>
                </c:pt>
                <c:pt idx="38">
                  <c:v>1.9484596755382881</c:v>
                </c:pt>
                <c:pt idx="39">
                  <c:v>-0.24449143017591268</c:v>
                </c:pt>
                <c:pt idx="40">
                  <c:v>-2.8818066531284785</c:v>
                </c:pt>
                <c:pt idx="41">
                  <c:v>-2.4609277163244769</c:v>
                </c:pt>
                <c:pt idx="42">
                  <c:v>-1.1833568672309411</c:v>
                </c:pt>
                <c:pt idx="43">
                  <c:v>-0.20473485378443002</c:v>
                </c:pt>
                <c:pt idx="44">
                  <c:v>0.51388025704909523</c:v>
                </c:pt>
                <c:pt idx="45">
                  <c:v>1.2043295012927047</c:v>
                </c:pt>
                <c:pt idx="46">
                  <c:v>1.3526295698356989</c:v>
                </c:pt>
                <c:pt idx="47">
                  <c:v>0.93766012549349398</c:v>
                </c:pt>
                <c:pt idx="48">
                  <c:v>0.67780407804093556</c:v>
                </c:pt>
                <c:pt idx="49">
                  <c:v>0.63930534967312269</c:v>
                </c:pt>
                <c:pt idx="50">
                  <c:v>0.47358398314281658</c:v>
                </c:pt>
                <c:pt idx="51">
                  <c:v>0.30563304434144811</c:v>
                </c:pt>
                <c:pt idx="52">
                  <c:v>0.12481866035250277</c:v>
                </c:pt>
                <c:pt idx="53">
                  <c:v>-0.10149076498601062</c:v>
                </c:pt>
                <c:pt idx="54">
                  <c:v>-0.29809299749467755</c:v>
                </c:pt>
                <c:pt idx="55">
                  <c:v>-0.30644416264203755</c:v>
                </c:pt>
                <c:pt idx="56">
                  <c:v>-0.47096802939995541</c:v>
                </c:pt>
                <c:pt idx="57">
                  <c:v>-1.2036291773456469</c:v>
                </c:pt>
              </c:numCache>
            </c:numRef>
          </c:yVal>
          <c:smooth val="1"/>
          <c:extLst>
            <c:ext xmlns:c16="http://schemas.microsoft.com/office/drawing/2014/chart" uri="{C3380CC4-5D6E-409C-BE32-E72D297353CC}">
              <c16:uniqueId val="{00000001-2FB5-D844-AFB5-625DB3188281}"/>
            </c:ext>
          </c:extLst>
        </c:ser>
        <c:ser>
          <c:idx val="1"/>
          <c:order val="2"/>
          <c:tx>
            <c:v>early r m</c:v>
          </c:tx>
          <c:spPr>
            <a:ln w="15875">
              <a:solidFill>
                <a:srgbClr val="008000"/>
              </a:solidFill>
              <a:prstDash val="lgDash"/>
            </a:ln>
          </c:spPr>
          <c:marker>
            <c:symbol val="none"/>
          </c:marker>
          <c:xVal>
            <c:numRef>
              <c:f>Europe!$D$20:$D$171</c:f>
              <c:numCache>
                <c:formatCode>General</c:formatCode>
                <c:ptCount val="152"/>
                <c:pt idx="0">
                  <c:v>1800</c:v>
                </c:pt>
                <c:pt idx="1">
                  <c:v>1801</c:v>
                </c:pt>
                <c:pt idx="2">
                  <c:v>1802</c:v>
                </c:pt>
                <c:pt idx="3">
                  <c:v>1803</c:v>
                </c:pt>
                <c:pt idx="4">
                  <c:v>1804</c:v>
                </c:pt>
                <c:pt idx="5">
                  <c:v>1805</c:v>
                </c:pt>
                <c:pt idx="6">
                  <c:v>1806</c:v>
                </c:pt>
                <c:pt idx="7">
                  <c:v>1807</c:v>
                </c:pt>
                <c:pt idx="8">
                  <c:v>1808</c:v>
                </c:pt>
                <c:pt idx="9">
                  <c:v>1809</c:v>
                </c:pt>
                <c:pt idx="10">
                  <c:v>1810</c:v>
                </c:pt>
                <c:pt idx="11">
                  <c:v>1811</c:v>
                </c:pt>
                <c:pt idx="12">
                  <c:v>1812</c:v>
                </c:pt>
                <c:pt idx="13">
                  <c:v>1813</c:v>
                </c:pt>
                <c:pt idx="14">
                  <c:v>1814</c:v>
                </c:pt>
                <c:pt idx="15">
                  <c:v>1815</c:v>
                </c:pt>
                <c:pt idx="16">
                  <c:v>1816</c:v>
                </c:pt>
                <c:pt idx="17">
                  <c:v>1817</c:v>
                </c:pt>
                <c:pt idx="18">
                  <c:v>1818</c:v>
                </c:pt>
                <c:pt idx="19">
                  <c:v>1819</c:v>
                </c:pt>
                <c:pt idx="20">
                  <c:v>1820</c:v>
                </c:pt>
                <c:pt idx="21">
                  <c:v>1821</c:v>
                </c:pt>
                <c:pt idx="22">
                  <c:v>1822</c:v>
                </c:pt>
                <c:pt idx="23">
                  <c:v>1823</c:v>
                </c:pt>
                <c:pt idx="24">
                  <c:v>1824</c:v>
                </c:pt>
                <c:pt idx="25">
                  <c:v>1825</c:v>
                </c:pt>
                <c:pt idx="26">
                  <c:v>1826</c:v>
                </c:pt>
                <c:pt idx="27">
                  <c:v>1827</c:v>
                </c:pt>
                <c:pt idx="28">
                  <c:v>1828</c:v>
                </c:pt>
                <c:pt idx="29">
                  <c:v>1829</c:v>
                </c:pt>
                <c:pt idx="30">
                  <c:v>1830</c:v>
                </c:pt>
                <c:pt idx="31">
                  <c:v>1831</c:v>
                </c:pt>
                <c:pt idx="32">
                  <c:v>1832</c:v>
                </c:pt>
                <c:pt idx="33">
                  <c:v>1833</c:v>
                </c:pt>
                <c:pt idx="34">
                  <c:v>1834</c:v>
                </c:pt>
                <c:pt idx="35">
                  <c:v>1835</c:v>
                </c:pt>
                <c:pt idx="36">
                  <c:v>1836</c:v>
                </c:pt>
                <c:pt idx="37">
                  <c:v>1837</c:v>
                </c:pt>
                <c:pt idx="38">
                  <c:v>1838</c:v>
                </c:pt>
                <c:pt idx="39">
                  <c:v>1839</c:v>
                </c:pt>
                <c:pt idx="40">
                  <c:v>1840</c:v>
                </c:pt>
                <c:pt idx="41">
                  <c:v>1841</c:v>
                </c:pt>
                <c:pt idx="42">
                  <c:v>1842</c:v>
                </c:pt>
                <c:pt idx="43">
                  <c:v>1843</c:v>
                </c:pt>
                <c:pt idx="44">
                  <c:v>1844</c:v>
                </c:pt>
                <c:pt idx="45">
                  <c:v>1845</c:v>
                </c:pt>
                <c:pt idx="46">
                  <c:v>1846</c:v>
                </c:pt>
                <c:pt idx="47">
                  <c:v>1847</c:v>
                </c:pt>
                <c:pt idx="48">
                  <c:v>1848</c:v>
                </c:pt>
                <c:pt idx="49">
                  <c:v>1849</c:v>
                </c:pt>
                <c:pt idx="50">
                  <c:v>1850</c:v>
                </c:pt>
                <c:pt idx="51">
                  <c:v>1851</c:v>
                </c:pt>
                <c:pt idx="52">
                  <c:v>1852</c:v>
                </c:pt>
                <c:pt idx="53">
                  <c:v>1853</c:v>
                </c:pt>
                <c:pt idx="54">
                  <c:v>1854</c:v>
                </c:pt>
                <c:pt idx="55">
                  <c:v>1855</c:v>
                </c:pt>
                <c:pt idx="56">
                  <c:v>1856</c:v>
                </c:pt>
                <c:pt idx="57">
                  <c:v>1857</c:v>
                </c:pt>
                <c:pt idx="58">
                  <c:v>1858</c:v>
                </c:pt>
                <c:pt idx="59">
                  <c:v>1859</c:v>
                </c:pt>
                <c:pt idx="60">
                  <c:v>1860</c:v>
                </c:pt>
                <c:pt idx="61">
                  <c:v>1861</c:v>
                </c:pt>
                <c:pt idx="62">
                  <c:v>1862</c:v>
                </c:pt>
                <c:pt idx="63">
                  <c:v>1863</c:v>
                </c:pt>
                <c:pt idx="64">
                  <c:v>1864</c:v>
                </c:pt>
                <c:pt idx="65">
                  <c:v>1865</c:v>
                </c:pt>
                <c:pt idx="66">
                  <c:v>1866</c:v>
                </c:pt>
                <c:pt idx="67">
                  <c:v>1867</c:v>
                </c:pt>
                <c:pt idx="68">
                  <c:v>1868</c:v>
                </c:pt>
                <c:pt idx="69">
                  <c:v>1869</c:v>
                </c:pt>
                <c:pt idx="70">
                  <c:v>1870</c:v>
                </c:pt>
                <c:pt idx="71">
                  <c:v>1871</c:v>
                </c:pt>
                <c:pt idx="72">
                  <c:v>1872</c:v>
                </c:pt>
                <c:pt idx="73">
                  <c:v>1873</c:v>
                </c:pt>
                <c:pt idx="74">
                  <c:v>1874</c:v>
                </c:pt>
                <c:pt idx="75">
                  <c:v>1875</c:v>
                </c:pt>
                <c:pt idx="76">
                  <c:v>1876</c:v>
                </c:pt>
                <c:pt idx="77">
                  <c:v>1877</c:v>
                </c:pt>
                <c:pt idx="78">
                  <c:v>1878</c:v>
                </c:pt>
                <c:pt idx="79">
                  <c:v>1879</c:v>
                </c:pt>
                <c:pt idx="80">
                  <c:v>1880</c:v>
                </c:pt>
                <c:pt idx="81">
                  <c:v>1881</c:v>
                </c:pt>
                <c:pt idx="82">
                  <c:v>1882</c:v>
                </c:pt>
                <c:pt idx="83">
                  <c:v>1883</c:v>
                </c:pt>
                <c:pt idx="84">
                  <c:v>1884</c:v>
                </c:pt>
                <c:pt idx="85">
                  <c:v>1885</c:v>
                </c:pt>
                <c:pt idx="86">
                  <c:v>1886</c:v>
                </c:pt>
                <c:pt idx="87">
                  <c:v>1887</c:v>
                </c:pt>
                <c:pt idx="88">
                  <c:v>1888</c:v>
                </c:pt>
                <c:pt idx="89">
                  <c:v>1889</c:v>
                </c:pt>
                <c:pt idx="90">
                  <c:v>1890</c:v>
                </c:pt>
                <c:pt idx="91">
                  <c:v>1891</c:v>
                </c:pt>
                <c:pt idx="92">
                  <c:v>1892</c:v>
                </c:pt>
                <c:pt idx="93">
                  <c:v>1893</c:v>
                </c:pt>
                <c:pt idx="94">
                  <c:v>1894</c:v>
                </c:pt>
                <c:pt idx="95">
                  <c:v>1895</c:v>
                </c:pt>
                <c:pt idx="96">
                  <c:v>1896</c:v>
                </c:pt>
                <c:pt idx="97">
                  <c:v>1897</c:v>
                </c:pt>
                <c:pt idx="98">
                  <c:v>1898</c:v>
                </c:pt>
                <c:pt idx="99">
                  <c:v>1899</c:v>
                </c:pt>
                <c:pt idx="100">
                  <c:v>1900</c:v>
                </c:pt>
                <c:pt idx="101">
                  <c:v>1901</c:v>
                </c:pt>
                <c:pt idx="102">
                  <c:v>1902</c:v>
                </c:pt>
                <c:pt idx="103">
                  <c:v>1903</c:v>
                </c:pt>
                <c:pt idx="104">
                  <c:v>1904</c:v>
                </c:pt>
                <c:pt idx="105">
                  <c:v>1905</c:v>
                </c:pt>
                <c:pt idx="106">
                  <c:v>1906</c:v>
                </c:pt>
                <c:pt idx="107">
                  <c:v>1907</c:v>
                </c:pt>
                <c:pt idx="108">
                  <c:v>1908</c:v>
                </c:pt>
                <c:pt idx="109">
                  <c:v>1909</c:v>
                </c:pt>
                <c:pt idx="110">
                  <c:v>1910</c:v>
                </c:pt>
                <c:pt idx="111">
                  <c:v>1911</c:v>
                </c:pt>
                <c:pt idx="112">
                  <c:v>1912</c:v>
                </c:pt>
                <c:pt idx="113">
                  <c:v>1913</c:v>
                </c:pt>
                <c:pt idx="114">
                  <c:v>1914</c:v>
                </c:pt>
                <c:pt idx="115">
                  <c:v>1915</c:v>
                </c:pt>
                <c:pt idx="116">
                  <c:v>1916</c:v>
                </c:pt>
                <c:pt idx="117">
                  <c:v>1917</c:v>
                </c:pt>
                <c:pt idx="118">
                  <c:v>1918</c:v>
                </c:pt>
                <c:pt idx="119">
                  <c:v>1919</c:v>
                </c:pt>
                <c:pt idx="120">
                  <c:v>1920</c:v>
                </c:pt>
                <c:pt idx="121">
                  <c:v>1921</c:v>
                </c:pt>
                <c:pt idx="122">
                  <c:v>1922</c:v>
                </c:pt>
                <c:pt idx="123">
                  <c:v>1923</c:v>
                </c:pt>
                <c:pt idx="124">
                  <c:v>1924</c:v>
                </c:pt>
                <c:pt idx="125">
                  <c:v>1925</c:v>
                </c:pt>
                <c:pt idx="126">
                  <c:v>1926</c:v>
                </c:pt>
                <c:pt idx="127">
                  <c:v>1927</c:v>
                </c:pt>
                <c:pt idx="128">
                  <c:v>1928</c:v>
                </c:pt>
                <c:pt idx="129">
                  <c:v>1929</c:v>
                </c:pt>
                <c:pt idx="130">
                  <c:v>1930</c:v>
                </c:pt>
                <c:pt idx="131">
                  <c:v>1931</c:v>
                </c:pt>
                <c:pt idx="132">
                  <c:v>1932</c:v>
                </c:pt>
                <c:pt idx="133">
                  <c:v>1933</c:v>
                </c:pt>
                <c:pt idx="134">
                  <c:v>1934</c:v>
                </c:pt>
                <c:pt idx="135">
                  <c:v>1935</c:v>
                </c:pt>
                <c:pt idx="136">
                  <c:v>1936</c:v>
                </c:pt>
                <c:pt idx="137">
                  <c:v>1937</c:v>
                </c:pt>
                <c:pt idx="138">
                  <c:v>1938</c:v>
                </c:pt>
                <c:pt idx="139">
                  <c:v>1939</c:v>
                </c:pt>
                <c:pt idx="140">
                  <c:v>1940</c:v>
                </c:pt>
                <c:pt idx="141">
                  <c:v>1941</c:v>
                </c:pt>
                <c:pt idx="142">
                  <c:v>1942</c:v>
                </c:pt>
                <c:pt idx="143">
                  <c:v>1943</c:v>
                </c:pt>
                <c:pt idx="144">
                  <c:v>1944</c:v>
                </c:pt>
                <c:pt idx="145">
                  <c:v>1945</c:v>
                </c:pt>
                <c:pt idx="146">
                  <c:v>1946</c:v>
                </c:pt>
                <c:pt idx="147">
                  <c:v>1947</c:v>
                </c:pt>
                <c:pt idx="148">
                  <c:v>1948</c:v>
                </c:pt>
                <c:pt idx="149">
                  <c:v>1949</c:v>
                </c:pt>
                <c:pt idx="150">
                  <c:v>1950</c:v>
                </c:pt>
                <c:pt idx="151">
                  <c:v>1951</c:v>
                </c:pt>
              </c:numCache>
            </c:numRef>
          </c:xVal>
          <c:yVal>
            <c:numRef>
              <c:f>Europe!$I$20:$I$171</c:f>
              <c:numCache>
                <c:formatCode>0.0</c:formatCode>
                <c:ptCount val="152"/>
                <c:pt idx="0">
                  <c:v>-2566.4360706273001</c:v>
                </c:pt>
                <c:pt idx="1">
                  <c:v>-2568.4405513198526</c:v>
                </c:pt>
                <c:pt idx="2">
                  <c:v>-2569.1769483228436</c:v>
                </c:pt>
                <c:pt idx="3">
                  <c:v>-2563.9746472752322</c:v>
                </c:pt>
                <c:pt idx="4">
                  <c:v>-2555.7471364147459</c:v>
                </c:pt>
                <c:pt idx="5">
                  <c:v>-2547.4615605532654</c:v>
                </c:pt>
                <c:pt idx="6">
                  <c:v>-2536.0407900673817</c:v>
                </c:pt>
                <c:pt idx="7">
                  <c:v>-2525.8328437533128</c:v>
                </c:pt>
                <c:pt idx="8">
                  <c:v>-2515.0262638419099</c:v>
                </c:pt>
                <c:pt idx="9">
                  <c:v>-2503.8537582469999</c:v>
                </c:pt>
                <c:pt idx="10">
                  <c:v>-2492.5079498896412</c:v>
                </c:pt>
                <c:pt idx="11">
                  <c:v>-2481.8124676417792</c:v>
                </c:pt>
                <c:pt idx="12">
                  <c:v>-2472.0602741724579</c:v>
                </c:pt>
                <c:pt idx="13">
                  <c:v>-2462.3710489281784</c:v>
                </c:pt>
                <c:pt idx="14">
                  <c:v>-2454.0486415652249</c:v>
                </c:pt>
                <c:pt idx="15">
                  <c:v>-2445.7193304296943</c:v>
                </c:pt>
                <c:pt idx="16">
                  <c:v>-2437.5842672150902</c:v>
                </c:pt>
                <c:pt idx="17">
                  <c:v>-1448.2332711367526</c:v>
                </c:pt>
                <c:pt idx="18">
                  <c:v>-1253.7585326085882</c:v>
                </c:pt>
                <c:pt idx="19">
                  <c:v>-1143.5115646665472</c:v>
                </c:pt>
                <c:pt idx="20">
                  <c:v>-1062.5884396578167</c:v>
                </c:pt>
                <c:pt idx="21">
                  <c:v>-998.86109780479273</c:v>
                </c:pt>
                <c:pt idx="22">
                  <c:v>-946.54291489534262</c:v>
                </c:pt>
                <c:pt idx="23">
                  <c:v>-905.39576305145783</c:v>
                </c:pt>
                <c:pt idx="24">
                  <c:v>-866.91530068490647</c:v>
                </c:pt>
                <c:pt idx="25">
                  <c:v>-835.58021944942811</c:v>
                </c:pt>
                <c:pt idx="26">
                  <c:v>-809.59533407677191</c:v>
                </c:pt>
                <c:pt idx="27">
                  <c:v>-786.02519983737329</c:v>
                </c:pt>
                <c:pt idx="28">
                  <c:v>-766.14777209624299</c:v>
                </c:pt>
                <c:pt idx="29">
                  <c:v>-749.27270544972271</c:v>
                </c:pt>
                <c:pt idx="30">
                  <c:v>-733.55842345033307</c:v>
                </c:pt>
                <c:pt idx="31">
                  <c:v>-721.35065428973212</c:v>
                </c:pt>
                <c:pt idx="32">
                  <c:v>-708.65773068363706</c:v>
                </c:pt>
                <c:pt idx="33">
                  <c:v>-695.72036032414599</c:v>
                </c:pt>
                <c:pt idx="34">
                  <c:v>-684.65648809685445</c:v>
                </c:pt>
                <c:pt idx="35">
                  <c:v>-674.30913344803594</c:v>
                </c:pt>
                <c:pt idx="36">
                  <c:v>-663.81064398822218</c:v>
                </c:pt>
                <c:pt idx="37">
                  <c:v>-647.9490698787622</c:v>
                </c:pt>
                <c:pt idx="38">
                  <c:v>-632.32369047182601</c:v>
                </c:pt>
                <c:pt idx="39">
                  <c:v>-616.94805953060222</c:v>
                </c:pt>
                <c:pt idx="40">
                  <c:v>-602.07012146644138</c:v>
                </c:pt>
                <c:pt idx="41">
                  <c:v>-588.765559460654</c:v>
                </c:pt>
                <c:pt idx="42">
                  <c:v>-573.40099258109876</c:v>
                </c:pt>
                <c:pt idx="43">
                  <c:v>-561.6490536564952</c:v>
                </c:pt>
                <c:pt idx="44">
                  <c:v>-549.94372183993892</c:v>
                </c:pt>
                <c:pt idx="45">
                  <c:v>-536.40800621096514</c:v>
                </c:pt>
                <c:pt idx="46">
                  <c:v>-523.38603906388289</c:v>
                </c:pt>
                <c:pt idx="47">
                  <c:v>-510.91996355620176</c:v>
                </c:pt>
                <c:pt idx="48">
                  <c:v>-500.51106209371028</c:v>
                </c:pt>
                <c:pt idx="49">
                  <c:v>-490.73975732499457</c:v>
                </c:pt>
                <c:pt idx="50">
                  <c:v>-481.32941029511858</c:v>
                </c:pt>
                <c:pt idx="51">
                  <c:v>-469.78494693084303</c:v>
                </c:pt>
                <c:pt idx="52">
                  <c:v>-457.57957918998363</c:v>
                </c:pt>
                <c:pt idx="53">
                  <c:v>-444.14328768896212</c:v>
                </c:pt>
                <c:pt idx="54">
                  <c:v>-429.49026536842575</c:v>
                </c:pt>
                <c:pt idx="55">
                  <c:v>-413.6064458016308</c:v>
                </c:pt>
                <c:pt idx="56">
                  <c:v>-397.66214851481436</c:v>
                </c:pt>
                <c:pt idx="57">
                  <c:v>-382.11661332427866</c:v>
                </c:pt>
                <c:pt idx="58">
                  <c:v>-367.41843577710461</c:v>
                </c:pt>
                <c:pt idx="59">
                  <c:v>-356.93841524507206</c:v>
                </c:pt>
                <c:pt idx="60">
                  <c:v>-342.3022613441135</c:v>
                </c:pt>
                <c:pt idx="61">
                  <c:v>-328.85451684819964</c:v>
                </c:pt>
                <c:pt idx="62">
                  <c:v>-315.01872293034194</c:v>
                </c:pt>
                <c:pt idx="63">
                  <c:v>-301.61304937140267</c:v>
                </c:pt>
                <c:pt idx="64">
                  <c:v>-287.47939454173775</c:v>
                </c:pt>
                <c:pt idx="65">
                  <c:v>-272.6427866956401</c:v>
                </c:pt>
                <c:pt idx="66">
                  <c:v>-260.52216806922206</c:v>
                </c:pt>
                <c:pt idx="67">
                  <c:v>-247.55642973388149</c:v>
                </c:pt>
                <c:pt idx="68">
                  <c:v>-234.69521935234843</c:v>
                </c:pt>
                <c:pt idx="69">
                  <c:v>-222.44799697212602</c:v>
                </c:pt>
                <c:pt idx="70">
                  <c:v>-211.72312778895866</c:v>
                </c:pt>
                <c:pt idx="71">
                  <c:v>-199.78449837237258</c:v>
                </c:pt>
                <c:pt idx="72">
                  <c:v>-187.45599772149944</c:v>
                </c:pt>
                <c:pt idx="73">
                  <c:v>-174.76575206102643</c:v>
                </c:pt>
                <c:pt idx="74">
                  <c:v>-163.54212573416044</c:v>
                </c:pt>
                <c:pt idx="75">
                  <c:v>-153.22790708179855</c:v>
                </c:pt>
                <c:pt idx="76">
                  <c:v>-143.6433296027335</c:v>
                </c:pt>
                <c:pt idx="77">
                  <c:v>-135.79393898814669</c:v>
                </c:pt>
                <c:pt idx="78">
                  <c:v>-128.36542423203082</c:v>
                </c:pt>
                <c:pt idx="79">
                  <c:v>-120.96020840230813</c:v>
                </c:pt>
                <c:pt idx="80">
                  <c:v>-112.93767071583898</c:v>
                </c:pt>
                <c:pt idx="81">
                  <c:v>-105.16188217827494</c:v>
                </c:pt>
                <c:pt idx="82">
                  <c:v>-97.56007741981557</c:v>
                </c:pt>
                <c:pt idx="83">
                  <c:v>-89.727196038206785</c:v>
                </c:pt>
                <c:pt idx="84">
                  <c:v>-82.716348295097305</c:v>
                </c:pt>
                <c:pt idx="85">
                  <c:v>-76.335857448830211</c:v>
                </c:pt>
                <c:pt idx="86">
                  <c:v>-70.848434330345299</c:v>
                </c:pt>
                <c:pt idx="87">
                  <c:v>-65.680432351638046</c:v>
                </c:pt>
                <c:pt idx="88">
                  <c:v>-60.118559745607854</c:v>
                </c:pt>
                <c:pt idx="89">
                  <c:v>-54.758402022906921</c:v>
                </c:pt>
                <c:pt idx="90">
                  <c:v>-49.355612815737913</c:v>
                </c:pt>
                <c:pt idx="91">
                  <c:v>-43.971982605677113</c:v>
                </c:pt>
                <c:pt idx="92">
                  <c:v>-39.623857316312751</c:v>
                </c:pt>
                <c:pt idx="93">
                  <c:v>-35.457182139586621</c:v>
                </c:pt>
                <c:pt idx="94">
                  <c:v>-31.527883174709132</c:v>
                </c:pt>
                <c:pt idx="95">
                  <c:v>-27.605448420235007</c:v>
                </c:pt>
                <c:pt idx="96">
                  <c:v>-23.421406817467869</c:v>
                </c:pt>
                <c:pt idx="97">
                  <c:v>-18.846395186484187</c:v>
                </c:pt>
                <c:pt idx="98">
                  <c:v>-14.093923179904777</c:v>
                </c:pt>
                <c:pt idx="99">
                  <c:v>-9.1230993384069734</c:v>
                </c:pt>
                <c:pt idx="100">
                  <c:v>-3.7276806956015207</c:v>
                </c:pt>
                <c:pt idx="101">
                  <c:v>1.2013040412721239</c:v>
                </c:pt>
                <c:pt idx="102">
                  <c:v>4.9593090615753681</c:v>
                </c:pt>
                <c:pt idx="103">
                  <c:v>9.0168795587533168</c:v>
                </c:pt>
                <c:pt idx="104">
                  <c:v>12.946489167794425</c:v>
                </c:pt>
                <c:pt idx="105">
                  <c:v>16.545238438052365</c:v>
                </c:pt>
                <c:pt idx="106">
                  <c:v>20.947735100168757</c:v>
                </c:pt>
                <c:pt idx="107">
                  <c:v>25.716940710763993</c:v>
                </c:pt>
                <c:pt idx="108">
                  <c:v>30.274482975482897</c:v>
                </c:pt>
                <c:pt idx="109">
                  <c:v>34.211444503202074</c:v>
                </c:pt>
                <c:pt idx="110">
                  <c:v>37.571118447561275</c:v>
                </c:pt>
                <c:pt idx="111">
                  <c:v>41.098441353478847</c:v>
                </c:pt>
                <c:pt idx="112">
                  <c:v>45.078363783009081</c:v>
                </c:pt>
                <c:pt idx="113">
                  <c:v>51.126149411627011</c:v>
                </c:pt>
                <c:pt idx="114">
                  <c:v>54.768906537827206</c:v>
                </c:pt>
                <c:pt idx="115">
                  <c:v>57.274696100885194</c:v>
                </c:pt>
                <c:pt idx="116">
                  <c:v>58.645050594534041</c:v>
                </c:pt>
                <c:pt idx="117">
                  <c:v>59.751096642168704</c:v>
                </c:pt>
                <c:pt idx="118">
                  <c:v>59.573650639640618</c:v>
                </c:pt>
                <c:pt idx="119">
                  <c:v>57.112257177739593</c:v>
                </c:pt>
                <c:pt idx="120">
                  <c:v>56.083716405614723</c:v>
                </c:pt>
                <c:pt idx="121">
                  <c:v>55.284107961812879</c:v>
                </c:pt>
                <c:pt idx="122">
                  <c:v>54.93157802337555</c:v>
                </c:pt>
                <c:pt idx="123">
                  <c:v>52.016545116343877</c:v>
                </c:pt>
                <c:pt idx="124">
                  <c:v>51.03866060200653</c:v>
                </c:pt>
                <c:pt idx="125">
                  <c:v>50.412055849666103</c:v>
                </c:pt>
                <c:pt idx="126">
                  <c:v>50.318596815107412</c:v>
                </c:pt>
                <c:pt idx="127">
                  <c:v>50.687074112571281</c:v>
                </c:pt>
                <c:pt idx="128">
                  <c:v>51.102174813781858</c:v>
                </c:pt>
                <c:pt idx="129">
                  <c:v>52.054614363411929</c:v>
                </c:pt>
                <c:pt idx="130">
                  <c:v>50.954030240593056</c:v>
                </c:pt>
                <c:pt idx="131">
                  <c:v>48.801046494615548</c:v>
                </c:pt>
                <c:pt idx="132">
                  <c:v>45.59710633002851</c:v>
                </c:pt>
                <c:pt idx="133">
                  <c:v>42.429981374418276</c:v>
                </c:pt>
                <c:pt idx="134">
                  <c:v>39.9251742406841</c:v>
                </c:pt>
                <c:pt idx="135">
                  <c:v>37.983576285400886</c:v>
                </c:pt>
                <c:pt idx="136">
                  <c:v>36.623696758400911</c:v>
                </c:pt>
                <c:pt idx="137">
                  <c:v>36.401629712412614</c:v>
                </c:pt>
                <c:pt idx="138">
                  <c:v>36.201827763507936</c:v>
                </c:pt>
                <c:pt idx="139">
                  <c:v>35.962039405005271</c:v>
                </c:pt>
                <c:pt idx="140">
                  <c:v>36.505264404308036</c:v>
                </c:pt>
                <c:pt idx="141">
                  <c:v>36.596643948249948</c:v>
                </c:pt>
                <c:pt idx="142">
                  <c:v>35.766305740448843</c:v>
                </c:pt>
                <c:pt idx="143">
                  <c:v>35.03194467929643</c:v>
                </c:pt>
                <c:pt idx="144">
                  <c:v>32.92545566219178</c:v>
                </c:pt>
                <c:pt idx="145">
                  <c:v>23.998913485370394</c:v>
                </c:pt>
                <c:pt idx="146">
                  <c:v>18.640683248083405</c:v>
                </c:pt>
                <c:pt idx="147">
                  <c:v>14.116345923252993</c:v>
                </c:pt>
                <c:pt idx="148">
                  <c:v>10.400912967904333</c:v>
                </c:pt>
                <c:pt idx="149">
                  <c:v>7.5217702750860553</c:v>
                </c:pt>
                <c:pt idx="150">
                  <c:v>5.2024257865350592</c:v>
                </c:pt>
                <c:pt idx="151">
                  <c:v>3.3832500409916975</c:v>
                </c:pt>
              </c:numCache>
            </c:numRef>
          </c:yVal>
          <c:smooth val="1"/>
          <c:extLst>
            <c:ext xmlns:c16="http://schemas.microsoft.com/office/drawing/2014/chart" uri="{C3380CC4-5D6E-409C-BE32-E72D297353CC}">
              <c16:uniqueId val="{00000002-2FB5-D844-AFB5-625DB3188281}"/>
            </c:ext>
          </c:extLst>
        </c:ser>
        <c:dLbls>
          <c:showLegendKey val="0"/>
          <c:showVal val="0"/>
          <c:showCatName val="0"/>
          <c:showSerName val="0"/>
          <c:showPercent val="0"/>
          <c:showBubbleSize val="0"/>
        </c:dLbls>
        <c:axId val="134960256"/>
        <c:axId val="134961792"/>
      </c:scatterChart>
      <c:valAx>
        <c:axId val="134960256"/>
        <c:scaling>
          <c:orientation val="minMax"/>
          <c:max val="2020"/>
          <c:min val="1940"/>
        </c:scaling>
        <c:delete val="0"/>
        <c:axPos val="b"/>
        <c:numFmt formatCode="General" sourceLinked="1"/>
        <c:majorTickMark val="in"/>
        <c:minorTickMark val="in"/>
        <c:tickLblPos val="nextTo"/>
        <c:spPr>
          <a:ln>
            <a:solidFill>
              <a:srgbClr val="333399"/>
            </a:solidFill>
          </a:ln>
        </c:spPr>
        <c:crossAx val="134961792"/>
        <c:crossesAt val="-100"/>
        <c:crossBetween val="midCat"/>
        <c:majorUnit val="40"/>
        <c:minorUnit val="10"/>
      </c:valAx>
      <c:valAx>
        <c:axId val="134961792"/>
        <c:scaling>
          <c:orientation val="minMax"/>
          <c:max val="20"/>
          <c:min val="-20"/>
        </c:scaling>
        <c:delete val="0"/>
        <c:axPos val="r"/>
        <c:title>
          <c:tx>
            <c:rich>
              <a:bodyPr rot="-5400000" vert="horz"/>
              <a:lstStyle/>
              <a:p>
                <a:pPr>
                  <a:defRPr b="0"/>
                </a:pPr>
                <a:r>
                  <a:rPr lang="en-US" b="0"/>
                  <a:t>Residual</a:t>
                </a:r>
                <a:r>
                  <a:rPr lang="en-US" b="0" baseline="0"/>
                  <a:t>, months</a:t>
                </a:r>
                <a:endParaRPr lang="en-US" b="0"/>
              </a:p>
            </c:rich>
          </c:tx>
          <c:layout>
            <c:manualLayout>
              <c:xMode val="edge"/>
              <c:yMode val="edge"/>
              <c:x val="0.96179653679653765"/>
              <c:y val="0.26076735199766732"/>
            </c:manualLayout>
          </c:layout>
          <c:overlay val="0"/>
        </c:title>
        <c:numFmt formatCode="0" sourceLinked="0"/>
        <c:majorTickMark val="in"/>
        <c:minorTickMark val="in"/>
        <c:tickLblPos val="nextTo"/>
        <c:spPr>
          <a:ln>
            <a:solidFill>
              <a:srgbClr val="333399"/>
            </a:solidFill>
          </a:ln>
        </c:spPr>
        <c:crossAx val="134960256"/>
        <c:crosses val="max"/>
        <c:crossBetween val="midCat"/>
        <c:majorUnit val="10"/>
        <c:minorUnit val="5"/>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4615323084614424"/>
          <c:h val="0.77264654418197765"/>
        </c:manualLayout>
      </c:layout>
      <c:scatterChart>
        <c:scatterStyle val="smoothMarker"/>
        <c:varyColors val="0"/>
        <c:ser>
          <c:idx val="2"/>
          <c:order val="0"/>
          <c:tx>
            <c:v>Current long-term fit</c:v>
          </c:tx>
          <c:spPr>
            <a:ln w="15875">
              <a:solidFill>
                <a:srgbClr val="808080"/>
              </a:solidFill>
            </a:ln>
          </c:spPr>
          <c:marker>
            <c:symbol val="none"/>
          </c:marker>
          <c:xVal>
            <c:numLit>
              <c:formatCode>General</c:formatCode>
              <c:ptCount val="2"/>
              <c:pt idx="0">
                <c:v>1970</c:v>
              </c:pt>
              <c:pt idx="1">
                <c:v>2009</c:v>
              </c:pt>
            </c:numLit>
          </c:xVal>
          <c:yVal>
            <c:numRef>
              <c:f>(Europe!$F$1,Europe!$F$1)</c:f>
              <c:numCache>
                <c:formatCode>0.0</c:formatCode>
                <c:ptCount val="2"/>
                <c:pt idx="0">
                  <c:v>134.11264299536776</c:v>
                </c:pt>
                <c:pt idx="1">
                  <c:v>134.11264299536776</c:v>
                </c:pt>
              </c:numCache>
            </c:numRef>
          </c:yVal>
          <c:smooth val="1"/>
          <c:extLst>
            <c:ext xmlns:c16="http://schemas.microsoft.com/office/drawing/2014/chart" uri="{C3380CC4-5D6E-409C-BE32-E72D297353CC}">
              <c16:uniqueId val="{00000000-F9A3-B648-BB1F-1242AC7E0D52}"/>
            </c:ext>
          </c:extLst>
        </c:ser>
        <c:ser>
          <c:idx val="3"/>
          <c:order val="1"/>
          <c:tx>
            <c:strRef>
              <c:f>Europe!$H$17</c:f>
              <c:strCache>
                <c:ptCount val="1"/>
                <c:pt idx="0">
                  <c:v>Q historical</c:v>
                </c:pt>
              </c:strCache>
            </c:strRef>
          </c:tx>
          <c:spPr>
            <a:ln w="15875">
              <a:solidFill>
                <a:srgbClr val="333399"/>
              </a:solidFill>
            </a:ln>
          </c:spPr>
          <c:marker>
            <c:symbol val="none"/>
          </c:marker>
          <c:xVal>
            <c:numRef>
              <c:f>Europe!$D$19:$D$294</c:f>
              <c:numCache>
                <c:formatCode>General</c:formatCode>
                <c:ptCount val="276"/>
                <c:pt idx="0">
                  <c:v>1799</c:v>
                </c:pt>
                <c:pt idx="1">
                  <c:v>1800</c:v>
                </c:pt>
                <c:pt idx="2">
                  <c:v>1801</c:v>
                </c:pt>
                <c:pt idx="3">
                  <c:v>1802</c:v>
                </c:pt>
                <c:pt idx="4">
                  <c:v>1803</c:v>
                </c:pt>
                <c:pt idx="5">
                  <c:v>1804</c:v>
                </c:pt>
                <c:pt idx="6">
                  <c:v>1805</c:v>
                </c:pt>
                <c:pt idx="7">
                  <c:v>1806</c:v>
                </c:pt>
                <c:pt idx="8">
                  <c:v>1807</c:v>
                </c:pt>
                <c:pt idx="9">
                  <c:v>1808</c:v>
                </c:pt>
                <c:pt idx="10">
                  <c:v>1809</c:v>
                </c:pt>
                <c:pt idx="11">
                  <c:v>1810</c:v>
                </c:pt>
                <c:pt idx="12">
                  <c:v>1811</c:v>
                </c:pt>
                <c:pt idx="13">
                  <c:v>1812</c:v>
                </c:pt>
                <c:pt idx="14">
                  <c:v>1813</c:v>
                </c:pt>
                <c:pt idx="15">
                  <c:v>1814</c:v>
                </c:pt>
                <c:pt idx="16">
                  <c:v>1815</c:v>
                </c:pt>
                <c:pt idx="17">
                  <c:v>1816</c:v>
                </c:pt>
                <c:pt idx="18">
                  <c:v>1817</c:v>
                </c:pt>
                <c:pt idx="19">
                  <c:v>1818</c:v>
                </c:pt>
                <c:pt idx="20">
                  <c:v>1819</c:v>
                </c:pt>
                <c:pt idx="21">
                  <c:v>1820</c:v>
                </c:pt>
                <c:pt idx="22">
                  <c:v>1821</c:v>
                </c:pt>
                <c:pt idx="23">
                  <c:v>1822</c:v>
                </c:pt>
                <c:pt idx="24">
                  <c:v>1823</c:v>
                </c:pt>
                <c:pt idx="25">
                  <c:v>1824</c:v>
                </c:pt>
                <c:pt idx="26">
                  <c:v>1825</c:v>
                </c:pt>
                <c:pt idx="27">
                  <c:v>1826</c:v>
                </c:pt>
                <c:pt idx="28">
                  <c:v>1827</c:v>
                </c:pt>
                <c:pt idx="29">
                  <c:v>1828</c:v>
                </c:pt>
                <c:pt idx="30">
                  <c:v>1829</c:v>
                </c:pt>
                <c:pt idx="31">
                  <c:v>1830</c:v>
                </c:pt>
                <c:pt idx="32">
                  <c:v>1831</c:v>
                </c:pt>
                <c:pt idx="33">
                  <c:v>1832</c:v>
                </c:pt>
                <c:pt idx="34">
                  <c:v>1833</c:v>
                </c:pt>
                <c:pt idx="35">
                  <c:v>1834</c:v>
                </c:pt>
                <c:pt idx="36">
                  <c:v>1835</c:v>
                </c:pt>
                <c:pt idx="37">
                  <c:v>1836</c:v>
                </c:pt>
                <c:pt idx="38">
                  <c:v>1837</c:v>
                </c:pt>
                <c:pt idx="39">
                  <c:v>1838</c:v>
                </c:pt>
                <c:pt idx="40">
                  <c:v>1839</c:v>
                </c:pt>
                <c:pt idx="41">
                  <c:v>1840</c:v>
                </c:pt>
                <c:pt idx="42">
                  <c:v>1841</c:v>
                </c:pt>
                <c:pt idx="43">
                  <c:v>1842</c:v>
                </c:pt>
                <c:pt idx="44">
                  <c:v>1843</c:v>
                </c:pt>
                <c:pt idx="45">
                  <c:v>1844</c:v>
                </c:pt>
                <c:pt idx="46">
                  <c:v>1845</c:v>
                </c:pt>
                <c:pt idx="47">
                  <c:v>1846</c:v>
                </c:pt>
                <c:pt idx="48">
                  <c:v>1847</c:v>
                </c:pt>
                <c:pt idx="49">
                  <c:v>1848</c:v>
                </c:pt>
                <c:pt idx="50">
                  <c:v>1849</c:v>
                </c:pt>
                <c:pt idx="51">
                  <c:v>1850</c:v>
                </c:pt>
                <c:pt idx="52">
                  <c:v>1851</c:v>
                </c:pt>
                <c:pt idx="53">
                  <c:v>1852</c:v>
                </c:pt>
                <c:pt idx="54">
                  <c:v>1853</c:v>
                </c:pt>
                <c:pt idx="55">
                  <c:v>1854</c:v>
                </c:pt>
                <c:pt idx="56">
                  <c:v>1855</c:v>
                </c:pt>
                <c:pt idx="57">
                  <c:v>1856</c:v>
                </c:pt>
                <c:pt idx="58">
                  <c:v>1857</c:v>
                </c:pt>
                <c:pt idx="59">
                  <c:v>1858</c:v>
                </c:pt>
                <c:pt idx="60">
                  <c:v>1859</c:v>
                </c:pt>
                <c:pt idx="61">
                  <c:v>1860</c:v>
                </c:pt>
                <c:pt idx="62">
                  <c:v>1861</c:v>
                </c:pt>
                <c:pt idx="63">
                  <c:v>1862</c:v>
                </c:pt>
                <c:pt idx="64">
                  <c:v>1863</c:v>
                </c:pt>
                <c:pt idx="65">
                  <c:v>1864</c:v>
                </c:pt>
                <c:pt idx="66">
                  <c:v>1865</c:v>
                </c:pt>
                <c:pt idx="67">
                  <c:v>1866</c:v>
                </c:pt>
                <c:pt idx="68">
                  <c:v>1867</c:v>
                </c:pt>
                <c:pt idx="69">
                  <c:v>1868</c:v>
                </c:pt>
                <c:pt idx="70">
                  <c:v>1869</c:v>
                </c:pt>
                <c:pt idx="71">
                  <c:v>1870</c:v>
                </c:pt>
                <c:pt idx="72">
                  <c:v>1871</c:v>
                </c:pt>
                <c:pt idx="73">
                  <c:v>1872</c:v>
                </c:pt>
                <c:pt idx="74">
                  <c:v>1873</c:v>
                </c:pt>
                <c:pt idx="75">
                  <c:v>1874</c:v>
                </c:pt>
                <c:pt idx="76">
                  <c:v>1875</c:v>
                </c:pt>
                <c:pt idx="77">
                  <c:v>1876</c:v>
                </c:pt>
                <c:pt idx="78">
                  <c:v>1877</c:v>
                </c:pt>
                <c:pt idx="79">
                  <c:v>1878</c:v>
                </c:pt>
                <c:pt idx="80">
                  <c:v>1879</c:v>
                </c:pt>
                <c:pt idx="81">
                  <c:v>1880</c:v>
                </c:pt>
                <c:pt idx="82">
                  <c:v>1881</c:v>
                </c:pt>
                <c:pt idx="83">
                  <c:v>1882</c:v>
                </c:pt>
                <c:pt idx="84">
                  <c:v>1883</c:v>
                </c:pt>
                <c:pt idx="85">
                  <c:v>1884</c:v>
                </c:pt>
                <c:pt idx="86">
                  <c:v>1885</c:v>
                </c:pt>
                <c:pt idx="87">
                  <c:v>1886</c:v>
                </c:pt>
                <c:pt idx="88">
                  <c:v>1887</c:v>
                </c:pt>
                <c:pt idx="89">
                  <c:v>1888</c:v>
                </c:pt>
                <c:pt idx="90">
                  <c:v>1889</c:v>
                </c:pt>
                <c:pt idx="91">
                  <c:v>1890</c:v>
                </c:pt>
                <c:pt idx="92">
                  <c:v>1891</c:v>
                </c:pt>
                <c:pt idx="93">
                  <c:v>1892</c:v>
                </c:pt>
                <c:pt idx="94">
                  <c:v>1893</c:v>
                </c:pt>
                <c:pt idx="95">
                  <c:v>1894</c:v>
                </c:pt>
                <c:pt idx="96">
                  <c:v>1895</c:v>
                </c:pt>
                <c:pt idx="97">
                  <c:v>1896</c:v>
                </c:pt>
                <c:pt idx="98">
                  <c:v>1897</c:v>
                </c:pt>
                <c:pt idx="99">
                  <c:v>1898</c:v>
                </c:pt>
                <c:pt idx="100">
                  <c:v>1899</c:v>
                </c:pt>
                <c:pt idx="101">
                  <c:v>1900</c:v>
                </c:pt>
                <c:pt idx="102">
                  <c:v>1901</c:v>
                </c:pt>
                <c:pt idx="103">
                  <c:v>1902</c:v>
                </c:pt>
                <c:pt idx="104">
                  <c:v>1903</c:v>
                </c:pt>
                <c:pt idx="105">
                  <c:v>1904</c:v>
                </c:pt>
                <c:pt idx="106">
                  <c:v>1905</c:v>
                </c:pt>
                <c:pt idx="107">
                  <c:v>1906</c:v>
                </c:pt>
                <c:pt idx="108">
                  <c:v>1907</c:v>
                </c:pt>
                <c:pt idx="109">
                  <c:v>1908</c:v>
                </c:pt>
                <c:pt idx="110">
                  <c:v>1909</c:v>
                </c:pt>
                <c:pt idx="111">
                  <c:v>1910</c:v>
                </c:pt>
                <c:pt idx="112">
                  <c:v>1911</c:v>
                </c:pt>
                <c:pt idx="113">
                  <c:v>1912</c:v>
                </c:pt>
                <c:pt idx="114">
                  <c:v>1913</c:v>
                </c:pt>
                <c:pt idx="115">
                  <c:v>1914</c:v>
                </c:pt>
                <c:pt idx="116">
                  <c:v>1915</c:v>
                </c:pt>
                <c:pt idx="117">
                  <c:v>1916</c:v>
                </c:pt>
                <c:pt idx="118">
                  <c:v>1917</c:v>
                </c:pt>
                <c:pt idx="119">
                  <c:v>1918</c:v>
                </c:pt>
                <c:pt idx="120">
                  <c:v>1919</c:v>
                </c:pt>
                <c:pt idx="121">
                  <c:v>1920</c:v>
                </c:pt>
                <c:pt idx="122">
                  <c:v>1921</c:v>
                </c:pt>
                <c:pt idx="123">
                  <c:v>1922</c:v>
                </c:pt>
                <c:pt idx="124">
                  <c:v>1923</c:v>
                </c:pt>
                <c:pt idx="125">
                  <c:v>1924</c:v>
                </c:pt>
                <c:pt idx="126">
                  <c:v>1925</c:v>
                </c:pt>
                <c:pt idx="127">
                  <c:v>1926</c:v>
                </c:pt>
                <c:pt idx="128">
                  <c:v>1927</c:v>
                </c:pt>
                <c:pt idx="129">
                  <c:v>1928</c:v>
                </c:pt>
                <c:pt idx="130">
                  <c:v>1929</c:v>
                </c:pt>
                <c:pt idx="131">
                  <c:v>1930</c:v>
                </c:pt>
                <c:pt idx="132">
                  <c:v>1931</c:v>
                </c:pt>
                <c:pt idx="133">
                  <c:v>1932</c:v>
                </c:pt>
                <c:pt idx="134">
                  <c:v>1933</c:v>
                </c:pt>
                <c:pt idx="135">
                  <c:v>1934</c:v>
                </c:pt>
                <c:pt idx="136">
                  <c:v>1935</c:v>
                </c:pt>
                <c:pt idx="137">
                  <c:v>1936</c:v>
                </c:pt>
                <c:pt idx="138">
                  <c:v>1937</c:v>
                </c:pt>
                <c:pt idx="139">
                  <c:v>1938</c:v>
                </c:pt>
                <c:pt idx="140">
                  <c:v>1939</c:v>
                </c:pt>
                <c:pt idx="141">
                  <c:v>1940</c:v>
                </c:pt>
                <c:pt idx="142">
                  <c:v>1941</c:v>
                </c:pt>
                <c:pt idx="143">
                  <c:v>1942</c:v>
                </c:pt>
                <c:pt idx="144">
                  <c:v>1943</c:v>
                </c:pt>
                <c:pt idx="145">
                  <c:v>1944</c:v>
                </c:pt>
                <c:pt idx="146">
                  <c:v>1945</c:v>
                </c:pt>
                <c:pt idx="147">
                  <c:v>1946</c:v>
                </c:pt>
                <c:pt idx="148">
                  <c:v>1947</c:v>
                </c:pt>
                <c:pt idx="149">
                  <c:v>1948</c:v>
                </c:pt>
                <c:pt idx="150">
                  <c:v>1949</c:v>
                </c:pt>
                <c:pt idx="151">
                  <c:v>1950</c:v>
                </c:pt>
                <c:pt idx="152">
                  <c:v>1951</c:v>
                </c:pt>
                <c:pt idx="153">
                  <c:v>1952</c:v>
                </c:pt>
                <c:pt idx="154">
                  <c:v>1953</c:v>
                </c:pt>
                <c:pt idx="155">
                  <c:v>1954</c:v>
                </c:pt>
                <c:pt idx="156">
                  <c:v>1955</c:v>
                </c:pt>
                <c:pt idx="157">
                  <c:v>1956</c:v>
                </c:pt>
                <c:pt idx="158">
                  <c:v>1957</c:v>
                </c:pt>
                <c:pt idx="159">
                  <c:v>1958</c:v>
                </c:pt>
                <c:pt idx="160">
                  <c:v>1959</c:v>
                </c:pt>
                <c:pt idx="161">
                  <c:v>1960</c:v>
                </c:pt>
                <c:pt idx="162">
                  <c:v>1961</c:v>
                </c:pt>
                <c:pt idx="163">
                  <c:v>1962</c:v>
                </c:pt>
                <c:pt idx="164">
                  <c:v>1963</c:v>
                </c:pt>
                <c:pt idx="165">
                  <c:v>1964</c:v>
                </c:pt>
                <c:pt idx="166">
                  <c:v>1965</c:v>
                </c:pt>
                <c:pt idx="167">
                  <c:v>1966</c:v>
                </c:pt>
                <c:pt idx="168">
                  <c:v>1967</c:v>
                </c:pt>
                <c:pt idx="169">
                  <c:v>1968</c:v>
                </c:pt>
                <c:pt idx="170">
                  <c:v>1969</c:v>
                </c:pt>
                <c:pt idx="171">
                  <c:v>1970</c:v>
                </c:pt>
                <c:pt idx="172">
                  <c:v>1971</c:v>
                </c:pt>
                <c:pt idx="173">
                  <c:v>1972</c:v>
                </c:pt>
                <c:pt idx="174">
                  <c:v>1973</c:v>
                </c:pt>
                <c:pt idx="175">
                  <c:v>1974</c:v>
                </c:pt>
                <c:pt idx="176">
                  <c:v>1975</c:v>
                </c:pt>
                <c:pt idx="177">
                  <c:v>1976</c:v>
                </c:pt>
                <c:pt idx="178">
                  <c:v>1977</c:v>
                </c:pt>
                <c:pt idx="179">
                  <c:v>1978</c:v>
                </c:pt>
                <c:pt idx="180">
                  <c:v>1979</c:v>
                </c:pt>
                <c:pt idx="181">
                  <c:v>1980</c:v>
                </c:pt>
                <c:pt idx="182">
                  <c:v>1981</c:v>
                </c:pt>
                <c:pt idx="183">
                  <c:v>1982</c:v>
                </c:pt>
                <c:pt idx="184">
                  <c:v>1983</c:v>
                </c:pt>
                <c:pt idx="185">
                  <c:v>1984</c:v>
                </c:pt>
                <c:pt idx="186">
                  <c:v>1985</c:v>
                </c:pt>
                <c:pt idx="187">
                  <c:v>1986</c:v>
                </c:pt>
                <c:pt idx="188">
                  <c:v>1987</c:v>
                </c:pt>
                <c:pt idx="189">
                  <c:v>1988</c:v>
                </c:pt>
                <c:pt idx="190">
                  <c:v>1989</c:v>
                </c:pt>
                <c:pt idx="191">
                  <c:v>1990</c:v>
                </c:pt>
                <c:pt idx="192">
                  <c:v>1991</c:v>
                </c:pt>
                <c:pt idx="193">
                  <c:v>1992</c:v>
                </c:pt>
                <c:pt idx="194">
                  <c:v>1993</c:v>
                </c:pt>
                <c:pt idx="195">
                  <c:v>1994</c:v>
                </c:pt>
                <c:pt idx="196">
                  <c:v>1995</c:v>
                </c:pt>
                <c:pt idx="197">
                  <c:v>1996</c:v>
                </c:pt>
                <c:pt idx="198">
                  <c:v>1997</c:v>
                </c:pt>
                <c:pt idx="199">
                  <c:v>1998</c:v>
                </c:pt>
                <c:pt idx="200">
                  <c:v>1999</c:v>
                </c:pt>
                <c:pt idx="201">
                  <c:v>2000</c:v>
                </c:pt>
                <c:pt idx="202">
                  <c:v>2001</c:v>
                </c:pt>
                <c:pt idx="203">
                  <c:v>2002</c:v>
                </c:pt>
                <c:pt idx="204">
                  <c:v>2003</c:v>
                </c:pt>
                <c:pt idx="205">
                  <c:v>2004</c:v>
                </c:pt>
                <c:pt idx="206">
                  <c:v>2005</c:v>
                </c:pt>
                <c:pt idx="207">
                  <c:v>2006</c:v>
                </c:pt>
                <c:pt idx="208">
                  <c:v>2007</c:v>
                </c:pt>
                <c:pt idx="209">
                  <c:v>2008</c:v>
                </c:pt>
                <c:pt idx="210">
                  <c:v>2009</c:v>
                </c:pt>
                <c:pt idx="211">
                  <c:v>2010</c:v>
                </c:pt>
                <c:pt idx="212">
                  <c:v>2011</c:v>
                </c:pt>
                <c:pt idx="213">
                  <c:v>2012</c:v>
                </c:pt>
                <c:pt idx="214">
                  <c:v>2013</c:v>
                </c:pt>
                <c:pt idx="215">
                  <c:v>2014</c:v>
                </c:pt>
                <c:pt idx="216">
                  <c:v>2015</c:v>
                </c:pt>
                <c:pt idx="217">
                  <c:v>2016</c:v>
                </c:pt>
                <c:pt idx="218">
                  <c:v>2017</c:v>
                </c:pt>
                <c:pt idx="219">
                  <c:v>2018</c:v>
                </c:pt>
                <c:pt idx="220">
                  <c:v>2019</c:v>
                </c:pt>
                <c:pt idx="221">
                  <c:v>2020</c:v>
                </c:pt>
                <c:pt idx="222">
                  <c:v>2021</c:v>
                </c:pt>
                <c:pt idx="223">
                  <c:v>2022</c:v>
                </c:pt>
                <c:pt idx="224">
                  <c:v>2023</c:v>
                </c:pt>
                <c:pt idx="225">
                  <c:v>2024</c:v>
                </c:pt>
                <c:pt idx="226">
                  <c:v>2025</c:v>
                </c:pt>
                <c:pt idx="227">
                  <c:v>2026</c:v>
                </c:pt>
                <c:pt idx="228">
                  <c:v>2027</c:v>
                </c:pt>
                <c:pt idx="229">
                  <c:v>2028</c:v>
                </c:pt>
                <c:pt idx="230">
                  <c:v>2029</c:v>
                </c:pt>
                <c:pt idx="231">
                  <c:v>2030</c:v>
                </c:pt>
                <c:pt idx="232">
                  <c:v>2031</c:v>
                </c:pt>
                <c:pt idx="233">
                  <c:v>2032</c:v>
                </c:pt>
                <c:pt idx="234">
                  <c:v>2033</c:v>
                </c:pt>
                <c:pt idx="235">
                  <c:v>2034</c:v>
                </c:pt>
                <c:pt idx="236">
                  <c:v>2035</c:v>
                </c:pt>
                <c:pt idx="237">
                  <c:v>2036</c:v>
                </c:pt>
                <c:pt idx="238">
                  <c:v>2037</c:v>
                </c:pt>
                <c:pt idx="239">
                  <c:v>2038</c:v>
                </c:pt>
                <c:pt idx="240">
                  <c:v>2039</c:v>
                </c:pt>
                <c:pt idx="241">
                  <c:v>2040</c:v>
                </c:pt>
                <c:pt idx="242">
                  <c:v>2041</c:v>
                </c:pt>
                <c:pt idx="243">
                  <c:v>2042</c:v>
                </c:pt>
                <c:pt idx="244">
                  <c:v>2043</c:v>
                </c:pt>
                <c:pt idx="245">
                  <c:v>2044</c:v>
                </c:pt>
                <c:pt idx="246">
                  <c:v>2045</c:v>
                </c:pt>
                <c:pt idx="247">
                  <c:v>2046</c:v>
                </c:pt>
                <c:pt idx="248">
                  <c:v>2047</c:v>
                </c:pt>
                <c:pt idx="249">
                  <c:v>2048</c:v>
                </c:pt>
                <c:pt idx="250">
                  <c:v>2049</c:v>
                </c:pt>
                <c:pt idx="251">
                  <c:v>2050</c:v>
                </c:pt>
                <c:pt idx="252">
                  <c:v>2051</c:v>
                </c:pt>
                <c:pt idx="253">
                  <c:v>2052</c:v>
                </c:pt>
                <c:pt idx="254">
                  <c:v>2053</c:v>
                </c:pt>
                <c:pt idx="255">
                  <c:v>2054</c:v>
                </c:pt>
                <c:pt idx="256">
                  <c:v>2055</c:v>
                </c:pt>
                <c:pt idx="257">
                  <c:v>2056</c:v>
                </c:pt>
                <c:pt idx="258">
                  <c:v>2057</c:v>
                </c:pt>
                <c:pt idx="259">
                  <c:v>2058</c:v>
                </c:pt>
                <c:pt idx="260">
                  <c:v>2059</c:v>
                </c:pt>
                <c:pt idx="261">
                  <c:v>2060</c:v>
                </c:pt>
                <c:pt idx="262">
                  <c:v>2061</c:v>
                </c:pt>
                <c:pt idx="263">
                  <c:v>2062</c:v>
                </c:pt>
                <c:pt idx="264">
                  <c:v>2063</c:v>
                </c:pt>
                <c:pt idx="265">
                  <c:v>2064</c:v>
                </c:pt>
                <c:pt idx="266">
                  <c:v>2065</c:v>
                </c:pt>
                <c:pt idx="267">
                  <c:v>2066</c:v>
                </c:pt>
                <c:pt idx="268">
                  <c:v>2067</c:v>
                </c:pt>
                <c:pt idx="269">
                  <c:v>2068</c:v>
                </c:pt>
                <c:pt idx="270">
                  <c:v>2069</c:v>
                </c:pt>
                <c:pt idx="271">
                  <c:v>2070</c:v>
                </c:pt>
                <c:pt idx="272">
                  <c:v>2071</c:v>
                </c:pt>
                <c:pt idx="273">
                  <c:v>2072</c:v>
                </c:pt>
                <c:pt idx="274">
                  <c:v>2073</c:v>
                </c:pt>
                <c:pt idx="275">
                  <c:v>2074</c:v>
                </c:pt>
              </c:numCache>
            </c:numRef>
          </c:xVal>
          <c:yVal>
            <c:numRef>
              <c:f>Europe!$H$19:$H$294</c:f>
              <c:numCache>
                <c:formatCode>General</c:formatCode>
                <c:ptCount val="276"/>
                <c:pt idx="168" formatCode="#,##0.0">
                  <c:v>1059.2541290073243</c:v>
                </c:pt>
                <c:pt idx="169" formatCode="#,##0.0">
                  <c:v>326.94909112664629</c:v>
                </c:pt>
                <c:pt idx="170" formatCode="#,##0.0">
                  <c:v>219.6959932995498</c:v>
                </c:pt>
                <c:pt idx="171" formatCode="#,##0.0">
                  <c:v>179.54249629328919</c:v>
                </c:pt>
                <c:pt idx="172" formatCode="#,##0.0">
                  <c:v>159.23239136044572</c:v>
                </c:pt>
                <c:pt idx="173" formatCode="#,##0.0">
                  <c:v>146.04657132759954</c:v>
                </c:pt>
                <c:pt idx="174" formatCode="#,##0.0">
                  <c:v>137.13981735644208</c:v>
                </c:pt>
                <c:pt idx="175" formatCode="#,##0.0">
                  <c:v>130.56773808549076</c:v>
                </c:pt>
                <c:pt idx="176" formatCode="#,##0.0">
                  <c:v>126.3994475066113</c:v>
                </c:pt>
                <c:pt idx="177" formatCode="#,##0.0">
                  <c:v>124.02382542233919</c:v>
                </c:pt>
                <c:pt idx="178" formatCode="#,##0.0">
                  <c:v>122.61071121628734</c:v>
                </c:pt>
                <c:pt idx="179" formatCode="#,##0.0">
                  <c:v>121.78675035425589</c:v>
                </c:pt>
                <c:pt idx="180" formatCode="#,##0.0">
                  <c:v>121.68986897891769</c:v>
                </c:pt>
                <c:pt idx="181" formatCode="#,##0.0">
                  <c:v>121.8414250323757</c:v>
                </c:pt>
                <c:pt idx="182" formatCode="#,##0.0">
                  <c:v>122.0734286592556</c:v>
                </c:pt>
                <c:pt idx="183" formatCode="#,##0.0">
                  <c:v>122.82713541766012</c:v>
                </c:pt>
                <c:pt idx="184" formatCode="#,##0.0">
                  <c:v>123.79291741844696</c:v>
                </c:pt>
                <c:pt idx="185" formatCode="#,##0.0">
                  <c:v>125.23066123285011</c:v>
                </c:pt>
                <c:pt idx="186" formatCode="#,##0.0">
                  <c:v>127.20150298932086</c:v>
                </c:pt>
                <c:pt idx="187" formatCode="#,##0.0">
                  <c:v>129.52656591498433</c:v>
                </c:pt>
                <c:pt idx="188" formatCode="#,##0.0">
                  <c:v>131.98480688585579</c:v>
                </c:pt>
                <c:pt idx="189" formatCode="#,##0.0">
                  <c:v>134.32035061085816</c:v>
                </c:pt>
                <c:pt idx="190" formatCode="#,##0.0">
                  <c:v>136.29443980250196</c:v>
                </c:pt>
                <c:pt idx="191" formatCode="#,##0.0">
                  <c:v>137.05653661079916</c:v>
                </c:pt>
                <c:pt idx="192" formatCode="#,##0.0">
                  <c:v>136.26779046475806</c:v>
                </c:pt>
                <c:pt idx="193" formatCode="#,##0.0">
                  <c:v>134.38960222878472</c:v>
                </c:pt>
                <c:pt idx="194" formatCode="#,##0.0">
                  <c:v>134.38960222878472</c:v>
                </c:pt>
                <c:pt idx="195" formatCode="#,##0.0">
                  <c:v>134.38957684826767</c:v>
                </c:pt>
                <c:pt idx="196" formatCode="#,##0.0">
                  <c:v>134.38943507762897</c:v>
                </c:pt>
                <c:pt idx="197" formatCode="#,##0.0">
                  <c:v>134.38902733812071</c:v>
                </c:pt>
                <c:pt idx="198" formatCode="#,##0.0">
                  <c:v>134.38809560723769</c:v>
                </c:pt>
                <c:pt idx="199" formatCode="#,##0.0">
                  <c:v>134.3859176945947</c:v>
                </c:pt>
                <c:pt idx="200" formatCode="#,##0.0">
                  <c:v>134.38222927945733</c:v>
                </c:pt>
                <c:pt idx="201" formatCode="#,##0.0">
                  <c:v>134.37564747752319</c:v>
                </c:pt>
                <c:pt idx="202" formatCode="#,##0.0">
                  <c:v>134.36556005860487</c:v>
                </c:pt>
                <c:pt idx="203" formatCode="#,##0.0">
                  <c:v>134.35158610640511</c:v>
                </c:pt>
                <c:pt idx="204" formatCode="#,##0.0">
                  <c:v>134.3334334573633</c:v>
                </c:pt>
                <c:pt idx="205" formatCode="#,##0.0">
                  <c:v>134.31074685392107</c:v>
                </c:pt>
                <c:pt idx="206" formatCode="#,##0.0">
                  <c:v>134.28260270352388</c:v>
                </c:pt>
                <c:pt idx="207" formatCode="#,##0.0">
                  <c:v>134.2492800306716</c:v>
                </c:pt>
                <c:pt idx="208" formatCode="#,##0.0">
                  <c:v>134.21521966137556</c:v>
                </c:pt>
                <c:pt idx="209" formatCode="#,##0.0">
                  <c:v>134.1761524594944</c:v>
                </c:pt>
                <c:pt idx="210" formatCode="#,##0.0">
                  <c:v>134.11265502862332</c:v>
                </c:pt>
              </c:numCache>
            </c:numRef>
          </c:yVal>
          <c:smooth val="1"/>
          <c:extLst>
            <c:ext xmlns:c16="http://schemas.microsoft.com/office/drawing/2014/chart" uri="{C3380CC4-5D6E-409C-BE32-E72D297353CC}">
              <c16:uniqueId val="{00000001-F9A3-B648-BB1F-1242AC7E0D52}"/>
            </c:ext>
          </c:extLst>
        </c:ser>
        <c:ser>
          <c:idx val="0"/>
          <c:order val="2"/>
          <c:tx>
            <c:strRef>
              <c:f>Europe!$F$17</c:f>
              <c:strCache>
                <c:ptCount val="1"/>
                <c:pt idx="0">
                  <c:v>q Gt</c:v>
                </c:pt>
              </c:strCache>
            </c:strRef>
          </c:tx>
          <c:spPr>
            <a:ln w="15875">
              <a:solidFill>
                <a:srgbClr val="008000"/>
              </a:solidFill>
            </a:ln>
          </c:spPr>
          <c:marker>
            <c:symbol val="none"/>
          </c:marker>
          <c:xVal>
            <c:numRef>
              <c:f>Europe!$D$18:$D$284</c:f>
              <c:numCache>
                <c:formatCode>General</c:formatCode>
                <c:ptCount val="267"/>
                <c:pt idx="0">
                  <c:v>1798</c:v>
                </c:pt>
                <c:pt idx="1">
                  <c:v>1799</c:v>
                </c:pt>
                <c:pt idx="2">
                  <c:v>1800</c:v>
                </c:pt>
                <c:pt idx="3">
                  <c:v>1801</c:v>
                </c:pt>
                <c:pt idx="4">
                  <c:v>1802</c:v>
                </c:pt>
                <c:pt idx="5">
                  <c:v>1803</c:v>
                </c:pt>
                <c:pt idx="6">
                  <c:v>1804</c:v>
                </c:pt>
                <c:pt idx="7">
                  <c:v>1805</c:v>
                </c:pt>
                <c:pt idx="8">
                  <c:v>1806</c:v>
                </c:pt>
                <c:pt idx="9">
                  <c:v>1807</c:v>
                </c:pt>
                <c:pt idx="10">
                  <c:v>1808</c:v>
                </c:pt>
                <c:pt idx="11">
                  <c:v>1809</c:v>
                </c:pt>
                <c:pt idx="12">
                  <c:v>1810</c:v>
                </c:pt>
                <c:pt idx="13">
                  <c:v>1811</c:v>
                </c:pt>
                <c:pt idx="14">
                  <c:v>1812</c:v>
                </c:pt>
                <c:pt idx="15">
                  <c:v>1813</c:v>
                </c:pt>
                <c:pt idx="16">
                  <c:v>1814</c:v>
                </c:pt>
                <c:pt idx="17">
                  <c:v>1815</c:v>
                </c:pt>
                <c:pt idx="18">
                  <c:v>1816</c:v>
                </c:pt>
                <c:pt idx="19">
                  <c:v>1817</c:v>
                </c:pt>
                <c:pt idx="20">
                  <c:v>1818</c:v>
                </c:pt>
                <c:pt idx="21">
                  <c:v>1819</c:v>
                </c:pt>
                <c:pt idx="22">
                  <c:v>1820</c:v>
                </c:pt>
                <c:pt idx="23">
                  <c:v>1821</c:v>
                </c:pt>
                <c:pt idx="24">
                  <c:v>1822</c:v>
                </c:pt>
                <c:pt idx="25">
                  <c:v>1823</c:v>
                </c:pt>
                <c:pt idx="26">
                  <c:v>1824</c:v>
                </c:pt>
                <c:pt idx="27">
                  <c:v>1825</c:v>
                </c:pt>
                <c:pt idx="28">
                  <c:v>1826</c:v>
                </c:pt>
                <c:pt idx="29">
                  <c:v>1827</c:v>
                </c:pt>
                <c:pt idx="30">
                  <c:v>1828</c:v>
                </c:pt>
                <c:pt idx="31">
                  <c:v>1829</c:v>
                </c:pt>
                <c:pt idx="32">
                  <c:v>1830</c:v>
                </c:pt>
                <c:pt idx="33">
                  <c:v>1831</c:v>
                </c:pt>
                <c:pt idx="34">
                  <c:v>1832</c:v>
                </c:pt>
                <c:pt idx="35">
                  <c:v>1833</c:v>
                </c:pt>
                <c:pt idx="36">
                  <c:v>1834</c:v>
                </c:pt>
                <c:pt idx="37">
                  <c:v>1835</c:v>
                </c:pt>
                <c:pt idx="38">
                  <c:v>1836</c:v>
                </c:pt>
                <c:pt idx="39">
                  <c:v>1837</c:v>
                </c:pt>
                <c:pt idx="40">
                  <c:v>1838</c:v>
                </c:pt>
                <c:pt idx="41">
                  <c:v>1839</c:v>
                </c:pt>
                <c:pt idx="42">
                  <c:v>1840</c:v>
                </c:pt>
                <c:pt idx="43">
                  <c:v>1841</c:v>
                </c:pt>
                <c:pt idx="44">
                  <c:v>1842</c:v>
                </c:pt>
                <c:pt idx="45">
                  <c:v>1843</c:v>
                </c:pt>
                <c:pt idx="46">
                  <c:v>1844</c:v>
                </c:pt>
                <c:pt idx="47">
                  <c:v>1845</c:v>
                </c:pt>
                <c:pt idx="48">
                  <c:v>1846</c:v>
                </c:pt>
                <c:pt idx="49">
                  <c:v>1847</c:v>
                </c:pt>
                <c:pt idx="50">
                  <c:v>1848</c:v>
                </c:pt>
                <c:pt idx="51">
                  <c:v>1849</c:v>
                </c:pt>
                <c:pt idx="52">
                  <c:v>1850</c:v>
                </c:pt>
                <c:pt idx="53">
                  <c:v>1851</c:v>
                </c:pt>
                <c:pt idx="54">
                  <c:v>1852</c:v>
                </c:pt>
                <c:pt idx="55">
                  <c:v>1853</c:v>
                </c:pt>
                <c:pt idx="56">
                  <c:v>1854</c:v>
                </c:pt>
                <c:pt idx="57">
                  <c:v>1855</c:v>
                </c:pt>
                <c:pt idx="58">
                  <c:v>1856</c:v>
                </c:pt>
                <c:pt idx="59">
                  <c:v>1857</c:v>
                </c:pt>
                <c:pt idx="60">
                  <c:v>1858</c:v>
                </c:pt>
                <c:pt idx="61">
                  <c:v>1859</c:v>
                </c:pt>
                <c:pt idx="62">
                  <c:v>1860</c:v>
                </c:pt>
                <c:pt idx="63">
                  <c:v>1861</c:v>
                </c:pt>
                <c:pt idx="64">
                  <c:v>1862</c:v>
                </c:pt>
                <c:pt idx="65">
                  <c:v>1863</c:v>
                </c:pt>
                <c:pt idx="66">
                  <c:v>1864</c:v>
                </c:pt>
                <c:pt idx="67">
                  <c:v>1865</c:v>
                </c:pt>
                <c:pt idx="68">
                  <c:v>1866</c:v>
                </c:pt>
                <c:pt idx="69">
                  <c:v>1867</c:v>
                </c:pt>
                <c:pt idx="70">
                  <c:v>1868</c:v>
                </c:pt>
                <c:pt idx="71">
                  <c:v>1869</c:v>
                </c:pt>
                <c:pt idx="72">
                  <c:v>1870</c:v>
                </c:pt>
                <c:pt idx="73">
                  <c:v>1871</c:v>
                </c:pt>
                <c:pt idx="74">
                  <c:v>1872</c:v>
                </c:pt>
                <c:pt idx="75">
                  <c:v>1873</c:v>
                </c:pt>
                <c:pt idx="76">
                  <c:v>1874</c:v>
                </c:pt>
                <c:pt idx="77">
                  <c:v>1875</c:v>
                </c:pt>
                <c:pt idx="78">
                  <c:v>1876</c:v>
                </c:pt>
                <c:pt idx="79">
                  <c:v>1877</c:v>
                </c:pt>
                <c:pt idx="80">
                  <c:v>1878</c:v>
                </c:pt>
                <c:pt idx="81">
                  <c:v>1879</c:v>
                </c:pt>
                <c:pt idx="82">
                  <c:v>1880</c:v>
                </c:pt>
                <c:pt idx="83">
                  <c:v>1881</c:v>
                </c:pt>
                <c:pt idx="84">
                  <c:v>1882</c:v>
                </c:pt>
                <c:pt idx="85">
                  <c:v>1883</c:v>
                </c:pt>
                <c:pt idx="86">
                  <c:v>1884</c:v>
                </c:pt>
                <c:pt idx="87">
                  <c:v>1885</c:v>
                </c:pt>
                <c:pt idx="88">
                  <c:v>1886</c:v>
                </c:pt>
                <c:pt idx="89">
                  <c:v>1887</c:v>
                </c:pt>
                <c:pt idx="90">
                  <c:v>1888</c:v>
                </c:pt>
                <c:pt idx="91">
                  <c:v>1889</c:v>
                </c:pt>
                <c:pt idx="92">
                  <c:v>1890</c:v>
                </c:pt>
                <c:pt idx="93">
                  <c:v>1891</c:v>
                </c:pt>
                <c:pt idx="94">
                  <c:v>1892</c:v>
                </c:pt>
                <c:pt idx="95">
                  <c:v>1893</c:v>
                </c:pt>
                <c:pt idx="96">
                  <c:v>1894</c:v>
                </c:pt>
                <c:pt idx="97">
                  <c:v>1895</c:v>
                </c:pt>
                <c:pt idx="98">
                  <c:v>1896</c:v>
                </c:pt>
                <c:pt idx="99">
                  <c:v>1897</c:v>
                </c:pt>
                <c:pt idx="100">
                  <c:v>1898</c:v>
                </c:pt>
                <c:pt idx="101">
                  <c:v>1899</c:v>
                </c:pt>
                <c:pt idx="102">
                  <c:v>1900</c:v>
                </c:pt>
                <c:pt idx="103">
                  <c:v>1901</c:v>
                </c:pt>
                <c:pt idx="104">
                  <c:v>1902</c:v>
                </c:pt>
                <c:pt idx="105">
                  <c:v>1903</c:v>
                </c:pt>
                <c:pt idx="106">
                  <c:v>1904</c:v>
                </c:pt>
                <c:pt idx="107">
                  <c:v>1905</c:v>
                </c:pt>
                <c:pt idx="108">
                  <c:v>1906</c:v>
                </c:pt>
                <c:pt idx="109">
                  <c:v>1907</c:v>
                </c:pt>
                <c:pt idx="110">
                  <c:v>1908</c:v>
                </c:pt>
                <c:pt idx="111">
                  <c:v>1909</c:v>
                </c:pt>
                <c:pt idx="112">
                  <c:v>1910</c:v>
                </c:pt>
                <c:pt idx="113">
                  <c:v>1911</c:v>
                </c:pt>
                <c:pt idx="114">
                  <c:v>1912</c:v>
                </c:pt>
                <c:pt idx="115">
                  <c:v>1913</c:v>
                </c:pt>
                <c:pt idx="116">
                  <c:v>1914</c:v>
                </c:pt>
                <c:pt idx="117">
                  <c:v>1915</c:v>
                </c:pt>
                <c:pt idx="118">
                  <c:v>1916</c:v>
                </c:pt>
                <c:pt idx="119">
                  <c:v>1917</c:v>
                </c:pt>
                <c:pt idx="120">
                  <c:v>1918</c:v>
                </c:pt>
                <c:pt idx="121">
                  <c:v>1919</c:v>
                </c:pt>
                <c:pt idx="122">
                  <c:v>1920</c:v>
                </c:pt>
                <c:pt idx="123">
                  <c:v>1921</c:v>
                </c:pt>
                <c:pt idx="124">
                  <c:v>1922</c:v>
                </c:pt>
                <c:pt idx="125">
                  <c:v>1923</c:v>
                </c:pt>
                <c:pt idx="126">
                  <c:v>1924</c:v>
                </c:pt>
                <c:pt idx="127">
                  <c:v>1925</c:v>
                </c:pt>
                <c:pt idx="128">
                  <c:v>1926</c:v>
                </c:pt>
                <c:pt idx="129">
                  <c:v>1927</c:v>
                </c:pt>
                <c:pt idx="130">
                  <c:v>1928</c:v>
                </c:pt>
                <c:pt idx="131">
                  <c:v>1929</c:v>
                </c:pt>
                <c:pt idx="132">
                  <c:v>1930</c:v>
                </c:pt>
                <c:pt idx="133">
                  <c:v>1931</c:v>
                </c:pt>
                <c:pt idx="134">
                  <c:v>1932</c:v>
                </c:pt>
                <c:pt idx="135">
                  <c:v>1933</c:v>
                </c:pt>
                <c:pt idx="136">
                  <c:v>1934</c:v>
                </c:pt>
                <c:pt idx="137">
                  <c:v>1935</c:v>
                </c:pt>
                <c:pt idx="138">
                  <c:v>1936</c:v>
                </c:pt>
                <c:pt idx="139">
                  <c:v>1937</c:v>
                </c:pt>
                <c:pt idx="140">
                  <c:v>1938</c:v>
                </c:pt>
                <c:pt idx="141">
                  <c:v>1939</c:v>
                </c:pt>
                <c:pt idx="142">
                  <c:v>1940</c:v>
                </c:pt>
                <c:pt idx="143">
                  <c:v>1941</c:v>
                </c:pt>
                <c:pt idx="144">
                  <c:v>1942</c:v>
                </c:pt>
                <c:pt idx="145">
                  <c:v>1943</c:v>
                </c:pt>
                <c:pt idx="146">
                  <c:v>1944</c:v>
                </c:pt>
                <c:pt idx="147">
                  <c:v>1945</c:v>
                </c:pt>
                <c:pt idx="148">
                  <c:v>1946</c:v>
                </c:pt>
                <c:pt idx="149">
                  <c:v>1947</c:v>
                </c:pt>
                <c:pt idx="150">
                  <c:v>1948</c:v>
                </c:pt>
                <c:pt idx="151">
                  <c:v>1949</c:v>
                </c:pt>
                <c:pt idx="152">
                  <c:v>1950</c:v>
                </c:pt>
                <c:pt idx="153">
                  <c:v>1951</c:v>
                </c:pt>
                <c:pt idx="154">
                  <c:v>1952</c:v>
                </c:pt>
                <c:pt idx="155">
                  <c:v>1953</c:v>
                </c:pt>
                <c:pt idx="156">
                  <c:v>1954</c:v>
                </c:pt>
                <c:pt idx="157">
                  <c:v>1955</c:v>
                </c:pt>
                <c:pt idx="158">
                  <c:v>1956</c:v>
                </c:pt>
                <c:pt idx="159">
                  <c:v>1957</c:v>
                </c:pt>
                <c:pt idx="160">
                  <c:v>1958</c:v>
                </c:pt>
                <c:pt idx="161">
                  <c:v>1959</c:v>
                </c:pt>
                <c:pt idx="162">
                  <c:v>1960</c:v>
                </c:pt>
                <c:pt idx="163">
                  <c:v>1961</c:v>
                </c:pt>
                <c:pt idx="164">
                  <c:v>1962</c:v>
                </c:pt>
                <c:pt idx="165">
                  <c:v>1963</c:v>
                </c:pt>
                <c:pt idx="166">
                  <c:v>1964</c:v>
                </c:pt>
                <c:pt idx="167">
                  <c:v>1965</c:v>
                </c:pt>
                <c:pt idx="168">
                  <c:v>1966</c:v>
                </c:pt>
                <c:pt idx="169">
                  <c:v>1967</c:v>
                </c:pt>
                <c:pt idx="170">
                  <c:v>1968</c:v>
                </c:pt>
                <c:pt idx="171">
                  <c:v>1969</c:v>
                </c:pt>
                <c:pt idx="172">
                  <c:v>1970</c:v>
                </c:pt>
                <c:pt idx="173">
                  <c:v>1971</c:v>
                </c:pt>
                <c:pt idx="174">
                  <c:v>1972</c:v>
                </c:pt>
                <c:pt idx="175">
                  <c:v>1973</c:v>
                </c:pt>
                <c:pt idx="176">
                  <c:v>1974</c:v>
                </c:pt>
                <c:pt idx="177">
                  <c:v>1975</c:v>
                </c:pt>
                <c:pt idx="178">
                  <c:v>1976</c:v>
                </c:pt>
                <c:pt idx="179">
                  <c:v>1977</c:v>
                </c:pt>
                <c:pt idx="180">
                  <c:v>1978</c:v>
                </c:pt>
                <c:pt idx="181">
                  <c:v>1979</c:v>
                </c:pt>
                <c:pt idx="182">
                  <c:v>1980</c:v>
                </c:pt>
                <c:pt idx="183">
                  <c:v>1981</c:v>
                </c:pt>
                <c:pt idx="184">
                  <c:v>1982</c:v>
                </c:pt>
                <c:pt idx="185">
                  <c:v>1983</c:v>
                </c:pt>
                <c:pt idx="186">
                  <c:v>1984</c:v>
                </c:pt>
                <c:pt idx="187">
                  <c:v>1985</c:v>
                </c:pt>
                <c:pt idx="188">
                  <c:v>1986</c:v>
                </c:pt>
                <c:pt idx="189">
                  <c:v>1987</c:v>
                </c:pt>
                <c:pt idx="190">
                  <c:v>1988</c:v>
                </c:pt>
                <c:pt idx="191">
                  <c:v>1989</c:v>
                </c:pt>
                <c:pt idx="192">
                  <c:v>1990</c:v>
                </c:pt>
                <c:pt idx="193">
                  <c:v>1991</c:v>
                </c:pt>
                <c:pt idx="194">
                  <c:v>1992</c:v>
                </c:pt>
                <c:pt idx="195">
                  <c:v>1993</c:v>
                </c:pt>
                <c:pt idx="196">
                  <c:v>1994</c:v>
                </c:pt>
                <c:pt idx="197">
                  <c:v>1995</c:v>
                </c:pt>
                <c:pt idx="198">
                  <c:v>1996</c:v>
                </c:pt>
                <c:pt idx="199">
                  <c:v>1997</c:v>
                </c:pt>
                <c:pt idx="200">
                  <c:v>1998</c:v>
                </c:pt>
                <c:pt idx="201">
                  <c:v>1999</c:v>
                </c:pt>
                <c:pt idx="202">
                  <c:v>2000</c:v>
                </c:pt>
                <c:pt idx="203">
                  <c:v>2001</c:v>
                </c:pt>
                <c:pt idx="204">
                  <c:v>2002</c:v>
                </c:pt>
                <c:pt idx="205">
                  <c:v>2003</c:v>
                </c:pt>
                <c:pt idx="206">
                  <c:v>2004</c:v>
                </c:pt>
                <c:pt idx="207">
                  <c:v>2005</c:v>
                </c:pt>
                <c:pt idx="208">
                  <c:v>2006</c:v>
                </c:pt>
                <c:pt idx="209">
                  <c:v>2007</c:v>
                </c:pt>
                <c:pt idx="210">
                  <c:v>2008</c:v>
                </c:pt>
                <c:pt idx="211">
                  <c:v>2009</c:v>
                </c:pt>
                <c:pt idx="212">
                  <c:v>2010</c:v>
                </c:pt>
                <c:pt idx="213">
                  <c:v>2011</c:v>
                </c:pt>
                <c:pt idx="214">
                  <c:v>2012</c:v>
                </c:pt>
                <c:pt idx="215">
                  <c:v>2013</c:v>
                </c:pt>
                <c:pt idx="216">
                  <c:v>2014</c:v>
                </c:pt>
                <c:pt idx="217">
                  <c:v>2015</c:v>
                </c:pt>
                <c:pt idx="218">
                  <c:v>2016</c:v>
                </c:pt>
                <c:pt idx="219">
                  <c:v>2017</c:v>
                </c:pt>
                <c:pt idx="220">
                  <c:v>2018</c:v>
                </c:pt>
                <c:pt idx="221">
                  <c:v>2019</c:v>
                </c:pt>
                <c:pt idx="222">
                  <c:v>2020</c:v>
                </c:pt>
                <c:pt idx="223">
                  <c:v>2021</c:v>
                </c:pt>
                <c:pt idx="224">
                  <c:v>2022</c:v>
                </c:pt>
                <c:pt idx="225">
                  <c:v>2023</c:v>
                </c:pt>
                <c:pt idx="226">
                  <c:v>2024</c:v>
                </c:pt>
                <c:pt idx="227">
                  <c:v>2025</c:v>
                </c:pt>
                <c:pt idx="228">
                  <c:v>2026</c:v>
                </c:pt>
                <c:pt idx="229">
                  <c:v>2027</c:v>
                </c:pt>
                <c:pt idx="230">
                  <c:v>2028</c:v>
                </c:pt>
                <c:pt idx="231">
                  <c:v>2029</c:v>
                </c:pt>
                <c:pt idx="232">
                  <c:v>2030</c:v>
                </c:pt>
                <c:pt idx="233">
                  <c:v>2031</c:v>
                </c:pt>
                <c:pt idx="234">
                  <c:v>2032</c:v>
                </c:pt>
                <c:pt idx="235">
                  <c:v>2033</c:v>
                </c:pt>
                <c:pt idx="236">
                  <c:v>2034</c:v>
                </c:pt>
                <c:pt idx="237">
                  <c:v>2035</c:v>
                </c:pt>
                <c:pt idx="238">
                  <c:v>2036</c:v>
                </c:pt>
                <c:pt idx="239">
                  <c:v>2037</c:v>
                </c:pt>
                <c:pt idx="240">
                  <c:v>2038</c:v>
                </c:pt>
                <c:pt idx="241">
                  <c:v>2039</c:v>
                </c:pt>
                <c:pt idx="242">
                  <c:v>2040</c:v>
                </c:pt>
                <c:pt idx="243">
                  <c:v>2041</c:v>
                </c:pt>
                <c:pt idx="244">
                  <c:v>2042</c:v>
                </c:pt>
                <c:pt idx="245">
                  <c:v>2043</c:v>
                </c:pt>
                <c:pt idx="246">
                  <c:v>2044</c:v>
                </c:pt>
                <c:pt idx="247">
                  <c:v>2045</c:v>
                </c:pt>
                <c:pt idx="248">
                  <c:v>2046</c:v>
                </c:pt>
                <c:pt idx="249">
                  <c:v>2047</c:v>
                </c:pt>
                <c:pt idx="250">
                  <c:v>2048</c:v>
                </c:pt>
                <c:pt idx="251">
                  <c:v>2049</c:v>
                </c:pt>
                <c:pt idx="252">
                  <c:v>2050</c:v>
                </c:pt>
                <c:pt idx="253">
                  <c:v>2051</c:v>
                </c:pt>
                <c:pt idx="254">
                  <c:v>2052</c:v>
                </c:pt>
                <c:pt idx="255">
                  <c:v>2053</c:v>
                </c:pt>
                <c:pt idx="256">
                  <c:v>2054</c:v>
                </c:pt>
                <c:pt idx="257">
                  <c:v>2055</c:v>
                </c:pt>
                <c:pt idx="258">
                  <c:v>2056</c:v>
                </c:pt>
                <c:pt idx="259">
                  <c:v>2057</c:v>
                </c:pt>
                <c:pt idx="260">
                  <c:v>2058</c:v>
                </c:pt>
                <c:pt idx="261">
                  <c:v>2059</c:v>
                </c:pt>
                <c:pt idx="262">
                  <c:v>2060</c:v>
                </c:pt>
                <c:pt idx="263">
                  <c:v>2061</c:v>
                </c:pt>
                <c:pt idx="264">
                  <c:v>2062</c:v>
                </c:pt>
                <c:pt idx="265">
                  <c:v>2063</c:v>
                </c:pt>
                <c:pt idx="266">
                  <c:v>2064</c:v>
                </c:pt>
              </c:numCache>
            </c:numRef>
          </c:xVal>
          <c:yVal>
            <c:numRef>
              <c:f>Europe!$F$18:$F$284</c:f>
              <c:numCache>
                <c:formatCode>0.0</c:formatCode>
                <c:ptCount val="267"/>
                <c:pt idx="0" formatCode="General">
                  <c:v>0</c:v>
                </c:pt>
                <c:pt idx="1">
                  <c:v>1.7600000000000001E-5</c:v>
                </c:pt>
                <c:pt idx="2">
                  <c:v>1.8090000000000001E-5</c:v>
                </c:pt>
                <c:pt idx="3">
                  <c:v>1.8690000000000002E-5</c:v>
                </c:pt>
                <c:pt idx="4">
                  <c:v>1.9390000000000002E-5</c:v>
                </c:pt>
                <c:pt idx="5">
                  <c:v>2.0510000000000002E-5</c:v>
                </c:pt>
                <c:pt idx="6">
                  <c:v>2.1910000000000002E-5</c:v>
                </c:pt>
                <c:pt idx="7">
                  <c:v>2.3410000000000001E-5</c:v>
                </c:pt>
                <c:pt idx="8">
                  <c:v>2.527E-5</c:v>
                </c:pt>
                <c:pt idx="9">
                  <c:v>2.7169999999999999E-5</c:v>
                </c:pt>
                <c:pt idx="10">
                  <c:v>2.9269999999999999E-5</c:v>
                </c:pt>
                <c:pt idx="11">
                  <c:v>3.1569999999999998E-5</c:v>
                </c:pt>
                <c:pt idx="12">
                  <c:v>3.4069999999999997E-5</c:v>
                </c:pt>
                <c:pt idx="13">
                  <c:v>3.6689999999999996E-5</c:v>
                </c:pt>
                <c:pt idx="14">
                  <c:v>3.9389999999999994E-5</c:v>
                </c:pt>
                <c:pt idx="15">
                  <c:v>4.2279999999999995E-5</c:v>
                </c:pt>
                <c:pt idx="16">
                  <c:v>4.5179999999999998E-5</c:v>
                </c:pt>
                <c:pt idx="17">
                  <c:v>4.8279999999999999E-5</c:v>
                </c:pt>
                <c:pt idx="18">
                  <c:v>5.1560000000000001E-5</c:v>
                </c:pt>
                <c:pt idx="19">
                  <c:v>1.35498E-3</c:v>
                </c:pt>
                <c:pt idx="20">
                  <c:v>2.6585799999999998E-3</c:v>
                </c:pt>
                <c:pt idx="21">
                  <c:v>3.9623799999999997E-3</c:v>
                </c:pt>
                <c:pt idx="22">
                  <c:v>5.3664799999999999E-3</c:v>
                </c:pt>
                <c:pt idx="23">
                  <c:v>6.8713799999999998E-3</c:v>
                </c:pt>
                <c:pt idx="24">
                  <c:v>8.4766300000000006E-3</c:v>
                </c:pt>
                <c:pt idx="25">
                  <c:v>1.008243E-2</c:v>
                </c:pt>
                <c:pt idx="26">
                  <c:v>1.188847E-2</c:v>
                </c:pt>
                <c:pt idx="27">
                  <c:v>1.369483E-2</c:v>
                </c:pt>
                <c:pt idx="28">
                  <c:v>1.5502520000000001E-2</c:v>
                </c:pt>
                <c:pt idx="29">
                  <c:v>1.7411019999999999E-2</c:v>
                </c:pt>
                <c:pt idx="30">
                  <c:v>1.9320169999999998E-2</c:v>
                </c:pt>
                <c:pt idx="31">
                  <c:v>2.1229569999999996E-2</c:v>
                </c:pt>
                <c:pt idx="32">
                  <c:v>2.3239429999999995E-2</c:v>
                </c:pt>
                <c:pt idx="33">
                  <c:v>2.5150049999999993E-2</c:v>
                </c:pt>
                <c:pt idx="34">
                  <c:v>2.7260849999999993E-2</c:v>
                </c:pt>
                <c:pt idx="35">
                  <c:v>2.9572349999999994E-2</c:v>
                </c:pt>
                <c:pt idx="36">
                  <c:v>3.1884249999999996E-2</c:v>
                </c:pt>
                <c:pt idx="37">
                  <c:v>3.4296549999999995E-2</c:v>
                </c:pt>
                <c:pt idx="38">
                  <c:v>3.6909509999999993E-2</c:v>
                </c:pt>
                <c:pt idx="39">
                  <c:v>4.042280999999999E-2</c:v>
                </c:pt>
                <c:pt idx="40">
                  <c:v>4.4236309999999987E-2</c:v>
                </c:pt>
                <c:pt idx="41">
                  <c:v>4.8370009999999991E-2</c:v>
                </c:pt>
                <c:pt idx="42">
                  <c:v>5.2804009999999992E-2</c:v>
                </c:pt>
                <c:pt idx="43">
                  <c:v>5.7349109999999995E-2</c:v>
                </c:pt>
                <c:pt idx="44">
                  <c:v>6.270531E-2</c:v>
                </c:pt>
                <c:pt idx="45">
                  <c:v>6.7758109999999996E-2</c:v>
                </c:pt>
                <c:pt idx="46">
                  <c:v>7.3206709999999994E-2</c:v>
                </c:pt>
                <c:pt idx="47">
                  <c:v>7.9566909999999991E-2</c:v>
                </c:pt>
                <c:pt idx="48">
                  <c:v>8.6334509999999989E-2</c:v>
                </c:pt>
                <c:pt idx="49">
                  <c:v>9.3507609999999991E-2</c:v>
                </c:pt>
                <c:pt idx="50">
                  <c:v>0.10059890999999999</c:v>
                </c:pt>
                <c:pt idx="51">
                  <c:v>0.10800270999999999</c:v>
                </c:pt>
                <c:pt idx="52">
                  <c:v>0.11581450999999998</c:v>
                </c:pt>
                <c:pt idx="53">
                  <c:v>0.12505820999999998</c:v>
                </c:pt>
                <c:pt idx="54">
                  <c:v>0.13533030999999998</c:v>
                </c:pt>
                <c:pt idx="55">
                  <c:v>0.14703420999999997</c:v>
                </c:pt>
                <c:pt idx="56">
                  <c:v>0.16038410999999997</c:v>
                </c:pt>
                <c:pt idx="57">
                  <c:v>0.17564790999999996</c:v>
                </c:pt>
                <c:pt idx="58">
                  <c:v>0.19240020999999996</c:v>
                </c:pt>
                <c:pt idx="59">
                  <c:v>0.21047400999999996</c:v>
                </c:pt>
                <c:pt idx="60">
                  <c:v>0.22960780999999997</c:v>
                </c:pt>
                <c:pt idx="61">
                  <c:v>0.24705870999999996</c:v>
                </c:pt>
                <c:pt idx="62">
                  <c:v>0.26945720999999995</c:v>
                </c:pt>
                <c:pt idx="63">
                  <c:v>0.29274650999999996</c:v>
                </c:pt>
                <c:pt idx="64">
                  <c:v>0.31844610999999995</c:v>
                </c:pt>
                <c:pt idx="65">
                  <c:v>0.34591120999999997</c:v>
                </c:pt>
                <c:pt idx="66">
                  <c:v>0.37662990999999996</c:v>
                </c:pt>
                <c:pt idx="67">
                  <c:v>0.41100740999999996</c:v>
                </c:pt>
                <c:pt idx="68">
                  <c:v>0.44456640999999997</c:v>
                </c:pt>
                <c:pt idx="69">
                  <c:v>0.48217930999999997</c:v>
                </c:pt>
                <c:pt idx="70">
                  <c:v>0.52278430999999992</c:v>
                </c:pt>
                <c:pt idx="71">
                  <c:v>0.56566410999999994</c:v>
                </c:pt>
                <c:pt idx="72">
                  <c:v>0.60902460999999997</c:v>
                </c:pt>
                <c:pt idx="73">
                  <c:v>0.65828290999999994</c:v>
                </c:pt>
                <c:pt idx="74">
                  <c:v>0.71240530999999996</c:v>
                </c:pt>
                <c:pt idx="75">
                  <c:v>0.77185750999999991</c:v>
                </c:pt>
                <c:pt idx="76">
                  <c:v>0.83227080999999992</c:v>
                </c:pt>
                <c:pt idx="77">
                  <c:v>0.89473850999999993</c:v>
                </c:pt>
                <c:pt idx="78">
                  <c:v>0.95958910999999991</c:v>
                </c:pt>
                <c:pt idx="79">
                  <c:v>1.0233354099999998</c:v>
                </c:pt>
                <c:pt idx="80">
                  <c:v>1.0897956099999999</c:v>
                </c:pt>
                <c:pt idx="81">
                  <c:v>1.1604469099999999</c:v>
                </c:pt>
                <c:pt idx="82">
                  <c:v>1.2381055099999998</c:v>
                </c:pt>
                <c:pt idx="83">
                  <c:v>1.3198564099999999</c:v>
                </c:pt>
                <c:pt idx="84">
                  <c:v>1.4061576099999999</c:v>
                </c:pt>
                <c:pt idx="85">
                  <c:v>1.49915591</c:v>
                </c:pt>
                <c:pt idx="86">
                  <c:v>1.5939986100000001</c:v>
                </c:pt>
                <c:pt idx="87">
                  <c:v>1.6913249100000001</c:v>
                </c:pt>
                <c:pt idx="88">
                  <c:v>1.7893590100000001</c:v>
                </c:pt>
                <c:pt idx="89">
                  <c:v>1.89104921</c:v>
                </c:pt>
                <c:pt idx="90">
                  <c:v>2.0009640100000001</c:v>
                </c:pt>
                <c:pt idx="91">
                  <c:v>2.11579351</c:v>
                </c:pt>
                <c:pt idx="92">
                  <c:v>2.23740731</c:v>
                </c:pt>
                <c:pt idx="93">
                  <c:v>2.3657407099999999</c:v>
                </c:pt>
                <c:pt idx="94">
                  <c:v>2.4930115099999997</c:v>
                </c:pt>
                <c:pt idx="95">
                  <c:v>2.6254675099999996</c:v>
                </c:pt>
                <c:pt idx="96">
                  <c:v>2.7627157099999997</c:v>
                </c:pt>
                <c:pt idx="97">
                  <c:v>2.9069163099999997</c:v>
                </c:pt>
                <c:pt idx="98">
                  <c:v>3.0610216099999996</c:v>
                </c:pt>
                <c:pt idx="99">
                  <c:v>3.2271130099999996</c:v>
                </c:pt>
                <c:pt idx="100">
                  <c:v>3.4039039099999995</c:v>
                </c:pt>
                <c:pt idx="101">
                  <c:v>3.5926056099999997</c:v>
                </c:pt>
                <c:pt idx="102">
                  <c:v>3.7965748099999996</c:v>
                </c:pt>
                <c:pt idx="103">
                  <c:v>4.0058469099999998</c:v>
                </c:pt>
                <c:pt idx="104">
                  <c:v>4.2106622099999997</c:v>
                </c:pt>
                <c:pt idx="105">
                  <c:v>4.4297802099999997</c:v>
                </c:pt>
                <c:pt idx="106">
                  <c:v>4.6580133099999994</c:v>
                </c:pt>
                <c:pt idx="107">
                  <c:v>4.8924675099999995</c:v>
                </c:pt>
                <c:pt idx="108">
                  <c:v>5.1512349099999994</c:v>
                </c:pt>
                <c:pt idx="109">
                  <c:v>5.4293472099999995</c:v>
                </c:pt>
                <c:pt idx="110">
                  <c:v>5.7180248099999993</c:v>
                </c:pt>
                <c:pt idx="111">
                  <c:v>6.0096934099999997</c:v>
                </c:pt>
                <c:pt idx="112">
                  <c:v>6.3041764099999993</c:v>
                </c:pt>
                <c:pt idx="113">
                  <c:v>6.6157858099999993</c:v>
                </c:pt>
                <c:pt idx="114">
                  <c:v>6.9516932099999993</c:v>
                </c:pt>
                <c:pt idx="115">
                  <c:v>7.3504365099999998</c:v>
                </c:pt>
                <c:pt idx="116">
                  <c:v>7.7133805099999995</c:v>
                </c:pt>
                <c:pt idx="117">
                  <c:v>8.0649225099999988</c:v>
                </c:pt>
                <c:pt idx="118">
                  <c:v>8.4021785099999988</c:v>
                </c:pt>
                <c:pt idx="119">
                  <c:v>8.7455021766666654</c:v>
                </c:pt>
                <c:pt idx="120">
                  <c:v>9.0663560655555546</c:v>
                </c:pt>
                <c:pt idx="121">
                  <c:v>9.3331481766666649</c:v>
                </c:pt>
                <c:pt idx="122">
                  <c:v>9.6489891766666656</c:v>
                </c:pt>
                <c:pt idx="123">
                  <c:v>9.9815661766666661</c:v>
                </c:pt>
                <c:pt idx="124">
                  <c:v>10.338572176666666</c:v>
                </c:pt>
                <c:pt idx="125">
                  <c:v>10.625119176666667</c:v>
                </c:pt>
                <c:pt idx="126">
                  <c:v>10.982501176666666</c:v>
                </c:pt>
                <c:pt idx="127">
                  <c:v>11.362719176666666</c:v>
                </c:pt>
                <c:pt idx="128">
                  <c:v>11.773522176666665</c:v>
                </c:pt>
                <c:pt idx="129">
                  <c:v>12.214432176666666</c:v>
                </c:pt>
                <c:pt idx="130">
                  <c:v>12.671890176666667</c:v>
                </c:pt>
                <c:pt idx="131">
                  <c:v>13.165445176666667</c:v>
                </c:pt>
                <c:pt idx="132">
                  <c:v>13.593969176666667</c:v>
                </c:pt>
                <c:pt idx="133">
                  <c:v>13.991711176666666</c:v>
                </c:pt>
                <c:pt idx="134">
                  <c:v>14.355662176666666</c:v>
                </c:pt>
                <c:pt idx="135">
                  <c:v>14.729495176666665</c:v>
                </c:pt>
                <c:pt idx="136">
                  <c:v>15.140850176666666</c:v>
                </c:pt>
                <c:pt idx="137">
                  <c:v>15.587505176666665</c:v>
                </c:pt>
                <c:pt idx="138">
                  <c:v>16.072403176666665</c:v>
                </c:pt>
                <c:pt idx="139">
                  <c:v>16.624294176666666</c:v>
                </c:pt>
                <c:pt idx="140">
                  <c:v>17.193465176666667</c:v>
                </c:pt>
                <c:pt idx="141">
                  <c:v>17.777161176666667</c:v>
                </c:pt>
                <c:pt idx="142">
                  <c:v>18.418133176666668</c:v>
                </c:pt>
                <c:pt idx="143">
                  <c:v>19.054301176666669</c:v>
                </c:pt>
                <c:pt idx="144">
                  <c:v>19.658167176666669</c:v>
                </c:pt>
                <c:pt idx="145">
                  <c:v>20.283191176666669</c:v>
                </c:pt>
                <c:pt idx="146">
                  <c:v>20.845475176666667</c:v>
                </c:pt>
                <c:pt idx="147">
                  <c:v>21.022721176666668</c:v>
                </c:pt>
                <c:pt idx="148">
                  <c:v>21.409940176666666</c:v>
                </c:pt>
                <c:pt idx="149">
                  <c:v>21.852664176666664</c:v>
                </c:pt>
                <c:pt idx="150">
                  <c:v>22.351873176666665</c:v>
                </c:pt>
                <c:pt idx="151">
                  <c:v>22.911980676666666</c:v>
                </c:pt>
                <c:pt idx="152">
                  <c:v>23.518594676666666</c:v>
                </c:pt>
                <c:pt idx="153">
                  <c:v>24.170117676666667</c:v>
                </c:pt>
                <c:pt idx="154">
                  <c:v>24.853345676666667</c:v>
                </c:pt>
                <c:pt idx="155">
                  <c:v>25.565548676666666</c:v>
                </c:pt>
                <c:pt idx="156">
                  <c:v>26.316441676666667</c:v>
                </c:pt>
                <c:pt idx="157">
                  <c:v>27.123224676666666</c:v>
                </c:pt>
                <c:pt idx="158">
                  <c:v>27.966390426666667</c:v>
                </c:pt>
                <c:pt idx="159">
                  <c:v>28.834987926666667</c:v>
                </c:pt>
                <c:pt idx="160">
                  <c:v>29.726526176666667</c:v>
                </c:pt>
                <c:pt idx="161">
                  <c:v>30.652047176666667</c:v>
                </c:pt>
                <c:pt idx="162">
                  <c:v>31.609448176666668</c:v>
                </c:pt>
                <c:pt idx="163">
                  <c:v>32.595793176666668</c:v>
                </c:pt>
                <c:pt idx="164">
                  <c:v>33.61076717666667</c:v>
                </c:pt>
                <c:pt idx="165">
                  <c:v>34.663300176666667</c:v>
                </c:pt>
                <c:pt idx="166">
                  <c:v>35.74965017666667</c:v>
                </c:pt>
                <c:pt idx="167">
                  <c:v>36.825010176666666</c:v>
                </c:pt>
                <c:pt idx="168">
                  <c:v>37.890088176666666</c:v>
                </c:pt>
                <c:pt idx="169">
                  <c:v>38.927691176666663</c:v>
                </c:pt>
                <c:pt idx="170">
                  <c:v>39.988099176666665</c:v>
                </c:pt>
                <c:pt idx="171">
                  <c:v>41.082913176666665</c:v>
                </c:pt>
                <c:pt idx="172">
                  <c:v>42.201666176666663</c:v>
                </c:pt>
                <c:pt idx="173">
                  <c:v>43.334146176666664</c:v>
                </c:pt>
                <c:pt idx="174">
                  <c:v>44.459612176666667</c:v>
                </c:pt>
                <c:pt idx="175">
                  <c:v>45.596669176666666</c:v>
                </c:pt>
                <c:pt idx="176">
                  <c:v>46.734035176666666</c:v>
                </c:pt>
                <c:pt idx="177">
                  <c:v>47.905095176666663</c:v>
                </c:pt>
                <c:pt idx="178">
                  <c:v>49.100834176666666</c:v>
                </c:pt>
                <c:pt idx="179">
                  <c:v>50.302588176666667</c:v>
                </c:pt>
                <c:pt idx="180">
                  <c:v>51.513065176666665</c:v>
                </c:pt>
                <c:pt idx="181">
                  <c:v>52.755288176666667</c:v>
                </c:pt>
                <c:pt idx="182">
                  <c:v>53.994026176666665</c:v>
                </c:pt>
                <c:pt idx="183">
                  <c:v>55.235095961047548</c:v>
                </c:pt>
                <c:pt idx="184">
                  <c:v>56.527480302378919</c:v>
                </c:pt>
                <c:pt idx="185">
                  <c:v>57.820155597631228</c:v>
                </c:pt>
                <c:pt idx="186">
                  <c:v>59.161660019660367</c:v>
                </c:pt>
                <c:pt idx="187">
                  <c:v>60.544648574044452</c:v>
                </c:pt>
                <c:pt idx="188">
                  <c:v>61.944951537265304</c:v>
                </c:pt>
                <c:pt idx="189">
                  <c:v>63.349604927258206</c:v>
                </c:pt>
                <c:pt idx="190">
                  <c:v>64.742626442903102</c:v>
                </c:pt>
                <c:pt idx="191">
                  <c:v>66.110809007464908</c:v>
                </c:pt>
                <c:pt idx="192">
                  <c:v>67.331674063537577</c:v>
                </c:pt>
                <c:pt idx="193">
                  <c:v>68.404867140684487</c:v>
                </c:pt>
                <c:pt idx="194">
                  <c:v>69.428796402572161</c:v>
                </c:pt>
                <c:pt idx="195">
                  <c:v>70.392492101151319</c:v>
                </c:pt>
                <c:pt idx="196">
                  <c:v>71.302595955409373</c:v>
                </c:pt>
                <c:pt idx="197">
                  <c:v>72.190695528141504</c:v>
                </c:pt>
                <c:pt idx="198">
                  <c:v>73.059251217297046</c:v>
                </c:pt>
                <c:pt idx="199">
                  <c:v>73.923864624926665</c:v>
                </c:pt>
                <c:pt idx="200">
                  <c:v>74.749388469504439</c:v>
                </c:pt>
                <c:pt idx="201">
                  <c:v>75.534444595608136</c:v>
                </c:pt>
                <c:pt idx="202">
                  <c:v>76.327608721711826</c:v>
                </c:pt>
                <c:pt idx="203">
                  <c:v>77.133015284763673</c:v>
                </c:pt>
                <c:pt idx="204">
                  <c:v>77.926939847815518</c:v>
                </c:pt>
                <c:pt idx="205">
                  <c:v>78.71759812934144</c:v>
                </c:pt>
                <c:pt idx="206">
                  <c:v>79.504072840393292</c:v>
                </c:pt>
                <c:pt idx="207">
                  <c:v>80.284009928919218</c:v>
                </c:pt>
                <c:pt idx="208">
                  <c:v>81.06219459342438</c:v>
                </c:pt>
                <c:pt idx="209">
                  <c:v>81.84877031552503</c:v>
                </c:pt>
                <c:pt idx="210">
                  <c:v>82.620929937873683</c:v>
                </c:pt>
                <c:pt idx="211">
                  <c:v>83.351995647925506</c:v>
                </c:pt>
              </c:numCache>
            </c:numRef>
          </c:yVal>
          <c:smooth val="1"/>
          <c:extLst>
            <c:ext xmlns:c16="http://schemas.microsoft.com/office/drawing/2014/chart" uri="{C3380CC4-5D6E-409C-BE32-E72D297353CC}">
              <c16:uniqueId val="{00000002-F9A3-B648-BB1F-1242AC7E0D52}"/>
            </c:ext>
          </c:extLst>
        </c:ser>
        <c:ser>
          <c:idx val="1"/>
          <c:order val="3"/>
          <c:tx>
            <c:strRef>
              <c:f>Europe!$J$17</c:f>
              <c:strCache>
                <c:ptCount val="1"/>
                <c:pt idx="0">
                  <c:v>q l</c:v>
                </c:pt>
              </c:strCache>
            </c:strRef>
          </c:tx>
          <c:spPr>
            <a:ln w="15875">
              <a:solidFill>
                <a:srgbClr val="808080"/>
              </a:solidFill>
              <a:prstDash val="dash"/>
            </a:ln>
          </c:spPr>
          <c:marker>
            <c:symbol val="none"/>
          </c:marker>
          <c:xVal>
            <c:numRef>
              <c:f>Europe!$D$19:$D$288</c:f>
              <c:numCache>
                <c:formatCode>General</c:formatCode>
                <c:ptCount val="270"/>
                <c:pt idx="0">
                  <c:v>1799</c:v>
                </c:pt>
                <c:pt idx="1">
                  <c:v>1800</c:v>
                </c:pt>
                <c:pt idx="2">
                  <c:v>1801</c:v>
                </c:pt>
                <c:pt idx="3">
                  <c:v>1802</c:v>
                </c:pt>
                <c:pt idx="4">
                  <c:v>1803</c:v>
                </c:pt>
                <c:pt idx="5">
                  <c:v>1804</c:v>
                </c:pt>
                <c:pt idx="6">
                  <c:v>1805</c:v>
                </c:pt>
                <c:pt idx="7">
                  <c:v>1806</c:v>
                </c:pt>
                <c:pt idx="8">
                  <c:v>1807</c:v>
                </c:pt>
                <c:pt idx="9">
                  <c:v>1808</c:v>
                </c:pt>
                <c:pt idx="10">
                  <c:v>1809</c:v>
                </c:pt>
                <c:pt idx="11">
                  <c:v>1810</c:v>
                </c:pt>
                <c:pt idx="12">
                  <c:v>1811</c:v>
                </c:pt>
                <c:pt idx="13">
                  <c:v>1812</c:v>
                </c:pt>
                <c:pt idx="14">
                  <c:v>1813</c:v>
                </c:pt>
                <c:pt idx="15">
                  <c:v>1814</c:v>
                </c:pt>
                <c:pt idx="16">
                  <c:v>1815</c:v>
                </c:pt>
                <c:pt idx="17">
                  <c:v>1816</c:v>
                </c:pt>
                <c:pt idx="18">
                  <c:v>1817</c:v>
                </c:pt>
                <c:pt idx="19">
                  <c:v>1818</c:v>
                </c:pt>
                <c:pt idx="20">
                  <c:v>1819</c:v>
                </c:pt>
                <c:pt idx="21">
                  <c:v>1820</c:v>
                </c:pt>
                <c:pt idx="22">
                  <c:v>1821</c:v>
                </c:pt>
                <c:pt idx="23">
                  <c:v>1822</c:v>
                </c:pt>
                <c:pt idx="24">
                  <c:v>1823</c:v>
                </c:pt>
                <c:pt idx="25">
                  <c:v>1824</c:v>
                </c:pt>
                <c:pt idx="26">
                  <c:v>1825</c:v>
                </c:pt>
                <c:pt idx="27">
                  <c:v>1826</c:v>
                </c:pt>
                <c:pt idx="28">
                  <c:v>1827</c:v>
                </c:pt>
                <c:pt idx="29">
                  <c:v>1828</c:v>
                </c:pt>
                <c:pt idx="30">
                  <c:v>1829</c:v>
                </c:pt>
                <c:pt idx="31">
                  <c:v>1830</c:v>
                </c:pt>
                <c:pt idx="32">
                  <c:v>1831</c:v>
                </c:pt>
                <c:pt idx="33">
                  <c:v>1832</c:v>
                </c:pt>
                <c:pt idx="34">
                  <c:v>1833</c:v>
                </c:pt>
                <c:pt idx="35">
                  <c:v>1834</c:v>
                </c:pt>
                <c:pt idx="36">
                  <c:v>1835</c:v>
                </c:pt>
                <c:pt idx="37">
                  <c:v>1836</c:v>
                </c:pt>
                <c:pt idx="38">
                  <c:v>1837</c:v>
                </c:pt>
                <c:pt idx="39">
                  <c:v>1838</c:v>
                </c:pt>
                <c:pt idx="40">
                  <c:v>1839</c:v>
                </c:pt>
                <c:pt idx="41">
                  <c:v>1840</c:v>
                </c:pt>
                <c:pt idx="42">
                  <c:v>1841</c:v>
                </c:pt>
                <c:pt idx="43">
                  <c:v>1842</c:v>
                </c:pt>
                <c:pt idx="44">
                  <c:v>1843</c:v>
                </c:pt>
                <c:pt idx="45">
                  <c:v>1844</c:v>
                </c:pt>
                <c:pt idx="46">
                  <c:v>1845</c:v>
                </c:pt>
                <c:pt idx="47">
                  <c:v>1846</c:v>
                </c:pt>
                <c:pt idx="48">
                  <c:v>1847</c:v>
                </c:pt>
                <c:pt idx="49">
                  <c:v>1848</c:v>
                </c:pt>
                <c:pt idx="50">
                  <c:v>1849</c:v>
                </c:pt>
                <c:pt idx="51">
                  <c:v>1850</c:v>
                </c:pt>
                <c:pt idx="52">
                  <c:v>1851</c:v>
                </c:pt>
                <c:pt idx="53">
                  <c:v>1852</c:v>
                </c:pt>
                <c:pt idx="54">
                  <c:v>1853</c:v>
                </c:pt>
                <c:pt idx="55">
                  <c:v>1854</c:v>
                </c:pt>
                <c:pt idx="56">
                  <c:v>1855</c:v>
                </c:pt>
                <c:pt idx="57">
                  <c:v>1856</c:v>
                </c:pt>
                <c:pt idx="58">
                  <c:v>1857</c:v>
                </c:pt>
                <c:pt idx="59">
                  <c:v>1858</c:v>
                </c:pt>
                <c:pt idx="60">
                  <c:v>1859</c:v>
                </c:pt>
                <c:pt idx="61">
                  <c:v>1860</c:v>
                </c:pt>
                <c:pt idx="62">
                  <c:v>1861</c:v>
                </c:pt>
                <c:pt idx="63">
                  <c:v>1862</c:v>
                </c:pt>
                <c:pt idx="64">
                  <c:v>1863</c:v>
                </c:pt>
                <c:pt idx="65">
                  <c:v>1864</c:v>
                </c:pt>
                <c:pt idx="66">
                  <c:v>1865</c:v>
                </c:pt>
                <c:pt idx="67">
                  <c:v>1866</c:v>
                </c:pt>
                <c:pt idx="68">
                  <c:v>1867</c:v>
                </c:pt>
                <c:pt idx="69">
                  <c:v>1868</c:v>
                </c:pt>
                <c:pt idx="70">
                  <c:v>1869</c:v>
                </c:pt>
                <c:pt idx="71">
                  <c:v>1870</c:v>
                </c:pt>
                <c:pt idx="72">
                  <c:v>1871</c:v>
                </c:pt>
                <c:pt idx="73">
                  <c:v>1872</c:v>
                </c:pt>
                <c:pt idx="74">
                  <c:v>1873</c:v>
                </c:pt>
                <c:pt idx="75">
                  <c:v>1874</c:v>
                </c:pt>
                <c:pt idx="76">
                  <c:v>1875</c:v>
                </c:pt>
                <c:pt idx="77">
                  <c:v>1876</c:v>
                </c:pt>
                <c:pt idx="78">
                  <c:v>1877</c:v>
                </c:pt>
                <c:pt idx="79">
                  <c:v>1878</c:v>
                </c:pt>
                <c:pt idx="80">
                  <c:v>1879</c:v>
                </c:pt>
                <c:pt idx="81">
                  <c:v>1880</c:v>
                </c:pt>
                <c:pt idx="82">
                  <c:v>1881</c:v>
                </c:pt>
                <c:pt idx="83">
                  <c:v>1882</c:v>
                </c:pt>
                <c:pt idx="84">
                  <c:v>1883</c:v>
                </c:pt>
                <c:pt idx="85">
                  <c:v>1884</c:v>
                </c:pt>
                <c:pt idx="86">
                  <c:v>1885</c:v>
                </c:pt>
                <c:pt idx="87">
                  <c:v>1886</c:v>
                </c:pt>
                <c:pt idx="88">
                  <c:v>1887</c:v>
                </c:pt>
                <c:pt idx="89">
                  <c:v>1888</c:v>
                </c:pt>
                <c:pt idx="90">
                  <c:v>1889</c:v>
                </c:pt>
                <c:pt idx="91">
                  <c:v>1890</c:v>
                </c:pt>
                <c:pt idx="92">
                  <c:v>1891</c:v>
                </c:pt>
                <c:pt idx="93">
                  <c:v>1892</c:v>
                </c:pt>
                <c:pt idx="94">
                  <c:v>1893</c:v>
                </c:pt>
                <c:pt idx="95">
                  <c:v>1894</c:v>
                </c:pt>
                <c:pt idx="96">
                  <c:v>1895</c:v>
                </c:pt>
                <c:pt idx="97">
                  <c:v>1896</c:v>
                </c:pt>
                <c:pt idx="98">
                  <c:v>1897</c:v>
                </c:pt>
                <c:pt idx="99">
                  <c:v>1898</c:v>
                </c:pt>
                <c:pt idx="100">
                  <c:v>1899</c:v>
                </c:pt>
                <c:pt idx="101">
                  <c:v>1900</c:v>
                </c:pt>
                <c:pt idx="102">
                  <c:v>1901</c:v>
                </c:pt>
                <c:pt idx="103">
                  <c:v>1902</c:v>
                </c:pt>
                <c:pt idx="104">
                  <c:v>1903</c:v>
                </c:pt>
                <c:pt idx="105">
                  <c:v>1904</c:v>
                </c:pt>
                <c:pt idx="106">
                  <c:v>1905</c:v>
                </c:pt>
                <c:pt idx="107">
                  <c:v>1906</c:v>
                </c:pt>
                <c:pt idx="108">
                  <c:v>1907</c:v>
                </c:pt>
                <c:pt idx="109">
                  <c:v>1908</c:v>
                </c:pt>
                <c:pt idx="110">
                  <c:v>1909</c:v>
                </c:pt>
                <c:pt idx="111">
                  <c:v>1910</c:v>
                </c:pt>
                <c:pt idx="112">
                  <c:v>1911</c:v>
                </c:pt>
                <c:pt idx="113">
                  <c:v>1912</c:v>
                </c:pt>
                <c:pt idx="114">
                  <c:v>1913</c:v>
                </c:pt>
                <c:pt idx="115">
                  <c:v>1914</c:v>
                </c:pt>
                <c:pt idx="116">
                  <c:v>1915</c:v>
                </c:pt>
                <c:pt idx="117">
                  <c:v>1916</c:v>
                </c:pt>
                <c:pt idx="118">
                  <c:v>1917</c:v>
                </c:pt>
                <c:pt idx="119">
                  <c:v>1918</c:v>
                </c:pt>
                <c:pt idx="120">
                  <c:v>1919</c:v>
                </c:pt>
                <c:pt idx="121">
                  <c:v>1920</c:v>
                </c:pt>
                <c:pt idx="122">
                  <c:v>1921</c:v>
                </c:pt>
                <c:pt idx="123">
                  <c:v>1922</c:v>
                </c:pt>
                <c:pt idx="124">
                  <c:v>1923</c:v>
                </c:pt>
                <c:pt idx="125">
                  <c:v>1924</c:v>
                </c:pt>
                <c:pt idx="126">
                  <c:v>1925</c:v>
                </c:pt>
                <c:pt idx="127">
                  <c:v>1926</c:v>
                </c:pt>
                <c:pt idx="128">
                  <c:v>1927</c:v>
                </c:pt>
                <c:pt idx="129">
                  <c:v>1928</c:v>
                </c:pt>
                <c:pt idx="130">
                  <c:v>1929</c:v>
                </c:pt>
                <c:pt idx="131">
                  <c:v>1930</c:v>
                </c:pt>
                <c:pt idx="132">
                  <c:v>1931</c:v>
                </c:pt>
                <c:pt idx="133">
                  <c:v>1932</c:v>
                </c:pt>
                <c:pt idx="134">
                  <c:v>1933</c:v>
                </c:pt>
                <c:pt idx="135">
                  <c:v>1934</c:v>
                </c:pt>
                <c:pt idx="136">
                  <c:v>1935</c:v>
                </c:pt>
                <c:pt idx="137">
                  <c:v>1936</c:v>
                </c:pt>
                <c:pt idx="138">
                  <c:v>1937</c:v>
                </c:pt>
                <c:pt idx="139">
                  <c:v>1938</c:v>
                </c:pt>
                <c:pt idx="140">
                  <c:v>1939</c:v>
                </c:pt>
                <c:pt idx="141">
                  <c:v>1940</c:v>
                </c:pt>
                <c:pt idx="142">
                  <c:v>1941</c:v>
                </c:pt>
                <c:pt idx="143">
                  <c:v>1942</c:v>
                </c:pt>
                <c:pt idx="144">
                  <c:v>1943</c:v>
                </c:pt>
                <c:pt idx="145">
                  <c:v>1944</c:v>
                </c:pt>
                <c:pt idx="146">
                  <c:v>1945</c:v>
                </c:pt>
                <c:pt idx="147">
                  <c:v>1946</c:v>
                </c:pt>
                <c:pt idx="148">
                  <c:v>1947</c:v>
                </c:pt>
                <c:pt idx="149">
                  <c:v>1948</c:v>
                </c:pt>
                <c:pt idx="150">
                  <c:v>1949</c:v>
                </c:pt>
                <c:pt idx="151">
                  <c:v>1950</c:v>
                </c:pt>
                <c:pt idx="152">
                  <c:v>1951</c:v>
                </c:pt>
                <c:pt idx="153">
                  <c:v>1952</c:v>
                </c:pt>
                <c:pt idx="154">
                  <c:v>1953</c:v>
                </c:pt>
                <c:pt idx="155">
                  <c:v>1954</c:v>
                </c:pt>
                <c:pt idx="156">
                  <c:v>1955</c:v>
                </c:pt>
                <c:pt idx="157">
                  <c:v>1956</c:v>
                </c:pt>
                <c:pt idx="158">
                  <c:v>1957</c:v>
                </c:pt>
                <c:pt idx="159">
                  <c:v>1958</c:v>
                </c:pt>
                <c:pt idx="160">
                  <c:v>1959</c:v>
                </c:pt>
                <c:pt idx="161">
                  <c:v>1960</c:v>
                </c:pt>
                <c:pt idx="162">
                  <c:v>1961</c:v>
                </c:pt>
                <c:pt idx="163">
                  <c:v>1962</c:v>
                </c:pt>
                <c:pt idx="164">
                  <c:v>1963</c:v>
                </c:pt>
                <c:pt idx="165">
                  <c:v>1964</c:v>
                </c:pt>
                <c:pt idx="166">
                  <c:v>1965</c:v>
                </c:pt>
                <c:pt idx="167">
                  <c:v>1966</c:v>
                </c:pt>
                <c:pt idx="168">
                  <c:v>1967</c:v>
                </c:pt>
                <c:pt idx="169">
                  <c:v>1968</c:v>
                </c:pt>
                <c:pt idx="170">
                  <c:v>1969</c:v>
                </c:pt>
                <c:pt idx="171">
                  <c:v>1970</c:v>
                </c:pt>
                <c:pt idx="172">
                  <c:v>1971</c:v>
                </c:pt>
                <c:pt idx="173">
                  <c:v>1972</c:v>
                </c:pt>
                <c:pt idx="174">
                  <c:v>1973</c:v>
                </c:pt>
                <c:pt idx="175">
                  <c:v>1974</c:v>
                </c:pt>
                <c:pt idx="176">
                  <c:v>1975</c:v>
                </c:pt>
                <c:pt idx="177">
                  <c:v>1976</c:v>
                </c:pt>
                <c:pt idx="178">
                  <c:v>1977</c:v>
                </c:pt>
                <c:pt idx="179">
                  <c:v>1978</c:v>
                </c:pt>
                <c:pt idx="180">
                  <c:v>1979</c:v>
                </c:pt>
                <c:pt idx="181">
                  <c:v>1980</c:v>
                </c:pt>
                <c:pt idx="182">
                  <c:v>1981</c:v>
                </c:pt>
                <c:pt idx="183">
                  <c:v>1982</c:v>
                </c:pt>
                <c:pt idx="184">
                  <c:v>1983</c:v>
                </c:pt>
                <c:pt idx="185">
                  <c:v>1984</c:v>
                </c:pt>
                <c:pt idx="186">
                  <c:v>1985</c:v>
                </c:pt>
                <c:pt idx="187">
                  <c:v>1986</c:v>
                </c:pt>
                <c:pt idx="188">
                  <c:v>1987</c:v>
                </c:pt>
                <c:pt idx="189">
                  <c:v>1988</c:v>
                </c:pt>
                <c:pt idx="190">
                  <c:v>1989</c:v>
                </c:pt>
                <c:pt idx="191">
                  <c:v>1990</c:v>
                </c:pt>
                <c:pt idx="192">
                  <c:v>1991</c:v>
                </c:pt>
                <c:pt idx="193">
                  <c:v>1992</c:v>
                </c:pt>
                <c:pt idx="194">
                  <c:v>1993</c:v>
                </c:pt>
                <c:pt idx="195">
                  <c:v>1994</c:v>
                </c:pt>
                <c:pt idx="196">
                  <c:v>1995</c:v>
                </c:pt>
                <c:pt idx="197">
                  <c:v>1996</c:v>
                </c:pt>
                <c:pt idx="198">
                  <c:v>1997</c:v>
                </c:pt>
                <c:pt idx="199">
                  <c:v>1998</c:v>
                </c:pt>
                <c:pt idx="200">
                  <c:v>1999</c:v>
                </c:pt>
                <c:pt idx="201">
                  <c:v>2000</c:v>
                </c:pt>
                <c:pt idx="202">
                  <c:v>2001</c:v>
                </c:pt>
                <c:pt idx="203">
                  <c:v>2002</c:v>
                </c:pt>
                <c:pt idx="204">
                  <c:v>2003</c:v>
                </c:pt>
                <c:pt idx="205">
                  <c:v>2004</c:v>
                </c:pt>
                <c:pt idx="206">
                  <c:v>2005</c:v>
                </c:pt>
                <c:pt idx="207">
                  <c:v>2006</c:v>
                </c:pt>
                <c:pt idx="208">
                  <c:v>2007</c:v>
                </c:pt>
                <c:pt idx="209">
                  <c:v>2008</c:v>
                </c:pt>
                <c:pt idx="210">
                  <c:v>2009</c:v>
                </c:pt>
                <c:pt idx="211">
                  <c:v>2010</c:v>
                </c:pt>
                <c:pt idx="212">
                  <c:v>2011</c:v>
                </c:pt>
                <c:pt idx="213">
                  <c:v>2012</c:v>
                </c:pt>
                <c:pt idx="214">
                  <c:v>2013</c:v>
                </c:pt>
                <c:pt idx="215">
                  <c:v>2014</c:v>
                </c:pt>
                <c:pt idx="216">
                  <c:v>2015</c:v>
                </c:pt>
                <c:pt idx="217">
                  <c:v>2016</c:v>
                </c:pt>
                <c:pt idx="218">
                  <c:v>2017</c:v>
                </c:pt>
                <c:pt idx="219">
                  <c:v>2018</c:v>
                </c:pt>
                <c:pt idx="220">
                  <c:v>2019</c:v>
                </c:pt>
                <c:pt idx="221">
                  <c:v>2020</c:v>
                </c:pt>
                <c:pt idx="222">
                  <c:v>2021</c:v>
                </c:pt>
                <c:pt idx="223">
                  <c:v>2022</c:v>
                </c:pt>
                <c:pt idx="224">
                  <c:v>2023</c:v>
                </c:pt>
                <c:pt idx="225">
                  <c:v>2024</c:v>
                </c:pt>
                <c:pt idx="226">
                  <c:v>2025</c:v>
                </c:pt>
                <c:pt idx="227">
                  <c:v>2026</c:v>
                </c:pt>
                <c:pt idx="228">
                  <c:v>2027</c:v>
                </c:pt>
                <c:pt idx="229">
                  <c:v>2028</c:v>
                </c:pt>
                <c:pt idx="230">
                  <c:v>2029</c:v>
                </c:pt>
                <c:pt idx="231">
                  <c:v>2030</c:v>
                </c:pt>
                <c:pt idx="232">
                  <c:v>2031</c:v>
                </c:pt>
                <c:pt idx="233">
                  <c:v>2032</c:v>
                </c:pt>
                <c:pt idx="234">
                  <c:v>2033</c:v>
                </c:pt>
                <c:pt idx="235">
                  <c:v>2034</c:v>
                </c:pt>
                <c:pt idx="236">
                  <c:v>2035</c:v>
                </c:pt>
                <c:pt idx="237">
                  <c:v>2036</c:v>
                </c:pt>
                <c:pt idx="238">
                  <c:v>2037</c:v>
                </c:pt>
                <c:pt idx="239">
                  <c:v>2038</c:v>
                </c:pt>
                <c:pt idx="240">
                  <c:v>2039</c:v>
                </c:pt>
                <c:pt idx="241">
                  <c:v>2040</c:v>
                </c:pt>
                <c:pt idx="242">
                  <c:v>2041</c:v>
                </c:pt>
                <c:pt idx="243">
                  <c:v>2042</c:v>
                </c:pt>
                <c:pt idx="244">
                  <c:v>2043</c:v>
                </c:pt>
                <c:pt idx="245">
                  <c:v>2044</c:v>
                </c:pt>
                <c:pt idx="246">
                  <c:v>2045</c:v>
                </c:pt>
                <c:pt idx="247">
                  <c:v>2046</c:v>
                </c:pt>
                <c:pt idx="248">
                  <c:v>2047</c:v>
                </c:pt>
                <c:pt idx="249">
                  <c:v>2048</c:v>
                </c:pt>
                <c:pt idx="250">
                  <c:v>2049</c:v>
                </c:pt>
                <c:pt idx="251">
                  <c:v>2050</c:v>
                </c:pt>
                <c:pt idx="252">
                  <c:v>2051</c:v>
                </c:pt>
                <c:pt idx="253">
                  <c:v>2052</c:v>
                </c:pt>
                <c:pt idx="254">
                  <c:v>2053</c:v>
                </c:pt>
                <c:pt idx="255">
                  <c:v>2054</c:v>
                </c:pt>
                <c:pt idx="256">
                  <c:v>2055</c:v>
                </c:pt>
                <c:pt idx="257">
                  <c:v>2056</c:v>
                </c:pt>
                <c:pt idx="258">
                  <c:v>2057</c:v>
                </c:pt>
                <c:pt idx="259">
                  <c:v>2058</c:v>
                </c:pt>
                <c:pt idx="260">
                  <c:v>2059</c:v>
                </c:pt>
                <c:pt idx="261">
                  <c:v>2060</c:v>
                </c:pt>
                <c:pt idx="262">
                  <c:v>2061</c:v>
                </c:pt>
                <c:pt idx="263">
                  <c:v>2062</c:v>
                </c:pt>
                <c:pt idx="264">
                  <c:v>2063</c:v>
                </c:pt>
                <c:pt idx="265">
                  <c:v>2064</c:v>
                </c:pt>
                <c:pt idx="266">
                  <c:v>2065</c:v>
                </c:pt>
                <c:pt idx="267">
                  <c:v>2066</c:v>
                </c:pt>
                <c:pt idx="268">
                  <c:v>2067</c:v>
                </c:pt>
                <c:pt idx="269">
                  <c:v>2068</c:v>
                </c:pt>
              </c:numCache>
            </c:numRef>
          </c:xVal>
          <c:yVal>
            <c:numRef>
              <c:f>Europe!$J$19:$J$288</c:f>
              <c:numCache>
                <c:formatCode>0.0</c:formatCode>
                <c:ptCount val="270"/>
                <c:pt idx="153">
                  <c:v>24.732479961978171</c:v>
                </c:pt>
                <c:pt idx="154">
                  <c:v>25.532436920531246</c:v>
                </c:pt>
                <c:pt idx="155">
                  <c:v>26.352034366367334</c:v>
                </c:pt>
                <c:pt idx="156">
                  <c:v>27.191352551610553</c:v>
                </c:pt>
                <c:pt idx="157">
                  <c:v>28.050444657391083</c:v>
                </c:pt>
                <c:pt idx="158">
                  <c:v>28.929335353141926</c:v>
                </c:pt>
                <c:pt idx="159">
                  <c:v>29.828019388969743</c:v>
                </c:pt>
                <c:pt idx="160">
                  <c:v>30.746460231268006</c:v>
                </c:pt>
                <c:pt idx="161">
                  <c:v>31.684588752164558</c:v>
                </c:pt>
                <c:pt idx="162">
                  <c:v>32.642301983749896</c:v>
                </c:pt>
                <c:pt idx="163">
                  <c:v>33.619461948305997</c:v>
                </c:pt>
                <c:pt idx="164">
                  <c:v>34.615894575937894</c:v>
                </c:pt>
                <c:pt idx="165">
                  <c:v>35.631388721090858</c:v>
                </c:pt>
                <c:pt idx="166">
                  <c:v>36.665695289405981</c:v>
                </c:pt>
                <c:pt idx="167">
                  <c:v>37.71852648621666</c:v>
                </c:pt>
                <c:pt idx="168">
                  <c:v>38.789555197710378</c:v>
                </c:pt>
                <c:pt idx="169">
                  <c:v>39.878414515368782</c:v>
                </c:pt>
                <c:pt idx="170">
                  <c:v>40.984697413748258</c:v>
                </c:pt>
                <c:pt idx="171">
                  <c:v>42.107956590971177</c:v>
                </c:pt>
                <c:pt idx="172">
                  <c:v>43.247704480463696</c:v>
                </c:pt>
                <c:pt idx="173">
                  <c:v>44.403413441500298</c:v>
                </c:pt>
                <c:pt idx="174">
                  <c:v>45.574516135003158</c:v>
                </c:pt>
                <c:pt idx="175">
                  <c:v>46.760406089800952</c:v>
                </c:pt>
                <c:pt idx="176">
                  <c:v>47.960438463186826</c:v>
                </c:pt>
                <c:pt idx="177">
                  <c:v>49.173930998140357</c:v>
                </c:pt>
                <c:pt idx="178">
                  <c:v>50.400165178007036</c:v>
                </c:pt>
                <c:pt idx="179">
                  <c:v>51.638387577778282</c:v>
                </c:pt>
                <c:pt idx="180">
                  <c:v>52.887811409403646</c:v>
                </c:pt>
                <c:pt idx="181">
                  <c:v>54.147618256815882</c:v>
                </c:pt>
                <c:pt idx="182">
                  <c:v>55.4169599945808</c:v>
                </c:pt>
                <c:pt idx="183">
                  <c:v>56.694960882321858</c:v>
                </c:pt>
                <c:pt idx="184">
                  <c:v>57.980719825338504</c:v>
                </c:pt>
                <c:pt idx="185">
                  <c:v>59.273312790162194</c:v>
                </c:pt>
                <c:pt idx="186">
                  <c:v>60.571795362201492</c:v>
                </c:pt>
                <c:pt idx="187">
                  <c:v>61.875205431139186</c:v>
                </c:pt>
                <c:pt idx="188">
                  <c:v>63.182565988386912</c:v>
                </c:pt>
                <c:pt idx="189">
                  <c:v>64.492888019695243</c:v>
                </c:pt>
                <c:pt idx="190">
                  <c:v>65.805173474980776</c:v>
                </c:pt>
                <c:pt idx="191">
                  <c:v>67.118418296583442</c:v>
                </c:pt>
                <c:pt idx="192">
                  <c:v>68.431615486520187</c:v>
                </c:pt>
                <c:pt idx="193">
                  <c:v>69.743758192868341</c:v>
                </c:pt>
                <c:pt idx="194">
                  <c:v>70.561278192333674</c:v>
                </c:pt>
                <c:pt idx="195">
                  <c:v>71.38363731515922</c:v>
                </c:pt>
                <c:pt idx="196">
                  <c:v>72.204691425084363</c:v>
                </c:pt>
                <c:pt idx="197">
                  <c:v>73.02419560943359</c:v>
                </c:pt>
                <c:pt idx="198">
                  <c:v>73.841906816012482</c:v>
                </c:pt>
                <c:pt idx="199">
                  <c:v>74.657584138263985</c:v>
                </c:pt>
                <c:pt idx="200">
                  <c:v>75.470989094993655</c:v>
                </c:pt>
                <c:pt idx="201">
                  <c:v>76.281885903985085</c:v>
                </c:pt>
                <c:pt idx="202">
                  <c:v>77.090041748853295</c:v>
                </c:pt>
                <c:pt idx="203">
                  <c:v>77.895227038512374</c:v>
                </c:pt>
                <c:pt idx="204">
                  <c:v>78.697215658665343</c:v>
                </c:pt>
                <c:pt idx="205">
                  <c:v>79.495785214757348</c:v>
                </c:pt>
                <c:pt idx="206">
                  <c:v>80.290717265869048</c:v>
                </c:pt>
                <c:pt idx="207">
                  <c:v>81.08179754906385</c:v>
                </c:pt>
                <c:pt idx="208">
                  <c:v>81.868816193742347</c:v>
                </c:pt>
                <c:pt idx="209">
                  <c:v>82.651567925596225</c:v>
                </c:pt>
                <c:pt idx="210">
                  <c:v>83.429852259796235</c:v>
                </c:pt>
                <c:pt idx="211">
                  <c:v>84.203473683090252</c:v>
                </c:pt>
                <c:pt idx="212">
                  <c:v>84.972241824529931</c:v>
                </c:pt>
                <c:pt idx="213">
                  <c:v>85.735971614588095</c:v>
                </c:pt>
                <c:pt idx="214">
                  <c:v>86.494483432471299</c:v>
                </c:pt>
                <c:pt idx="215">
                  <c:v>87.247603241475488</c:v>
                </c:pt>
                <c:pt idx="216">
                  <c:v>87.995162712275146</c:v>
                </c:pt>
                <c:pt idx="217">
                  <c:v>88.736999334078149</c:v>
                </c:pt>
                <c:pt idx="218">
                  <c:v>89.472956513620332</c:v>
                </c:pt>
                <c:pt idx="219">
                  <c:v>90.202883662013406</c:v>
                </c:pt>
                <c:pt idx="220">
                  <c:v>90.926636269499681</c:v>
                </c:pt>
                <c:pt idx="221">
                  <c:v>91.644075968204561</c:v>
                </c:pt>
                <c:pt idx="222">
                  <c:v>92.355070583014211</c:v>
                </c:pt>
                <c:pt idx="223">
                  <c:v>93.059494170740678</c:v>
                </c:pt>
                <c:pt idx="224">
                  <c:v>93.757227047769561</c:v>
                </c:pt>
                <c:pt idx="225">
                  <c:v>94.448155806416878</c:v>
                </c:pt>
                <c:pt idx="226">
                  <c:v>95.132173320250828</c:v>
                </c:pt>
                <c:pt idx="227">
                  <c:v>95.809178738661217</c:v>
                </c:pt>
                <c:pt idx="228">
                  <c:v>96.479077470984919</c:v>
                </c:pt>
                <c:pt idx="229">
                  <c:v>97.141781160518292</c:v>
                </c:pt>
                <c:pt idx="230">
                  <c:v>97.797207648768932</c:v>
                </c:pt>
                <c:pt idx="231">
                  <c:v>98.445280930316997</c:v>
                </c:pt>
                <c:pt idx="232">
                  <c:v>99.085931098673896</c:v>
                </c:pt>
                <c:pt idx="233">
                  <c:v>99.719094283539604</c:v>
                </c:pt>
                <c:pt idx="234">
                  <c:v>100.34471257987254</c:v>
                </c:pt>
                <c:pt idx="235">
                  <c:v>100.96273396919594</c:v>
                </c:pt>
                <c:pt idx="236">
                  <c:v>101.57311223357264</c:v>
                </c:pt>
                <c:pt idx="237">
                  <c:v>102.17580686268624</c:v>
                </c:pt>
                <c:pt idx="238">
                  <c:v>102.77078295447049</c:v>
                </c:pt>
                <c:pt idx="239">
                  <c:v>103.35801110973154</c:v>
                </c:pt>
                <c:pt idx="240">
                  <c:v>103.93746732120709</c:v>
                </c:pt>
                <c:pt idx="241">
                  <c:v>104.50913285750615</c:v>
                </c:pt>
                <c:pt idx="242">
                  <c:v>105.07299414236955</c:v>
                </c:pt>
                <c:pt idx="243">
                  <c:v>105.62904262968731</c:v>
                </c:pt>
                <c:pt idx="244">
                  <c:v>106.17727467470242</c:v>
                </c:pt>
                <c:pt idx="245">
                  <c:v>106.71769140182451</c:v>
                </c:pt>
                <c:pt idx="246">
                  <c:v>107.25029856946712</c:v>
                </c:pt>
                <c:pt idx="247">
                  <c:v>107.77510643231402</c:v>
                </c:pt>
                <c:pt idx="248">
                  <c:v>108.29212960140832</c:v>
                </c:pt>
                <c:pt idx="249">
                  <c:v>108.8013869024477</c:v>
                </c:pt>
                <c:pt idx="250">
                  <c:v>109.30290123265591</c:v>
                </c:pt>
                <c:pt idx="251">
                  <c:v>109.79669941658857</c:v>
                </c:pt>
                <c:pt idx="252">
                  <c:v>110.28281206121682</c:v>
                </c:pt>
                <c:pt idx="253">
                  <c:v>110.7612734106191</c:v>
                </c:pt>
                <c:pt idx="254">
                  <c:v>111.23212120059637</c:v>
                </c:pt>
                <c:pt idx="255">
                  <c:v>111.69539651351127</c:v>
                </c:pt>
                <c:pt idx="256">
                  <c:v>112.15114363363678</c:v>
                </c:pt>
                <c:pt idx="257">
                  <c:v>112.5994099032845</c:v>
                </c:pt>
                <c:pt idx="258">
                  <c:v>113.0402455799675</c:v>
                </c:pt>
                <c:pt idx="259">
                  <c:v>113.47370369483717</c:v>
                </c:pt>
                <c:pt idx="260">
                  <c:v>113.89983991261813</c:v>
                </c:pt>
                <c:pt idx="261">
                  <c:v>114.31871239325029</c:v>
                </c:pt>
                <c:pt idx="262">
                  <c:v>114.73038165543186</c:v>
                </c:pt>
                <c:pt idx="263">
                  <c:v>115.13491044224199</c:v>
                </c:pt>
                <c:pt idx="264">
                  <c:v>115.53236358900826</c:v>
                </c:pt>
                <c:pt idx="265">
                  <c:v>115.9228078935682</c:v>
                </c:pt>
                <c:pt idx="266">
                  <c:v>116.30631198906181</c:v>
                </c:pt>
                <c:pt idx="267">
                  <c:v>116.68294621937743</c:v>
                </c:pt>
                <c:pt idx="268">
                  <c:v>117.05278251736054</c:v>
                </c:pt>
                <c:pt idx="269">
                  <c:v>117.41589428588232</c:v>
                </c:pt>
              </c:numCache>
            </c:numRef>
          </c:yVal>
          <c:smooth val="1"/>
          <c:extLst>
            <c:ext xmlns:c16="http://schemas.microsoft.com/office/drawing/2014/chart" uri="{C3380CC4-5D6E-409C-BE32-E72D297353CC}">
              <c16:uniqueId val="{00000003-F9A3-B648-BB1F-1242AC7E0D52}"/>
            </c:ext>
          </c:extLst>
        </c:ser>
        <c:dLbls>
          <c:showLegendKey val="0"/>
          <c:showVal val="0"/>
          <c:showCatName val="0"/>
          <c:showSerName val="0"/>
          <c:showPercent val="0"/>
          <c:showBubbleSize val="0"/>
        </c:dLbls>
        <c:axId val="134988160"/>
        <c:axId val="134989696"/>
      </c:scatterChart>
      <c:valAx>
        <c:axId val="134988160"/>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4989696"/>
        <c:crossesAt val="-1000"/>
        <c:crossBetween val="midCat"/>
        <c:majorUnit val="60"/>
        <c:minorUnit val="10"/>
      </c:valAx>
      <c:valAx>
        <c:axId val="134989696"/>
        <c:scaling>
          <c:orientation val="minMax"/>
          <c:max val="200"/>
          <c:min val="0"/>
        </c:scaling>
        <c:delete val="0"/>
        <c:axPos val="r"/>
        <c:title>
          <c:tx>
            <c:rich>
              <a:bodyPr rot="-5400000" vert="horz"/>
              <a:lstStyle/>
              <a:p>
                <a:pPr>
                  <a:defRPr sz="1200" b="0">
                    <a:solidFill>
                      <a:srgbClr val="333399"/>
                    </a:solidFill>
                  </a:defRPr>
                </a:pPr>
                <a:r>
                  <a:rPr lang="en-US" sz="1200" b="0">
                    <a:solidFill>
                      <a:srgbClr val="333399"/>
                    </a:solidFill>
                  </a:rPr>
                  <a:t>Cumulatrive production, Gt</a:t>
                </a:r>
              </a:p>
            </c:rich>
          </c:tx>
          <c:layout>
            <c:manualLayout>
              <c:xMode val="edge"/>
              <c:yMode val="edge"/>
              <c:x val="0.96179653679653765"/>
              <c:y val="0.13136920384951881"/>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4988160"/>
        <c:crosses val="max"/>
        <c:crossBetween val="midCat"/>
        <c:majorUnit val="100"/>
        <c:minorUnit val="5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4615323084614424"/>
          <c:h val="0.77264654418197765"/>
        </c:manualLayout>
      </c:layout>
      <c:scatterChart>
        <c:scatterStyle val="smoothMarker"/>
        <c:varyColors val="0"/>
        <c:ser>
          <c:idx val="3"/>
          <c:order val="0"/>
          <c:tx>
            <c:strRef>
              <c:f>Europe!$H$17</c:f>
              <c:strCache>
                <c:ptCount val="1"/>
                <c:pt idx="0">
                  <c:v>Q historical</c:v>
                </c:pt>
              </c:strCache>
            </c:strRef>
          </c:tx>
          <c:spPr>
            <a:ln w="15875">
              <a:solidFill>
                <a:srgbClr val="333399"/>
              </a:solidFill>
            </a:ln>
          </c:spPr>
          <c:marker>
            <c:symbol val="none"/>
          </c:marker>
          <c:xVal>
            <c:numRef>
              <c:f>Europe!$D$19:$D$294</c:f>
              <c:numCache>
                <c:formatCode>General</c:formatCode>
                <c:ptCount val="276"/>
                <c:pt idx="0">
                  <c:v>1799</c:v>
                </c:pt>
                <c:pt idx="1">
                  <c:v>1800</c:v>
                </c:pt>
                <c:pt idx="2">
                  <c:v>1801</c:v>
                </c:pt>
                <c:pt idx="3">
                  <c:v>1802</c:v>
                </c:pt>
                <c:pt idx="4">
                  <c:v>1803</c:v>
                </c:pt>
                <c:pt idx="5">
                  <c:v>1804</c:v>
                </c:pt>
                <c:pt idx="6">
                  <c:v>1805</c:v>
                </c:pt>
                <c:pt idx="7">
                  <c:v>1806</c:v>
                </c:pt>
                <c:pt idx="8">
                  <c:v>1807</c:v>
                </c:pt>
                <c:pt idx="9">
                  <c:v>1808</c:v>
                </c:pt>
                <c:pt idx="10">
                  <c:v>1809</c:v>
                </c:pt>
                <c:pt idx="11">
                  <c:v>1810</c:v>
                </c:pt>
                <c:pt idx="12">
                  <c:v>1811</c:v>
                </c:pt>
                <c:pt idx="13">
                  <c:v>1812</c:v>
                </c:pt>
                <c:pt idx="14">
                  <c:v>1813</c:v>
                </c:pt>
                <c:pt idx="15">
                  <c:v>1814</c:v>
                </c:pt>
                <c:pt idx="16">
                  <c:v>1815</c:v>
                </c:pt>
                <c:pt idx="17">
                  <c:v>1816</c:v>
                </c:pt>
                <c:pt idx="18">
                  <c:v>1817</c:v>
                </c:pt>
                <c:pt idx="19">
                  <c:v>1818</c:v>
                </c:pt>
                <c:pt idx="20">
                  <c:v>1819</c:v>
                </c:pt>
                <c:pt idx="21">
                  <c:v>1820</c:v>
                </c:pt>
                <c:pt idx="22">
                  <c:v>1821</c:v>
                </c:pt>
                <c:pt idx="23">
                  <c:v>1822</c:v>
                </c:pt>
                <c:pt idx="24">
                  <c:v>1823</c:v>
                </c:pt>
                <c:pt idx="25">
                  <c:v>1824</c:v>
                </c:pt>
                <c:pt idx="26">
                  <c:v>1825</c:v>
                </c:pt>
                <c:pt idx="27">
                  <c:v>1826</c:v>
                </c:pt>
                <c:pt idx="28">
                  <c:v>1827</c:v>
                </c:pt>
                <c:pt idx="29">
                  <c:v>1828</c:v>
                </c:pt>
                <c:pt idx="30">
                  <c:v>1829</c:v>
                </c:pt>
                <c:pt idx="31">
                  <c:v>1830</c:v>
                </c:pt>
                <c:pt idx="32">
                  <c:v>1831</c:v>
                </c:pt>
                <c:pt idx="33">
                  <c:v>1832</c:v>
                </c:pt>
                <c:pt idx="34">
                  <c:v>1833</c:v>
                </c:pt>
                <c:pt idx="35">
                  <c:v>1834</c:v>
                </c:pt>
                <c:pt idx="36">
                  <c:v>1835</c:v>
                </c:pt>
                <c:pt idx="37">
                  <c:v>1836</c:v>
                </c:pt>
                <c:pt idx="38">
                  <c:v>1837</c:v>
                </c:pt>
                <c:pt idx="39">
                  <c:v>1838</c:v>
                </c:pt>
                <c:pt idx="40">
                  <c:v>1839</c:v>
                </c:pt>
                <c:pt idx="41">
                  <c:v>1840</c:v>
                </c:pt>
                <c:pt idx="42">
                  <c:v>1841</c:v>
                </c:pt>
                <c:pt idx="43">
                  <c:v>1842</c:v>
                </c:pt>
                <c:pt idx="44">
                  <c:v>1843</c:v>
                </c:pt>
                <c:pt idx="45">
                  <c:v>1844</c:v>
                </c:pt>
                <c:pt idx="46">
                  <c:v>1845</c:v>
                </c:pt>
                <c:pt idx="47">
                  <c:v>1846</c:v>
                </c:pt>
                <c:pt idx="48">
                  <c:v>1847</c:v>
                </c:pt>
                <c:pt idx="49">
                  <c:v>1848</c:v>
                </c:pt>
                <c:pt idx="50">
                  <c:v>1849</c:v>
                </c:pt>
                <c:pt idx="51">
                  <c:v>1850</c:v>
                </c:pt>
                <c:pt idx="52">
                  <c:v>1851</c:v>
                </c:pt>
                <c:pt idx="53">
                  <c:v>1852</c:v>
                </c:pt>
                <c:pt idx="54">
                  <c:v>1853</c:v>
                </c:pt>
                <c:pt idx="55">
                  <c:v>1854</c:v>
                </c:pt>
                <c:pt idx="56">
                  <c:v>1855</c:v>
                </c:pt>
                <c:pt idx="57">
                  <c:v>1856</c:v>
                </c:pt>
                <c:pt idx="58">
                  <c:v>1857</c:v>
                </c:pt>
                <c:pt idx="59">
                  <c:v>1858</c:v>
                </c:pt>
                <c:pt idx="60">
                  <c:v>1859</c:v>
                </c:pt>
                <c:pt idx="61">
                  <c:v>1860</c:v>
                </c:pt>
                <c:pt idx="62">
                  <c:v>1861</c:v>
                </c:pt>
                <c:pt idx="63">
                  <c:v>1862</c:v>
                </c:pt>
                <c:pt idx="64">
                  <c:v>1863</c:v>
                </c:pt>
                <c:pt idx="65">
                  <c:v>1864</c:v>
                </c:pt>
                <c:pt idx="66">
                  <c:v>1865</c:v>
                </c:pt>
                <c:pt idx="67">
                  <c:v>1866</c:v>
                </c:pt>
                <c:pt idx="68">
                  <c:v>1867</c:v>
                </c:pt>
                <c:pt idx="69">
                  <c:v>1868</c:v>
                </c:pt>
                <c:pt idx="70">
                  <c:v>1869</c:v>
                </c:pt>
                <c:pt idx="71">
                  <c:v>1870</c:v>
                </c:pt>
                <c:pt idx="72">
                  <c:v>1871</c:v>
                </c:pt>
                <c:pt idx="73">
                  <c:v>1872</c:v>
                </c:pt>
                <c:pt idx="74">
                  <c:v>1873</c:v>
                </c:pt>
                <c:pt idx="75">
                  <c:v>1874</c:v>
                </c:pt>
                <c:pt idx="76">
                  <c:v>1875</c:v>
                </c:pt>
                <c:pt idx="77">
                  <c:v>1876</c:v>
                </c:pt>
                <c:pt idx="78">
                  <c:v>1877</c:v>
                </c:pt>
                <c:pt idx="79">
                  <c:v>1878</c:v>
                </c:pt>
                <c:pt idx="80">
                  <c:v>1879</c:v>
                </c:pt>
                <c:pt idx="81">
                  <c:v>1880</c:v>
                </c:pt>
                <c:pt idx="82">
                  <c:v>1881</c:v>
                </c:pt>
                <c:pt idx="83">
                  <c:v>1882</c:v>
                </c:pt>
                <c:pt idx="84">
                  <c:v>1883</c:v>
                </c:pt>
                <c:pt idx="85">
                  <c:v>1884</c:v>
                </c:pt>
                <c:pt idx="86">
                  <c:v>1885</c:v>
                </c:pt>
                <c:pt idx="87">
                  <c:v>1886</c:v>
                </c:pt>
                <c:pt idx="88">
                  <c:v>1887</c:v>
                </c:pt>
                <c:pt idx="89">
                  <c:v>1888</c:v>
                </c:pt>
                <c:pt idx="90">
                  <c:v>1889</c:v>
                </c:pt>
                <c:pt idx="91">
                  <c:v>1890</c:v>
                </c:pt>
                <c:pt idx="92">
                  <c:v>1891</c:v>
                </c:pt>
                <c:pt idx="93">
                  <c:v>1892</c:v>
                </c:pt>
                <c:pt idx="94">
                  <c:v>1893</c:v>
                </c:pt>
                <c:pt idx="95">
                  <c:v>1894</c:v>
                </c:pt>
                <c:pt idx="96">
                  <c:v>1895</c:v>
                </c:pt>
                <c:pt idx="97">
                  <c:v>1896</c:v>
                </c:pt>
                <c:pt idx="98">
                  <c:v>1897</c:v>
                </c:pt>
                <c:pt idx="99">
                  <c:v>1898</c:v>
                </c:pt>
                <c:pt idx="100">
                  <c:v>1899</c:v>
                </c:pt>
                <c:pt idx="101">
                  <c:v>1900</c:v>
                </c:pt>
                <c:pt idx="102">
                  <c:v>1901</c:v>
                </c:pt>
                <c:pt idx="103">
                  <c:v>1902</c:v>
                </c:pt>
                <c:pt idx="104">
                  <c:v>1903</c:v>
                </c:pt>
                <c:pt idx="105">
                  <c:v>1904</c:v>
                </c:pt>
                <c:pt idx="106">
                  <c:v>1905</c:v>
                </c:pt>
                <c:pt idx="107">
                  <c:v>1906</c:v>
                </c:pt>
                <c:pt idx="108">
                  <c:v>1907</c:v>
                </c:pt>
                <c:pt idx="109">
                  <c:v>1908</c:v>
                </c:pt>
                <c:pt idx="110">
                  <c:v>1909</c:v>
                </c:pt>
                <c:pt idx="111">
                  <c:v>1910</c:v>
                </c:pt>
                <c:pt idx="112">
                  <c:v>1911</c:v>
                </c:pt>
                <c:pt idx="113">
                  <c:v>1912</c:v>
                </c:pt>
                <c:pt idx="114">
                  <c:v>1913</c:v>
                </c:pt>
                <c:pt idx="115">
                  <c:v>1914</c:v>
                </c:pt>
                <c:pt idx="116">
                  <c:v>1915</c:v>
                </c:pt>
                <c:pt idx="117">
                  <c:v>1916</c:v>
                </c:pt>
                <c:pt idx="118">
                  <c:v>1917</c:v>
                </c:pt>
                <c:pt idx="119">
                  <c:v>1918</c:v>
                </c:pt>
                <c:pt idx="120">
                  <c:v>1919</c:v>
                </c:pt>
                <c:pt idx="121">
                  <c:v>1920</c:v>
                </c:pt>
                <c:pt idx="122">
                  <c:v>1921</c:v>
                </c:pt>
                <c:pt idx="123">
                  <c:v>1922</c:v>
                </c:pt>
                <c:pt idx="124">
                  <c:v>1923</c:v>
                </c:pt>
                <c:pt idx="125">
                  <c:v>1924</c:v>
                </c:pt>
                <c:pt idx="126">
                  <c:v>1925</c:v>
                </c:pt>
                <c:pt idx="127">
                  <c:v>1926</c:v>
                </c:pt>
                <c:pt idx="128">
                  <c:v>1927</c:v>
                </c:pt>
                <c:pt idx="129">
                  <c:v>1928</c:v>
                </c:pt>
                <c:pt idx="130">
                  <c:v>1929</c:v>
                </c:pt>
                <c:pt idx="131">
                  <c:v>1930</c:v>
                </c:pt>
                <c:pt idx="132">
                  <c:v>1931</c:v>
                </c:pt>
                <c:pt idx="133">
                  <c:v>1932</c:v>
                </c:pt>
                <c:pt idx="134">
                  <c:v>1933</c:v>
                </c:pt>
                <c:pt idx="135">
                  <c:v>1934</c:v>
                </c:pt>
                <c:pt idx="136">
                  <c:v>1935</c:v>
                </c:pt>
                <c:pt idx="137">
                  <c:v>1936</c:v>
                </c:pt>
                <c:pt idx="138">
                  <c:v>1937</c:v>
                </c:pt>
                <c:pt idx="139">
                  <c:v>1938</c:v>
                </c:pt>
                <c:pt idx="140">
                  <c:v>1939</c:v>
                </c:pt>
                <c:pt idx="141">
                  <c:v>1940</c:v>
                </c:pt>
                <c:pt idx="142">
                  <c:v>1941</c:v>
                </c:pt>
                <c:pt idx="143">
                  <c:v>1942</c:v>
                </c:pt>
                <c:pt idx="144">
                  <c:v>1943</c:v>
                </c:pt>
                <c:pt idx="145">
                  <c:v>1944</c:v>
                </c:pt>
                <c:pt idx="146">
                  <c:v>1945</c:v>
                </c:pt>
                <c:pt idx="147">
                  <c:v>1946</c:v>
                </c:pt>
                <c:pt idx="148">
                  <c:v>1947</c:v>
                </c:pt>
                <c:pt idx="149">
                  <c:v>1948</c:v>
                </c:pt>
                <c:pt idx="150">
                  <c:v>1949</c:v>
                </c:pt>
                <c:pt idx="151">
                  <c:v>1950</c:v>
                </c:pt>
                <c:pt idx="152">
                  <c:v>1951</c:v>
                </c:pt>
                <c:pt idx="153">
                  <c:v>1952</c:v>
                </c:pt>
                <c:pt idx="154">
                  <c:v>1953</c:v>
                </c:pt>
                <c:pt idx="155">
                  <c:v>1954</c:v>
                </c:pt>
                <c:pt idx="156">
                  <c:v>1955</c:v>
                </c:pt>
                <c:pt idx="157">
                  <c:v>1956</c:v>
                </c:pt>
                <c:pt idx="158">
                  <c:v>1957</c:v>
                </c:pt>
                <c:pt idx="159">
                  <c:v>1958</c:v>
                </c:pt>
                <c:pt idx="160">
                  <c:v>1959</c:v>
                </c:pt>
                <c:pt idx="161">
                  <c:v>1960</c:v>
                </c:pt>
                <c:pt idx="162">
                  <c:v>1961</c:v>
                </c:pt>
                <c:pt idx="163">
                  <c:v>1962</c:v>
                </c:pt>
                <c:pt idx="164">
                  <c:v>1963</c:v>
                </c:pt>
                <c:pt idx="165">
                  <c:v>1964</c:v>
                </c:pt>
                <c:pt idx="166">
                  <c:v>1965</c:v>
                </c:pt>
                <c:pt idx="167">
                  <c:v>1966</c:v>
                </c:pt>
                <c:pt idx="168">
                  <c:v>1967</c:v>
                </c:pt>
                <c:pt idx="169">
                  <c:v>1968</c:v>
                </c:pt>
                <c:pt idx="170">
                  <c:v>1969</c:v>
                </c:pt>
                <c:pt idx="171">
                  <c:v>1970</c:v>
                </c:pt>
                <c:pt idx="172">
                  <c:v>1971</c:v>
                </c:pt>
                <c:pt idx="173">
                  <c:v>1972</c:v>
                </c:pt>
                <c:pt idx="174">
                  <c:v>1973</c:v>
                </c:pt>
                <c:pt idx="175">
                  <c:v>1974</c:v>
                </c:pt>
                <c:pt idx="176">
                  <c:v>1975</c:v>
                </c:pt>
                <c:pt idx="177">
                  <c:v>1976</c:v>
                </c:pt>
                <c:pt idx="178">
                  <c:v>1977</c:v>
                </c:pt>
                <c:pt idx="179">
                  <c:v>1978</c:v>
                </c:pt>
                <c:pt idx="180">
                  <c:v>1979</c:v>
                </c:pt>
                <c:pt idx="181">
                  <c:v>1980</c:v>
                </c:pt>
                <c:pt idx="182">
                  <c:v>1981</c:v>
                </c:pt>
                <c:pt idx="183">
                  <c:v>1982</c:v>
                </c:pt>
                <c:pt idx="184">
                  <c:v>1983</c:v>
                </c:pt>
                <c:pt idx="185">
                  <c:v>1984</c:v>
                </c:pt>
                <c:pt idx="186">
                  <c:v>1985</c:v>
                </c:pt>
                <c:pt idx="187">
                  <c:v>1986</c:v>
                </c:pt>
                <c:pt idx="188">
                  <c:v>1987</c:v>
                </c:pt>
                <c:pt idx="189">
                  <c:v>1988</c:v>
                </c:pt>
                <c:pt idx="190">
                  <c:v>1989</c:v>
                </c:pt>
                <c:pt idx="191">
                  <c:v>1990</c:v>
                </c:pt>
                <c:pt idx="192">
                  <c:v>1991</c:v>
                </c:pt>
                <c:pt idx="193">
                  <c:v>1992</c:v>
                </c:pt>
                <c:pt idx="194">
                  <c:v>1993</c:v>
                </c:pt>
                <c:pt idx="195">
                  <c:v>1994</c:v>
                </c:pt>
                <c:pt idx="196">
                  <c:v>1995</c:v>
                </c:pt>
                <c:pt idx="197">
                  <c:v>1996</c:v>
                </c:pt>
                <c:pt idx="198">
                  <c:v>1997</c:v>
                </c:pt>
                <c:pt idx="199">
                  <c:v>1998</c:v>
                </c:pt>
                <c:pt idx="200">
                  <c:v>1999</c:v>
                </c:pt>
                <c:pt idx="201">
                  <c:v>2000</c:v>
                </c:pt>
                <c:pt idx="202">
                  <c:v>2001</c:v>
                </c:pt>
                <c:pt idx="203">
                  <c:v>2002</c:v>
                </c:pt>
                <c:pt idx="204">
                  <c:v>2003</c:v>
                </c:pt>
                <c:pt idx="205">
                  <c:v>2004</c:v>
                </c:pt>
                <c:pt idx="206">
                  <c:v>2005</c:v>
                </c:pt>
                <c:pt idx="207">
                  <c:v>2006</c:v>
                </c:pt>
                <c:pt idx="208">
                  <c:v>2007</c:v>
                </c:pt>
                <c:pt idx="209">
                  <c:v>2008</c:v>
                </c:pt>
                <c:pt idx="210">
                  <c:v>2009</c:v>
                </c:pt>
                <c:pt idx="211">
                  <c:v>2010</c:v>
                </c:pt>
                <c:pt idx="212">
                  <c:v>2011</c:v>
                </c:pt>
                <c:pt idx="213">
                  <c:v>2012</c:v>
                </c:pt>
                <c:pt idx="214">
                  <c:v>2013</c:v>
                </c:pt>
                <c:pt idx="215">
                  <c:v>2014</c:v>
                </c:pt>
                <c:pt idx="216">
                  <c:v>2015</c:v>
                </c:pt>
                <c:pt idx="217">
                  <c:v>2016</c:v>
                </c:pt>
                <c:pt idx="218">
                  <c:v>2017</c:v>
                </c:pt>
                <c:pt idx="219">
                  <c:v>2018</c:v>
                </c:pt>
                <c:pt idx="220">
                  <c:v>2019</c:v>
                </c:pt>
                <c:pt idx="221">
                  <c:v>2020</c:v>
                </c:pt>
                <c:pt idx="222">
                  <c:v>2021</c:v>
                </c:pt>
                <c:pt idx="223">
                  <c:v>2022</c:v>
                </c:pt>
                <c:pt idx="224">
                  <c:v>2023</c:v>
                </c:pt>
                <c:pt idx="225">
                  <c:v>2024</c:v>
                </c:pt>
                <c:pt idx="226">
                  <c:v>2025</c:v>
                </c:pt>
                <c:pt idx="227">
                  <c:v>2026</c:v>
                </c:pt>
                <c:pt idx="228">
                  <c:v>2027</c:v>
                </c:pt>
                <c:pt idx="229">
                  <c:v>2028</c:v>
                </c:pt>
                <c:pt idx="230">
                  <c:v>2029</c:v>
                </c:pt>
                <c:pt idx="231">
                  <c:v>2030</c:v>
                </c:pt>
                <c:pt idx="232">
                  <c:v>2031</c:v>
                </c:pt>
                <c:pt idx="233">
                  <c:v>2032</c:v>
                </c:pt>
                <c:pt idx="234">
                  <c:v>2033</c:v>
                </c:pt>
                <c:pt idx="235">
                  <c:v>2034</c:v>
                </c:pt>
                <c:pt idx="236">
                  <c:v>2035</c:v>
                </c:pt>
                <c:pt idx="237">
                  <c:v>2036</c:v>
                </c:pt>
                <c:pt idx="238">
                  <c:v>2037</c:v>
                </c:pt>
                <c:pt idx="239">
                  <c:v>2038</c:v>
                </c:pt>
                <c:pt idx="240">
                  <c:v>2039</c:v>
                </c:pt>
                <c:pt idx="241">
                  <c:v>2040</c:v>
                </c:pt>
                <c:pt idx="242">
                  <c:v>2041</c:v>
                </c:pt>
                <c:pt idx="243">
                  <c:v>2042</c:v>
                </c:pt>
                <c:pt idx="244">
                  <c:v>2043</c:v>
                </c:pt>
                <c:pt idx="245">
                  <c:v>2044</c:v>
                </c:pt>
                <c:pt idx="246">
                  <c:v>2045</c:v>
                </c:pt>
                <c:pt idx="247">
                  <c:v>2046</c:v>
                </c:pt>
                <c:pt idx="248">
                  <c:v>2047</c:v>
                </c:pt>
                <c:pt idx="249">
                  <c:v>2048</c:v>
                </c:pt>
                <c:pt idx="250">
                  <c:v>2049</c:v>
                </c:pt>
                <c:pt idx="251">
                  <c:v>2050</c:v>
                </c:pt>
                <c:pt idx="252">
                  <c:v>2051</c:v>
                </c:pt>
                <c:pt idx="253">
                  <c:v>2052</c:v>
                </c:pt>
                <c:pt idx="254">
                  <c:v>2053</c:v>
                </c:pt>
                <c:pt idx="255">
                  <c:v>2054</c:v>
                </c:pt>
                <c:pt idx="256">
                  <c:v>2055</c:v>
                </c:pt>
                <c:pt idx="257">
                  <c:v>2056</c:v>
                </c:pt>
                <c:pt idx="258">
                  <c:v>2057</c:v>
                </c:pt>
                <c:pt idx="259">
                  <c:v>2058</c:v>
                </c:pt>
                <c:pt idx="260">
                  <c:v>2059</c:v>
                </c:pt>
                <c:pt idx="261">
                  <c:v>2060</c:v>
                </c:pt>
                <c:pt idx="262">
                  <c:v>2061</c:v>
                </c:pt>
                <c:pt idx="263">
                  <c:v>2062</c:v>
                </c:pt>
                <c:pt idx="264">
                  <c:v>2063</c:v>
                </c:pt>
                <c:pt idx="265">
                  <c:v>2064</c:v>
                </c:pt>
                <c:pt idx="266">
                  <c:v>2065</c:v>
                </c:pt>
                <c:pt idx="267">
                  <c:v>2066</c:v>
                </c:pt>
                <c:pt idx="268">
                  <c:v>2067</c:v>
                </c:pt>
                <c:pt idx="269">
                  <c:v>2068</c:v>
                </c:pt>
                <c:pt idx="270">
                  <c:v>2069</c:v>
                </c:pt>
                <c:pt idx="271">
                  <c:v>2070</c:v>
                </c:pt>
                <c:pt idx="272">
                  <c:v>2071</c:v>
                </c:pt>
                <c:pt idx="273">
                  <c:v>2072</c:v>
                </c:pt>
                <c:pt idx="274">
                  <c:v>2073</c:v>
                </c:pt>
                <c:pt idx="275">
                  <c:v>2074</c:v>
                </c:pt>
              </c:numCache>
            </c:numRef>
          </c:xVal>
          <c:yVal>
            <c:numRef>
              <c:f>Europe!$H$19:$H$294</c:f>
              <c:numCache>
                <c:formatCode>General</c:formatCode>
                <c:ptCount val="276"/>
                <c:pt idx="168" formatCode="#,##0.0">
                  <c:v>1059.2541290073243</c:v>
                </c:pt>
                <c:pt idx="169" formatCode="#,##0.0">
                  <c:v>326.94909112664629</c:v>
                </c:pt>
                <c:pt idx="170" formatCode="#,##0.0">
                  <c:v>219.6959932995498</c:v>
                </c:pt>
                <c:pt idx="171" formatCode="#,##0.0">
                  <c:v>179.54249629328919</c:v>
                </c:pt>
                <c:pt idx="172" formatCode="#,##0.0">
                  <c:v>159.23239136044572</c:v>
                </c:pt>
                <c:pt idx="173" formatCode="#,##0.0">
                  <c:v>146.04657132759954</c:v>
                </c:pt>
                <c:pt idx="174" formatCode="#,##0.0">
                  <c:v>137.13981735644208</c:v>
                </c:pt>
                <c:pt idx="175" formatCode="#,##0.0">
                  <c:v>130.56773808549076</c:v>
                </c:pt>
                <c:pt idx="176" formatCode="#,##0.0">
                  <c:v>126.3994475066113</c:v>
                </c:pt>
                <c:pt idx="177" formatCode="#,##0.0">
                  <c:v>124.02382542233919</c:v>
                </c:pt>
                <c:pt idx="178" formatCode="#,##0.0">
                  <c:v>122.61071121628734</c:v>
                </c:pt>
                <c:pt idx="179" formatCode="#,##0.0">
                  <c:v>121.78675035425589</c:v>
                </c:pt>
                <c:pt idx="180" formatCode="#,##0.0">
                  <c:v>121.68986897891769</c:v>
                </c:pt>
                <c:pt idx="181" formatCode="#,##0.0">
                  <c:v>121.8414250323757</c:v>
                </c:pt>
                <c:pt idx="182" formatCode="#,##0.0">
                  <c:v>122.0734286592556</c:v>
                </c:pt>
                <c:pt idx="183" formatCode="#,##0.0">
                  <c:v>122.82713541766012</c:v>
                </c:pt>
                <c:pt idx="184" formatCode="#,##0.0">
                  <c:v>123.79291741844696</c:v>
                </c:pt>
                <c:pt idx="185" formatCode="#,##0.0">
                  <c:v>125.23066123285011</c:v>
                </c:pt>
                <c:pt idx="186" formatCode="#,##0.0">
                  <c:v>127.20150298932086</c:v>
                </c:pt>
                <c:pt idx="187" formatCode="#,##0.0">
                  <c:v>129.52656591498433</c:v>
                </c:pt>
                <c:pt idx="188" formatCode="#,##0.0">
                  <c:v>131.98480688585579</c:v>
                </c:pt>
                <c:pt idx="189" formatCode="#,##0.0">
                  <c:v>134.32035061085816</c:v>
                </c:pt>
                <c:pt idx="190" formatCode="#,##0.0">
                  <c:v>136.29443980250196</c:v>
                </c:pt>
                <c:pt idx="191" formatCode="#,##0.0">
                  <c:v>137.05653661079916</c:v>
                </c:pt>
                <c:pt idx="192" formatCode="#,##0.0">
                  <c:v>136.26779046475806</c:v>
                </c:pt>
                <c:pt idx="193" formatCode="#,##0.0">
                  <c:v>134.38960222878472</c:v>
                </c:pt>
                <c:pt idx="194" formatCode="#,##0.0">
                  <c:v>134.38960222878472</c:v>
                </c:pt>
                <c:pt idx="195" formatCode="#,##0.0">
                  <c:v>134.38957684826767</c:v>
                </c:pt>
                <c:pt idx="196" formatCode="#,##0.0">
                  <c:v>134.38943507762897</c:v>
                </c:pt>
                <c:pt idx="197" formatCode="#,##0.0">
                  <c:v>134.38902733812071</c:v>
                </c:pt>
                <c:pt idx="198" formatCode="#,##0.0">
                  <c:v>134.38809560723769</c:v>
                </c:pt>
                <c:pt idx="199" formatCode="#,##0.0">
                  <c:v>134.3859176945947</c:v>
                </c:pt>
                <c:pt idx="200" formatCode="#,##0.0">
                  <c:v>134.38222927945733</c:v>
                </c:pt>
                <c:pt idx="201" formatCode="#,##0.0">
                  <c:v>134.37564747752319</c:v>
                </c:pt>
                <c:pt idx="202" formatCode="#,##0.0">
                  <c:v>134.36556005860487</c:v>
                </c:pt>
                <c:pt idx="203" formatCode="#,##0.0">
                  <c:v>134.35158610640511</c:v>
                </c:pt>
                <c:pt idx="204" formatCode="#,##0.0">
                  <c:v>134.3334334573633</c:v>
                </c:pt>
                <c:pt idx="205" formatCode="#,##0.0">
                  <c:v>134.31074685392107</c:v>
                </c:pt>
                <c:pt idx="206" formatCode="#,##0.0">
                  <c:v>134.28260270352388</c:v>
                </c:pt>
                <c:pt idx="207" formatCode="#,##0.0">
                  <c:v>134.2492800306716</c:v>
                </c:pt>
                <c:pt idx="208" formatCode="#,##0.0">
                  <c:v>134.21521966137556</c:v>
                </c:pt>
                <c:pt idx="209" formatCode="#,##0.0">
                  <c:v>134.1761524594944</c:v>
                </c:pt>
                <c:pt idx="210" formatCode="#,##0.0">
                  <c:v>134.11265502862332</c:v>
                </c:pt>
              </c:numCache>
            </c:numRef>
          </c:yVal>
          <c:smooth val="1"/>
          <c:extLst>
            <c:ext xmlns:c16="http://schemas.microsoft.com/office/drawing/2014/chart" uri="{C3380CC4-5D6E-409C-BE32-E72D297353CC}">
              <c16:uniqueId val="{00000000-6ECC-F241-AAF6-E7BD569D6088}"/>
            </c:ext>
          </c:extLst>
        </c:ser>
        <c:ser>
          <c:idx val="4"/>
          <c:order val="1"/>
          <c:tx>
            <c:strRef>
              <c:f>Europe!$O$17</c:f>
              <c:strCache>
                <c:ptCount val="1"/>
                <c:pt idx="0">
                  <c:v>Q reserves with reference year 2 years before published year</c:v>
                </c:pt>
              </c:strCache>
            </c:strRef>
          </c:tx>
          <c:spPr>
            <a:ln>
              <a:noFill/>
            </a:ln>
          </c:spPr>
          <c:marker>
            <c:symbol val="circle"/>
            <c:size val="6"/>
            <c:spPr>
              <a:noFill/>
              <a:ln>
                <a:solidFill>
                  <a:srgbClr val="333399"/>
                </a:solidFill>
              </a:ln>
            </c:spPr>
          </c:marker>
          <c:xVal>
            <c:numRef>
              <c:f>Europe!$N$18:$N$84</c:f>
              <c:numCache>
                <c:formatCode>General</c:formatCode>
                <c:ptCount val="67"/>
                <c:pt idx="0">
                  <c:v>1913</c:v>
                </c:pt>
                <c:pt idx="1">
                  <c:v>1936</c:v>
                </c:pt>
                <c:pt idx="2">
                  <c:v>1937</c:v>
                </c:pt>
                <c:pt idx="3">
                  <c:v>1938</c:v>
                </c:pt>
                <c:pt idx="4">
                  <c:v>1948</c:v>
                </c:pt>
                <c:pt idx="5">
                  <c:v>1950</c:v>
                </c:pt>
                <c:pt idx="6">
                  <c:v>1952</c:v>
                </c:pt>
                <c:pt idx="7">
                  <c:v>1954</c:v>
                </c:pt>
                <c:pt idx="8">
                  <c:v>1956</c:v>
                </c:pt>
                <c:pt idx="9">
                  <c:v>1960</c:v>
                </c:pt>
                <c:pt idx="10">
                  <c:v>1962</c:v>
                </c:pt>
                <c:pt idx="11">
                  <c:v>1968</c:v>
                </c:pt>
                <c:pt idx="12" formatCode="0">
                  <c:v>1974</c:v>
                </c:pt>
                <c:pt idx="13" formatCode="0">
                  <c:v>1980</c:v>
                </c:pt>
                <c:pt idx="14">
                  <c:v>1986</c:v>
                </c:pt>
                <c:pt idx="15">
                  <c:v>1989</c:v>
                </c:pt>
                <c:pt idx="16">
                  <c:v>1992</c:v>
                </c:pt>
                <c:pt idx="17">
                  <c:v>1995</c:v>
                </c:pt>
                <c:pt idx="18">
                  <c:v>1998</c:v>
                </c:pt>
                <c:pt idx="19">
                  <c:v>2001</c:v>
                </c:pt>
                <c:pt idx="20">
                  <c:v>2004</c:v>
                </c:pt>
                <c:pt idx="21">
                  <c:v>2007</c:v>
                </c:pt>
                <c:pt idx="22">
                  <c:v>2010</c:v>
                </c:pt>
              </c:numCache>
            </c:numRef>
          </c:xVal>
          <c:yVal>
            <c:numRef>
              <c:f>Europe!$O$18:$O$84</c:f>
              <c:numCache>
                <c:formatCode>0</c:formatCode>
                <c:ptCount val="67"/>
                <c:pt idx="0">
                  <c:v>568.19678580999994</c:v>
                </c:pt>
                <c:pt idx="1">
                  <c:v>508.28055017666668</c:v>
                </c:pt>
                <c:pt idx="2">
                  <c:v>561.80560517666675</c:v>
                </c:pt>
                <c:pt idx="3">
                  <c:v>555.9466031766666</c:v>
                </c:pt>
                <c:pt idx="4">
                  <c:v>548.89074017666655</c:v>
                </c:pt>
                <c:pt idx="5">
                  <c:v>549.60867317666668</c:v>
                </c:pt>
                <c:pt idx="6">
                  <c:v>496.99709467666662</c:v>
                </c:pt>
                <c:pt idx="7">
                  <c:v>500.9208456766666</c:v>
                </c:pt>
                <c:pt idx="8">
                  <c:v>502.64764167666664</c:v>
                </c:pt>
                <c:pt idx="9">
                  <c:v>511.42772617666662</c:v>
                </c:pt>
                <c:pt idx="10">
                  <c:v>433.8327481766666</c:v>
                </c:pt>
                <c:pt idx="11">
                  <c:v>232.5297881766667</c:v>
                </c:pt>
                <c:pt idx="12">
                  <c:v>224.60661217666669</c:v>
                </c:pt>
                <c:pt idx="13">
                  <c:v>267.29656517666666</c:v>
                </c:pt>
                <c:pt idx="14">
                  <c:v>278.45276001966039</c:v>
                </c:pt>
                <c:pt idx="15">
                  <c:v>281.24820492725826</c:v>
                </c:pt>
                <c:pt idx="16">
                  <c:v>289.71467406353759</c:v>
                </c:pt>
                <c:pt idx="17">
                  <c:v>279.84949210115133</c:v>
                </c:pt>
                <c:pt idx="18">
                  <c:v>227.60925121729707</c:v>
                </c:pt>
                <c:pt idx="19">
                  <c:v>233.36344459560812</c:v>
                </c:pt>
                <c:pt idx="20">
                  <c:v>171.47893984781552</c:v>
                </c:pt>
                <c:pt idx="21">
                  <c:v>160.07000992891921</c:v>
                </c:pt>
                <c:pt idx="22">
                  <c:v>192.65292993787369</c:v>
                </c:pt>
              </c:numCache>
            </c:numRef>
          </c:yVal>
          <c:smooth val="1"/>
          <c:extLst>
            <c:ext xmlns:c16="http://schemas.microsoft.com/office/drawing/2014/chart" uri="{C3380CC4-5D6E-409C-BE32-E72D297353CC}">
              <c16:uniqueId val="{00000001-6ECC-F241-AAF6-E7BD569D6088}"/>
            </c:ext>
          </c:extLst>
        </c:ser>
        <c:dLbls>
          <c:showLegendKey val="0"/>
          <c:showVal val="0"/>
          <c:showCatName val="0"/>
          <c:showSerName val="0"/>
          <c:showPercent val="0"/>
          <c:showBubbleSize val="0"/>
        </c:dLbls>
        <c:axId val="135133056"/>
        <c:axId val="135294976"/>
      </c:scatterChart>
      <c:valAx>
        <c:axId val="135133056"/>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5294976"/>
        <c:crossesAt val="-1000"/>
        <c:crossBetween val="midCat"/>
        <c:majorUnit val="60"/>
        <c:minorUnit val="10"/>
      </c:valAx>
      <c:valAx>
        <c:axId val="135294976"/>
        <c:scaling>
          <c:orientation val="minMax"/>
          <c:max val="600"/>
          <c:min val="0"/>
        </c:scaling>
        <c:delete val="0"/>
        <c:axPos val="r"/>
        <c:title>
          <c:tx>
            <c:rich>
              <a:bodyPr rot="-5400000" vert="horz"/>
              <a:lstStyle/>
              <a:p>
                <a:pPr>
                  <a:defRPr sz="1200" b="0">
                    <a:solidFill>
                      <a:srgbClr val="333399"/>
                    </a:solidFill>
                  </a:defRPr>
                </a:pPr>
                <a:r>
                  <a:rPr lang="en-US" sz="1200" b="0">
                    <a:solidFill>
                      <a:srgbClr val="333399"/>
                    </a:solidFill>
                  </a:rPr>
                  <a:t>Long-term production, Gt</a:t>
                </a:r>
              </a:p>
            </c:rich>
          </c:tx>
          <c:layout>
            <c:manualLayout>
              <c:xMode val="edge"/>
              <c:yMode val="edge"/>
              <c:x val="0.96179660875723849"/>
              <c:y val="0.1406284631087780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5133056"/>
        <c:crosses val="max"/>
        <c:crossBetween val="midCat"/>
        <c:majorUnit val="300"/>
        <c:minorUnit val="10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778487916283264"/>
          <c:h val="0.77264654418197765"/>
        </c:manualLayout>
      </c:layout>
      <c:scatterChart>
        <c:scatterStyle val="smoothMarker"/>
        <c:varyColors val="0"/>
        <c:ser>
          <c:idx val="0"/>
          <c:order val="0"/>
          <c:tx>
            <c:strRef>
              <c:f>Russia!$G$17</c:f>
              <c:strCache>
                <c:ptCount val="1"/>
                <c:pt idx="0">
                  <c:v>probit</c:v>
                </c:pt>
              </c:strCache>
            </c:strRef>
          </c:tx>
          <c:spPr>
            <a:ln w="15875">
              <a:solidFill>
                <a:srgbClr val="008000"/>
              </a:solidFill>
            </a:ln>
          </c:spPr>
          <c:marker>
            <c:symbol val="none"/>
          </c:marker>
          <c:xVal>
            <c:numRef>
              <c:f>Russia!$D$141:$D$200</c:f>
              <c:numCache>
                <c:formatCode>General</c:formatCode>
                <c:ptCount val="60"/>
                <c:pt idx="0">
                  <c:v>1977</c:v>
                </c:pt>
                <c:pt idx="1">
                  <c:v>1978</c:v>
                </c:pt>
                <c:pt idx="2">
                  <c:v>1979</c:v>
                </c:pt>
                <c:pt idx="3">
                  <c:v>1980</c:v>
                </c:pt>
                <c:pt idx="4">
                  <c:v>1981</c:v>
                </c:pt>
                <c:pt idx="5">
                  <c:v>1982</c:v>
                </c:pt>
                <c:pt idx="6">
                  <c:v>1983</c:v>
                </c:pt>
                <c:pt idx="7">
                  <c:v>1984</c:v>
                </c:pt>
                <c:pt idx="8">
                  <c:v>1985</c:v>
                </c:pt>
                <c:pt idx="9">
                  <c:v>1986</c:v>
                </c:pt>
                <c:pt idx="10">
                  <c:v>1987</c:v>
                </c:pt>
                <c:pt idx="11">
                  <c:v>1988</c:v>
                </c:pt>
                <c:pt idx="12">
                  <c:v>1989</c:v>
                </c:pt>
                <c:pt idx="13">
                  <c:v>1990</c:v>
                </c:pt>
                <c:pt idx="14">
                  <c:v>1991</c:v>
                </c:pt>
                <c:pt idx="15">
                  <c:v>1992</c:v>
                </c:pt>
                <c:pt idx="16">
                  <c:v>1993</c:v>
                </c:pt>
                <c:pt idx="17">
                  <c:v>1994</c:v>
                </c:pt>
                <c:pt idx="18">
                  <c:v>1995</c:v>
                </c:pt>
                <c:pt idx="19">
                  <c:v>1996</c:v>
                </c:pt>
                <c:pt idx="20">
                  <c:v>1997</c:v>
                </c:pt>
                <c:pt idx="21">
                  <c:v>1998</c:v>
                </c:pt>
                <c:pt idx="22">
                  <c:v>1999</c:v>
                </c:pt>
                <c:pt idx="23">
                  <c:v>2000</c:v>
                </c:pt>
                <c:pt idx="24">
                  <c:v>2001</c:v>
                </c:pt>
                <c:pt idx="25">
                  <c:v>2002</c:v>
                </c:pt>
                <c:pt idx="26">
                  <c:v>2003</c:v>
                </c:pt>
                <c:pt idx="27">
                  <c:v>2004</c:v>
                </c:pt>
                <c:pt idx="28">
                  <c:v>2005</c:v>
                </c:pt>
                <c:pt idx="29">
                  <c:v>2006</c:v>
                </c:pt>
                <c:pt idx="30">
                  <c:v>2007</c:v>
                </c:pt>
                <c:pt idx="31">
                  <c:v>2008</c:v>
                </c:pt>
                <c:pt idx="32">
                  <c:v>2009</c:v>
                </c:pt>
                <c:pt idx="33">
                  <c:v>2010</c:v>
                </c:pt>
                <c:pt idx="34">
                  <c:v>2011</c:v>
                </c:pt>
                <c:pt idx="35">
                  <c:v>2012</c:v>
                </c:pt>
                <c:pt idx="36">
                  <c:v>2013</c:v>
                </c:pt>
                <c:pt idx="37">
                  <c:v>2014</c:v>
                </c:pt>
                <c:pt idx="38">
                  <c:v>2015</c:v>
                </c:pt>
                <c:pt idx="39">
                  <c:v>2016</c:v>
                </c:pt>
                <c:pt idx="40">
                  <c:v>2017</c:v>
                </c:pt>
                <c:pt idx="41">
                  <c:v>2018</c:v>
                </c:pt>
                <c:pt idx="42">
                  <c:v>2019</c:v>
                </c:pt>
                <c:pt idx="43">
                  <c:v>2020</c:v>
                </c:pt>
                <c:pt idx="44">
                  <c:v>2021</c:v>
                </c:pt>
                <c:pt idx="45">
                  <c:v>2022</c:v>
                </c:pt>
                <c:pt idx="46">
                  <c:v>2023</c:v>
                </c:pt>
                <c:pt idx="47">
                  <c:v>2024</c:v>
                </c:pt>
                <c:pt idx="48">
                  <c:v>2025</c:v>
                </c:pt>
                <c:pt idx="49">
                  <c:v>2026</c:v>
                </c:pt>
                <c:pt idx="50">
                  <c:v>2027</c:v>
                </c:pt>
                <c:pt idx="51">
                  <c:v>2028</c:v>
                </c:pt>
                <c:pt idx="52">
                  <c:v>2029</c:v>
                </c:pt>
                <c:pt idx="53">
                  <c:v>2030</c:v>
                </c:pt>
                <c:pt idx="54">
                  <c:v>2031</c:v>
                </c:pt>
                <c:pt idx="55">
                  <c:v>2032</c:v>
                </c:pt>
                <c:pt idx="56">
                  <c:v>2033</c:v>
                </c:pt>
                <c:pt idx="57">
                  <c:v>2034</c:v>
                </c:pt>
                <c:pt idx="58">
                  <c:v>2035</c:v>
                </c:pt>
                <c:pt idx="59">
                  <c:v>2036</c:v>
                </c:pt>
              </c:numCache>
            </c:numRef>
          </c:xVal>
          <c:yVal>
            <c:numRef>
              <c:f>Russia!$G$141:$G$200</c:f>
              <c:numCache>
                <c:formatCode>0.00</c:formatCode>
                <c:ptCount val="60"/>
                <c:pt idx="0">
                  <c:v>-0.8739193389368296</c:v>
                </c:pt>
                <c:pt idx="1">
                  <c:v>-0.84283275598592</c:v>
                </c:pt>
                <c:pt idx="2">
                  <c:v>-0.81242500829081354</c:v>
                </c:pt>
                <c:pt idx="3">
                  <c:v>-0.78238032139730607</c:v>
                </c:pt>
                <c:pt idx="4">
                  <c:v>-0.75338280695931226</c:v>
                </c:pt>
                <c:pt idx="5">
                  <c:v>-0.72427529392444945</c:v>
                </c:pt>
                <c:pt idx="6">
                  <c:v>-0.69568028799894188</c:v>
                </c:pt>
                <c:pt idx="7">
                  <c:v>-0.66776089388128257</c:v>
                </c:pt>
                <c:pt idx="8">
                  <c:v>-0.63944842472739194</c:v>
                </c:pt>
                <c:pt idx="9">
                  <c:v>-0.61067542829546873</c:v>
                </c:pt>
                <c:pt idx="10">
                  <c:v>-0.58196664467824832</c:v>
                </c:pt>
                <c:pt idx="11">
                  <c:v>-0.55318422679329238</c:v>
                </c:pt>
                <c:pt idx="12">
                  <c:v>-0.52576582560382057</c:v>
                </c:pt>
                <c:pt idx="13">
                  <c:v>-0.49985835157544511</c:v>
                </c:pt>
                <c:pt idx="14">
                  <c:v>-0.47626459096118945</c:v>
                </c:pt>
                <c:pt idx="15">
                  <c:v>-0.45417839012895667</c:v>
                </c:pt>
                <c:pt idx="16">
                  <c:v>-0.43447388560712152</c:v>
                </c:pt>
                <c:pt idx="17">
                  <c:v>-0.41681504893086152</c:v>
                </c:pt>
                <c:pt idx="18">
                  <c:v>-0.40070780102473325</c:v>
                </c:pt>
                <c:pt idx="19">
                  <c:v>-0.38539126380222316</c:v>
                </c:pt>
                <c:pt idx="20">
                  <c:v>-0.37082873148445317</c:v>
                </c:pt>
                <c:pt idx="21">
                  <c:v>-0.35710476888094783</c:v>
                </c:pt>
                <c:pt idx="22">
                  <c:v>-0.3430695830602436</c:v>
                </c:pt>
                <c:pt idx="23">
                  <c:v>-0.3280129287269487</c:v>
                </c:pt>
                <c:pt idx="24">
                  <c:v>-0.31235079679393601</c:v>
                </c:pt>
                <c:pt idx="25">
                  <c:v>-0.29756645729685799</c:v>
                </c:pt>
                <c:pt idx="26">
                  <c:v>-0.28156327042861912</c:v>
                </c:pt>
                <c:pt idx="27">
                  <c:v>-0.2652128575884124</c:v>
                </c:pt>
                <c:pt idx="28">
                  <c:v>-0.24812138382954285</c:v>
                </c:pt>
                <c:pt idx="29">
                  <c:v>-0.23024247598010153</c:v>
                </c:pt>
                <c:pt idx="30">
                  <c:v>-0.21229861081183332</c:v>
                </c:pt>
                <c:pt idx="31">
                  <c:v>-0.19329783347059923</c:v>
                </c:pt>
                <c:pt idx="32">
                  <c:v>-0.17592286475757765</c:v>
                </c:pt>
              </c:numCache>
            </c:numRef>
          </c:yVal>
          <c:smooth val="1"/>
          <c:extLst>
            <c:ext xmlns:c16="http://schemas.microsoft.com/office/drawing/2014/chart" uri="{C3380CC4-5D6E-409C-BE32-E72D297353CC}">
              <c16:uniqueId val="{00000000-6716-E940-9CC1-40F694E9203E}"/>
            </c:ext>
          </c:extLst>
        </c:ser>
        <c:ser>
          <c:idx val="5"/>
          <c:order val="1"/>
          <c:tx>
            <c:v>early probit</c:v>
          </c:tx>
          <c:spPr>
            <a:ln w="15875">
              <a:solidFill>
                <a:srgbClr val="008000"/>
              </a:solidFill>
              <a:prstDash val="lgDash"/>
            </a:ln>
          </c:spPr>
          <c:marker>
            <c:symbol val="none"/>
          </c:marker>
          <c:xVal>
            <c:numRef>
              <c:f>Russia!$D$19:$D$140</c:f>
              <c:numCache>
                <c:formatCode>General</c:formatCode>
                <c:ptCount val="12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numCache>
            </c:numRef>
          </c:xVal>
          <c:yVal>
            <c:numRef>
              <c:f>Russia!$G$19:$G$140</c:f>
              <c:numCache>
                <c:formatCode>0.00</c:formatCode>
                <c:ptCount val="122"/>
                <c:pt idx="0">
                  <c:v>-4.7077597817321752</c:v>
                </c:pt>
                <c:pt idx="1">
                  <c:v>-4.5592111309969203</c:v>
                </c:pt>
                <c:pt idx="2">
                  <c:v>-4.4617569768819756</c:v>
                </c:pt>
                <c:pt idx="3">
                  <c:v>-4.3670581510407569</c:v>
                </c:pt>
                <c:pt idx="4">
                  <c:v>-4.2852007791638176</c:v>
                </c:pt>
                <c:pt idx="5">
                  <c:v>-4.220454816486952</c:v>
                </c:pt>
                <c:pt idx="6">
                  <c:v>-4.1658313109815639</c:v>
                </c:pt>
                <c:pt idx="7">
                  <c:v>-4.1189638449612627</c:v>
                </c:pt>
                <c:pt idx="8">
                  <c:v>-4.0760645919644993</c:v>
                </c:pt>
                <c:pt idx="9">
                  <c:v>-4.035309418880149</c:v>
                </c:pt>
                <c:pt idx="10">
                  <c:v>-4.0028888822464026</c:v>
                </c:pt>
                <c:pt idx="11">
                  <c:v>-3.9776578158689913</c:v>
                </c:pt>
                <c:pt idx="12">
                  <c:v>-3.9462740100468161</c:v>
                </c:pt>
                <c:pt idx="13">
                  <c:v>-3.9182121901521443</c:v>
                </c:pt>
                <c:pt idx="14">
                  <c:v>-3.8874588602286209</c:v>
                </c:pt>
                <c:pt idx="15">
                  <c:v>-3.8570996691639046</c:v>
                </c:pt>
                <c:pt idx="16">
                  <c:v>-3.8410091125965495</c:v>
                </c:pt>
                <c:pt idx="17">
                  <c:v>-3.8140207162286885</c:v>
                </c:pt>
                <c:pt idx="18">
                  <c:v>-3.7842050313809517</c:v>
                </c:pt>
                <c:pt idx="19">
                  <c:v>-3.7519495732207595</c:v>
                </c:pt>
                <c:pt idx="20">
                  <c:v>-3.7187010061366652</c:v>
                </c:pt>
                <c:pt idx="21">
                  <c:v>-3.6879961423648773</c:v>
                </c:pt>
                <c:pt idx="22">
                  <c:v>-3.6630631836485206</c:v>
                </c:pt>
                <c:pt idx="23">
                  <c:v>-3.6226544912590368</c:v>
                </c:pt>
                <c:pt idx="24">
                  <c:v>-3.5843442635691241</c:v>
                </c:pt>
                <c:pt idx="25">
                  <c:v>-3.5434689453610408</c:v>
                </c:pt>
                <c:pt idx="26">
                  <c:v>-3.506803564566912</c:v>
                </c:pt>
                <c:pt idx="27">
                  <c:v>-3.4726433985541738</c:v>
                </c:pt>
                <c:pt idx="28">
                  <c:v>-3.4409300734476513</c:v>
                </c:pt>
                <c:pt idx="29">
                  <c:v>-3.4103385675493665</c:v>
                </c:pt>
                <c:pt idx="30">
                  <c:v>-3.3809659871989917</c:v>
                </c:pt>
                <c:pt idx="31">
                  <c:v>-3.3536981903984153</c:v>
                </c:pt>
                <c:pt idx="32">
                  <c:v>-3.3247510398194113</c:v>
                </c:pt>
                <c:pt idx="33">
                  <c:v>-3.2976436683275017</c:v>
                </c:pt>
                <c:pt idx="34">
                  <c:v>-3.2750018695168719</c:v>
                </c:pt>
                <c:pt idx="35">
                  <c:v>-3.2513979985543386</c:v>
                </c:pt>
                <c:pt idx="36">
                  <c:v>-3.2294915393720265</c:v>
                </c:pt>
                <c:pt idx="37">
                  <c:v>-3.2065609873660921</c:v>
                </c:pt>
                <c:pt idx="38">
                  <c:v>-3.1828877477390884</c:v>
                </c:pt>
                <c:pt idx="39">
                  <c:v>-3.1600067143386621</c:v>
                </c:pt>
                <c:pt idx="40">
                  <c:v>-3.1383928950878017</c:v>
                </c:pt>
                <c:pt idx="41">
                  <c:v>-3.1166291439219309</c:v>
                </c:pt>
                <c:pt idx="42">
                  <c:v>-3.0984044384500753</c:v>
                </c:pt>
                <c:pt idx="43">
                  <c:v>-3.0770221109132363</c:v>
                </c:pt>
                <c:pt idx="44">
                  <c:v>-3.0561924150626258</c:v>
                </c:pt>
                <c:pt idx="45">
                  <c:v>-3.0357810719536338</c:v>
                </c:pt>
                <c:pt idx="46">
                  <c:v>-3.0146998193409615</c:v>
                </c:pt>
                <c:pt idx="47">
                  <c:v>-2.9946074519431218</c:v>
                </c:pt>
                <c:pt idx="48">
                  <c:v>-2.9732994436888203</c:v>
                </c:pt>
                <c:pt idx="49">
                  <c:v>-2.9531022152628235</c:v>
                </c:pt>
                <c:pt idx="50">
                  <c:v>-2.93607657897013</c:v>
                </c:pt>
                <c:pt idx="51">
                  <c:v>-2.9153309403746035</c:v>
                </c:pt>
                <c:pt idx="52">
                  <c:v>-2.8949338174657697</c:v>
                </c:pt>
                <c:pt idx="53">
                  <c:v>-2.8752390283284677</c:v>
                </c:pt>
                <c:pt idx="54">
                  <c:v>-2.8558427745808075</c:v>
                </c:pt>
                <c:pt idx="55">
                  <c:v>-2.8373818998161955</c:v>
                </c:pt>
                <c:pt idx="56">
                  <c:v>-2.8192137208621904</c:v>
                </c:pt>
                <c:pt idx="57">
                  <c:v>-2.7965427010981756</c:v>
                </c:pt>
                <c:pt idx="58">
                  <c:v>-2.7693762998462237</c:v>
                </c:pt>
                <c:pt idx="59">
                  <c:v>-2.7550135816105819</c:v>
                </c:pt>
                <c:pt idx="60">
                  <c:v>-2.7465328265056654</c:v>
                </c:pt>
                <c:pt idx="61">
                  <c:v>-2.736759911522896</c:v>
                </c:pt>
                <c:pt idx="62">
                  <c:v>-2.7260847775065025</c:v>
                </c:pt>
                <c:pt idx="63">
                  <c:v>-2.7192472556761329</c:v>
                </c:pt>
                <c:pt idx="64">
                  <c:v>-2.7129648858557092</c:v>
                </c:pt>
                <c:pt idx="65">
                  <c:v>-2.7061643863081728</c:v>
                </c:pt>
                <c:pt idx="66">
                  <c:v>-2.6996922211839891</c:v>
                </c:pt>
                <c:pt idx="67">
                  <c:v>-2.6932114660098407</c:v>
                </c:pt>
                <c:pt idx="68">
                  <c:v>-2.6860982340490378</c:v>
                </c:pt>
                <c:pt idx="69">
                  <c:v>-2.6796812685256084</c:v>
                </c:pt>
                <c:pt idx="70">
                  <c:v>-2.6732128051502682</c:v>
                </c:pt>
                <c:pt idx="71">
                  <c:v>-2.6639636923853089</c:v>
                </c:pt>
                <c:pt idx="72">
                  <c:v>-2.6528438756359316</c:v>
                </c:pt>
                <c:pt idx="73">
                  <c:v>-2.6381268634034281</c:v>
                </c:pt>
                <c:pt idx="74">
                  <c:v>-2.6199603116282697</c:v>
                </c:pt>
                <c:pt idx="75">
                  <c:v>-2.5989814919525673</c:v>
                </c:pt>
                <c:pt idx="76">
                  <c:v>-2.5735994612625746</c:v>
                </c:pt>
                <c:pt idx="77">
                  <c:v>-2.5469827883499625</c:v>
                </c:pt>
                <c:pt idx="78">
                  <c:v>-2.5154435783494953</c:v>
                </c:pt>
                <c:pt idx="79">
                  <c:v>-2.4785201397348029</c:v>
                </c:pt>
                <c:pt idx="80">
                  <c:v>-2.4376683157498262</c:v>
                </c:pt>
                <c:pt idx="81">
                  <c:v>-2.3936717902441633</c:v>
                </c:pt>
                <c:pt idx="82">
                  <c:v>-2.3532971961822233</c:v>
                </c:pt>
                <c:pt idx="83">
                  <c:v>-2.3144433853000992</c:v>
                </c:pt>
                <c:pt idx="84">
                  <c:v>-2.2722840868250698</c:v>
                </c:pt>
                <c:pt idx="85">
                  <c:v>-2.2296441523214794</c:v>
                </c:pt>
                <c:pt idx="86">
                  <c:v>-2.1858282044536503</c:v>
                </c:pt>
                <c:pt idx="87">
                  <c:v>-2.1534780755950118</c:v>
                </c:pt>
                <c:pt idx="88">
                  <c:v>-2.1170437000117261</c:v>
                </c:pt>
                <c:pt idx="89">
                  <c:v>-2.0781793916192379</c:v>
                </c:pt>
                <c:pt idx="90">
                  <c:v>-2.0397916281728876</c:v>
                </c:pt>
                <c:pt idx="91">
                  <c:v>-2.002368351521612</c:v>
                </c:pt>
                <c:pt idx="92">
                  <c:v>-1.9644484542035483</c:v>
                </c:pt>
                <c:pt idx="93">
                  <c:v>-1.9250724701714013</c:v>
                </c:pt>
                <c:pt idx="94">
                  <c:v>-1.8840913479625765</c:v>
                </c:pt>
                <c:pt idx="95">
                  <c:v>-1.8433807219976268</c:v>
                </c:pt>
                <c:pt idx="96">
                  <c:v>-1.802779092037198</c:v>
                </c:pt>
                <c:pt idx="97">
                  <c:v>-1.7629130595126141</c:v>
                </c:pt>
                <c:pt idx="98">
                  <c:v>-1.7234498817529984</c:v>
                </c:pt>
                <c:pt idx="99">
                  <c:v>-1.6835787609088675</c:v>
                </c:pt>
                <c:pt idx="100">
                  <c:v>-1.642660642298037</c:v>
                </c:pt>
                <c:pt idx="101">
                  <c:v>-1.6004484907153098</c:v>
                </c:pt>
                <c:pt idx="102">
                  <c:v>-1.5577201262144635</c:v>
                </c:pt>
                <c:pt idx="103">
                  <c:v>-1.5147688748750614</c:v>
                </c:pt>
                <c:pt idx="104">
                  <c:v>-1.4742352563550292</c:v>
                </c:pt>
                <c:pt idx="105">
                  <c:v>-1.4356631180309951</c:v>
                </c:pt>
                <c:pt idx="106">
                  <c:v>-1.3992575873877322</c:v>
                </c:pt>
                <c:pt idx="107">
                  <c:v>-1.363756002556437</c:v>
                </c:pt>
                <c:pt idx="108">
                  <c:v>-1.3289088927944981</c:v>
                </c:pt>
                <c:pt idx="109">
                  <c:v>-1.2943168953076807</c:v>
                </c:pt>
                <c:pt idx="110">
                  <c:v>-1.2594389493104983</c:v>
                </c:pt>
                <c:pt idx="111">
                  <c:v>-1.225406376571323</c:v>
                </c:pt>
                <c:pt idx="112">
                  <c:v>-1.1920364542348971</c:v>
                </c:pt>
                <c:pt idx="113">
                  <c:v>-1.1598483602855638</c:v>
                </c:pt>
                <c:pt idx="114">
                  <c:v>-1.1280986815746803</c:v>
                </c:pt>
                <c:pt idx="115">
                  <c:v>-1.0962923407376988</c:v>
                </c:pt>
                <c:pt idx="116">
                  <c:v>-1.0643804684891931</c:v>
                </c:pt>
                <c:pt idx="117">
                  <c:v>-1.032448287551796</c:v>
                </c:pt>
                <c:pt idx="118">
                  <c:v>-1.0006336776781706</c:v>
                </c:pt>
                <c:pt idx="119">
                  <c:v>-0.96890027493168929</c:v>
                </c:pt>
                <c:pt idx="120">
                  <c:v>-0.93691807742694544</c:v>
                </c:pt>
                <c:pt idx="121">
                  <c:v>-0.9053476386404542</c:v>
                </c:pt>
              </c:numCache>
            </c:numRef>
          </c:yVal>
          <c:smooth val="1"/>
          <c:extLst>
            <c:ext xmlns:c16="http://schemas.microsoft.com/office/drawing/2014/chart" uri="{C3380CC4-5D6E-409C-BE32-E72D297353CC}">
              <c16:uniqueId val="{00000001-6716-E940-9CC1-40F694E9203E}"/>
            </c:ext>
          </c:extLst>
        </c:ser>
        <c:ser>
          <c:idx val="1"/>
          <c:order val="2"/>
          <c:tx>
            <c:strRef>
              <c:f>Russia!$G$3</c:f>
              <c:strCache>
                <c:ptCount val="1"/>
                <c:pt idx="0">
                  <c:v>trend early</c:v>
                </c:pt>
              </c:strCache>
            </c:strRef>
          </c:tx>
          <c:spPr>
            <a:ln w="15875">
              <a:solidFill>
                <a:srgbClr val="808080"/>
              </a:solidFill>
              <a:prstDash val="dash"/>
            </a:ln>
          </c:spPr>
          <c:marker>
            <c:symbol val="none"/>
          </c:marker>
          <c:xVal>
            <c:numRef>
              <c:f>Russia!$E$3:$E$4</c:f>
              <c:numCache>
                <c:formatCode>0</c:formatCode>
                <c:ptCount val="2"/>
                <c:pt idx="0" formatCode="General">
                  <c:v>1977</c:v>
                </c:pt>
                <c:pt idx="1">
                  <c:v>1991</c:v>
                </c:pt>
              </c:numCache>
            </c:numRef>
          </c:xVal>
          <c:yVal>
            <c:numRef>
              <c:f>Russia!$F$3:$F$4</c:f>
              <c:numCache>
                <c:formatCode>0.00</c:formatCode>
                <c:ptCount val="2"/>
                <c:pt idx="0">
                  <c:v>-0.86905109755521726</c:v>
                </c:pt>
                <c:pt idx="1">
                  <c:v>-0.46959159577941501</c:v>
                </c:pt>
              </c:numCache>
            </c:numRef>
          </c:yVal>
          <c:smooth val="1"/>
          <c:extLst>
            <c:ext xmlns:c16="http://schemas.microsoft.com/office/drawing/2014/chart" uri="{C3380CC4-5D6E-409C-BE32-E72D297353CC}">
              <c16:uniqueId val="{00000002-6716-E940-9CC1-40F694E9203E}"/>
            </c:ext>
          </c:extLst>
        </c:ser>
        <c:ser>
          <c:idx val="2"/>
          <c:order val="3"/>
          <c:tx>
            <c:strRef>
              <c:f>Russia!$G$6</c:f>
              <c:strCache>
                <c:ptCount val="1"/>
                <c:pt idx="0">
                  <c:v>trend current</c:v>
                </c:pt>
              </c:strCache>
            </c:strRef>
          </c:tx>
          <c:spPr>
            <a:ln w="15875">
              <a:solidFill>
                <a:srgbClr val="808080"/>
              </a:solidFill>
              <a:prstDash val="dash"/>
            </a:ln>
          </c:spPr>
          <c:marker>
            <c:symbol val="none"/>
          </c:marker>
          <c:xVal>
            <c:numRef>
              <c:f>Russia!$E$6:$E$7</c:f>
              <c:numCache>
                <c:formatCode>0</c:formatCode>
                <c:ptCount val="2"/>
                <c:pt idx="0">
                  <c:v>1992</c:v>
                </c:pt>
                <c:pt idx="1">
                  <c:v>2009</c:v>
                </c:pt>
              </c:numCache>
            </c:numRef>
          </c:xVal>
          <c:yVal>
            <c:numRef>
              <c:f>Russia!$F$6:$F$7</c:f>
              <c:numCache>
                <c:formatCode>0.00</c:formatCode>
                <c:ptCount val="2"/>
                <c:pt idx="0">
                  <c:v>-0.45203312329885609</c:v>
                </c:pt>
                <c:pt idx="1">
                  <c:v>-0.18209564921270158</c:v>
                </c:pt>
              </c:numCache>
            </c:numRef>
          </c:yVal>
          <c:smooth val="1"/>
          <c:extLst>
            <c:ext xmlns:c16="http://schemas.microsoft.com/office/drawing/2014/chart" uri="{C3380CC4-5D6E-409C-BE32-E72D297353CC}">
              <c16:uniqueId val="{00000003-6716-E940-9CC1-40F694E9203E}"/>
            </c:ext>
          </c:extLst>
        </c:ser>
        <c:dLbls>
          <c:showLegendKey val="0"/>
          <c:showVal val="0"/>
          <c:showCatName val="0"/>
          <c:showSerName val="0"/>
          <c:showPercent val="0"/>
          <c:showBubbleSize val="0"/>
        </c:dLbls>
        <c:axId val="135302144"/>
        <c:axId val="135159808"/>
      </c:scatterChart>
      <c:valAx>
        <c:axId val="135302144"/>
        <c:scaling>
          <c:orientation val="minMax"/>
          <c:max val="2010"/>
          <c:min val="1960"/>
        </c:scaling>
        <c:delete val="0"/>
        <c:axPos val="b"/>
        <c:numFmt formatCode="General" sourceLinked="1"/>
        <c:majorTickMark val="in"/>
        <c:minorTickMark val="in"/>
        <c:tickLblPos val="nextTo"/>
        <c:spPr>
          <a:ln>
            <a:solidFill>
              <a:srgbClr val="333399"/>
            </a:solidFill>
          </a:ln>
        </c:spPr>
        <c:crossAx val="135159808"/>
        <c:crossesAt val="-100"/>
        <c:crossBetween val="midCat"/>
        <c:majorUnit val="20"/>
        <c:minorUnit val="10"/>
      </c:valAx>
      <c:valAx>
        <c:axId val="135159808"/>
        <c:scaling>
          <c:orientation val="minMax"/>
          <c:max val="0"/>
          <c:min val="-2"/>
        </c:scaling>
        <c:delete val="0"/>
        <c:axPos val="r"/>
        <c:title>
          <c:tx>
            <c:rich>
              <a:bodyPr rot="-5400000" vert="horz"/>
              <a:lstStyle/>
              <a:p>
                <a:pPr>
                  <a:defRPr b="0"/>
                </a:pPr>
                <a:r>
                  <a:rPr lang="en-US" b="0"/>
                  <a:t>probit(</a:t>
                </a:r>
                <a:r>
                  <a:rPr lang="en-US" b="0" i="1"/>
                  <a:t>q</a:t>
                </a:r>
                <a:r>
                  <a:rPr lang="en-US" b="0"/>
                  <a:t>/</a:t>
                </a:r>
                <a:r>
                  <a:rPr lang="en-US" b="0" i="1"/>
                  <a:t>Q</a:t>
                </a:r>
                <a:r>
                  <a:rPr lang="en-US" b="0"/>
                  <a:t>)</a:t>
                </a:r>
              </a:p>
            </c:rich>
          </c:tx>
          <c:layout>
            <c:manualLayout>
              <c:xMode val="edge"/>
              <c:yMode val="edge"/>
              <c:x val="0.96179653679653765"/>
              <c:y val="0.28854512977544688"/>
            </c:manualLayout>
          </c:layout>
          <c:overlay val="0"/>
        </c:title>
        <c:numFmt formatCode="0" sourceLinked="0"/>
        <c:majorTickMark val="in"/>
        <c:minorTickMark val="in"/>
        <c:tickLblPos val="nextTo"/>
        <c:spPr>
          <a:ln>
            <a:solidFill>
              <a:srgbClr val="333399"/>
            </a:solidFill>
          </a:ln>
        </c:spPr>
        <c:crossAx val="135302144"/>
        <c:crosses val="max"/>
        <c:crossBetween val="midCat"/>
        <c:majorUnit val="1"/>
        <c:minorUnit val="0.5"/>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415836656781539"/>
          <c:h val="0.77264654418197765"/>
        </c:manualLayout>
      </c:layout>
      <c:scatterChart>
        <c:scatterStyle val="smoothMarker"/>
        <c:varyColors val="0"/>
        <c:ser>
          <c:idx val="0"/>
          <c:order val="0"/>
          <c:tx>
            <c:strRef>
              <c:f>Russia!$E$17</c:f>
              <c:strCache>
                <c:ptCount val="1"/>
                <c:pt idx="0">
                  <c:v>p Mt</c:v>
                </c:pt>
              </c:strCache>
            </c:strRef>
          </c:tx>
          <c:spPr>
            <a:ln w="15875">
              <a:solidFill>
                <a:srgbClr val="008000"/>
              </a:solidFill>
            </a:ln>
          </c:spPr>
          <c:marker>
            <c:symbol val="none"/>
          </c:marker>
          <c:xVal>
            <c:numRef>
              <c:f>Russia!$D$19:$D$290</c:f>
              <c:numCache>
                <c:formatCode>General</c:formatCode>
                <c:ptCount val="27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pt idx="162">
                  <c:v>2017</c:v>
                </c:pt>
                <c:pt idx="163">
                  <c:v>2018</c:v>
                </c:pt>
                <c:pt idx="164">
                  <c:v>2019</c:v>
                </c:pt>
                <c:pt idx="165">
                  <c:v>2020</c:v>
                </c:pt>
                <c:pt idx="166">
                  <c:v>2021</c:v>
                </c:pt>
                <c:pt idx="167">
                  <c:v>2022</c:v>
                </c:pt>
                <c:pt idx="168">
                  <c:v>2023</c:v>
                </c:pt>
                <c:pt idx="169">
                  <c:v>2024</c:v>
                </c:pt>
                <c:pt idx="170">
                  <c:v>2025</c:v>
                </c:pt>
                <c:pt idx="171">
                  <c:v>2026</c:v>
                </c:pt>
                <c:pt idx="172">
                  <c:v>2027</c:v>
                </c:pt>
                <c:pt idx="173">
                  <c:v>2028</c:v>
                </c:pt>
                <c:pt idx="174">
                  <c:v>2029</c:v>
                </c:pt>
                <c:pt idx="175">
                  <c:v>2030</c:v>
                </c:pt>
                <c:pt idx="176">
                  <c:v>2031</c:v>
                </c:pt>
                <c:pt idx="177">
                  <c:v>2032</c:v>
                </c:pt>
                <c:pt idx="178">
                  <c:v>2033</c:v>
                </c:pt>
                <c:pt idx="179">
                  <c:v>2034</c:v>
                </c:pt>
                <c:pt idx="180">
                  <c:v>2035</c:v>
                </c:pt>
                <c:pt idx="181">
                  <c:v>2036</c:v>
                </c:pt>
                <c:pt idx="182">
                  <c:v>2037</c:v>
                </c:pt>
                <c:pt idx="183">
                  <c:v>2038</c:v>
                </c:pt>
                <c:pt idx="184">
                  <c:v>2039</c:v>
                </c:pt>
                <c:pt idx="185">
                  <c:v>2040</c:v>
                </c:pt>
                <c:pt idx="186">
                  <c:v>2041</c:v>
                </c:pt>
                <c:pt idx="187">
                  <c:v>2042</c:v>
                </c:pt>
                <c:pt idx="188">
                  <c:v>2043</c:v>
                </c:pt>
                <c:pt idx="189">
                  <c:v>2044</c:v>
                </c:pt>
                <c:pt idx="190">
                  <c:v>2045</c:v>
                </c:pt>
                <c:pt idx="191">
                  <c:v>2046</c:v>
                </c:pt>
                <c:pt idx="192">
                  <c:v>2047</c:v>
                </c:pt>
                <c:pt idx="193">
                  <c:v>2048</c:v>
                </c:pt>
                <c:pt idx="194">
                  <c:v>2049</c:v>
                </c:pt>
                <c:pt idx="195">
                  <c:v>2050</c:v>
                </c:pt>
                <c:pt idx="196">
                  <c:v>2051</c:v>
                </c:pt>
                <c:pt idx="197">
                  <c:v>2052</c:v>
                </c:pt>
                <c:pt idx="198">
                  <c:v>2053</c:v>
                </c:pt>
                <c:pt idx="199">
                  <c:v>2054</c:v>
                </c:pt>
                <c:pt idx="200">
                  <c:v>2055</c:v>
                </c:pt>
                <c:pt idx="201">
                  <c:v>2056</c:v>
                </c:pt>
                <c:pt idx="202">
                  <c:v>2057</c:v>
                </c:pt>
                <c:pt idx="203">
                  <c:v>2058</c:v>
                </c:pt>
                <c:pt idx="204">
                  <c:v>2059</c:v>
                </c:pt>
                <c:pt idx="205">
                  <c:v>2060</c:v>
                </c:pt>
                <c:pt idx="206">
                  <c:v>2061</c:v>
                </c:pt>
                <c:pt idx="207">
                  <c:v>2062</c:v>
                </c:pt>
                <c:pt idx="208">
                  <c:v>2063</c:v>
                </c:pt>
                <c:pt idx="209">
                  <c:v>2064</c:v>
                </c:pt>
                <c:pt idx="210">
                  <c:v>2065</c:v>
                </c:pt>
                <c:pt idx="211">
                  <c:v>2066</c:v>
                </c:pt>
                <c:pt idx="212">
                  <c:v>2067</c:v>
                </c:pt>
                <c:pt idx="213">
                  <c:v>2068</c:v>
                </c:pt>
                <c:pt idx="214">
                  <c:v>2069</c:v>
                </c:pt>
                <c:pt idx="215">
                  <c:v>2070</c:v>
                </c:pt>
                <c:pt idx="216">
                  <c:v>2071</c:v>
                </c:pt>
                <c:pt idx="217">
                  <c:v>2072</c:v>
                </c:pt>
                <c:pt idx="218">
                  <c:v>2073</c:v>
                </c:pt>
                <c:pt idx="219">
                  <c:v>2074</c:v>
                </c:pt>
                <c:pt idx="220">
                  <c:v>2075</c:v>
                </c:pt>
                <c:pt idx="221">
                  <c:v>2076</c:v>
                </c:pt>
                <c:pt idx="222">
                  <c:v>2077</c:v>
                </c:pt>
                <c:pt idx="223">
                  <c:v>2078</c:v>
                </c:pt>
                <c:pt idx="224">
                  <c:v>2079</c:v>
                </c:pt>
                <c:pt idx="225">
                  <c:v>2080</c:v>
                </c:pt>
                <c:pt idx="226">
                  <c:v>2081</c:v>
                </c:pt>
                <c:pt idx="227">
                  <c:v>2082</c:v>
                </c:pt>
                <c:pt idx="228">
                  <c:v>2083</c:v>
                </c:pt>
                <c:pt idx="229">
                  <c:v>2084</c:v>
                </c:pt>
                <c:pt idx="230">
                  <c:v>2085</c:v>
                </c:pt>
                <c:pt idx="231">
                  <c:v>2086</c:v>
                </c:pt>
                <c:pt idx="232">
                  <c:v>2087</c:v>
                </c:pt>
                <c:pt idx="233">
                  <c:v>2088</c:v>
                </c:pt>
                <c:pt idx="234">
                  <c:v>2089</c:v>
                </c:pt>
                <c:pt idx="235">
                  <c:v>2090</c:v>
                </c:pt>
                <c:pt idx="236">
                  <c:v>2091</c:v>
                </c:pt>
                <c:pt idx="237">
                  <c:v>2092</c:v>
                </c:pt>
                <c:pt idx="238">
                  <c:v>2093</c:v>
                </c:pt>
                <c:pt idx="239">
                  <c:v>2094</c:v>
                </c:pt>
                <c:pt idx="240">
                  <c:v>2095</c:v>
                </c:pt>
                <c:pt idx="241">
                  <c:v>2096</c:v>
                </c:pt>
                <c:pt idx="242">
                  <c:v>2097</c:v>
                </c:pt>
                <c:pt idx="243">
                  <c:v>2098</c:v>
                </c:pt>
                <c:pt idx="244">
                  <c:v>2099</c:v>
                </c:pt>
                <c:pt idx="245">
                  <c:v>2100</c:v>
                </c:pt>
                <c:pt idx="246">
                  <c:v>2101</c:v>
                </c:pt>
                <c:pt idx="247">
                  <c:v>2102</c:v>
                </c:pt>
                <c:pt idx="248">
                  <c:v>2103</c:v>
                </c:pt>
                <c:pt idx="249">
                  <c:v>2104</c:v>
                </c:pt>
                <c:pt idx="250">
                  <c:v>2105</c:v>
                </c:pt>
                <c:pt idx="251">
                  <c:v>2106</c:v>
                </c:pt>
                <c:pt idx="252">
                  <c:v>2107</c:v>
                </c:pt>
                <c:pt idx="253">
                  <c:v>2108</c:v>
                </c:pt>
                <c:pt idx="254">
                  <c:v>2109</c:v>
                </c:pt>
                <c:pt idx="255">
                  <c:v>2110</c:v>
                </c:pt>
                <c:pt idx="256">
                  <c:v>2111</c:v>
                </c:pt>
                <c:pt idx="257">
                  <c:v>2112</c:v>
                </c:pt>
                <c:pt idx="258">
                  <c:v>2113</c:v>
                </c:pt>
                <c:pt idx="259">
                  <c:v>2114</c:v>
                </c:pt>
                <c:pt idx="260">
                  <c:v>2115</c:v>
                </c:pt>
                <c:pt idx="261">
                  <c:v>2116</c:v>
                </c:pt>
                <c:pt idx="262">
                  <c:v>2117</c:v>
                </c:pt>
                <c:pt idx="263">
                  <c:v>2118</c:v>
                </c:pt>
                <c:pt idx="264">
                  <c:v>2119</c:v>
                </c:pt>
                <c:pt idx="265">
                  <c:v>2120</c:v>
                </c:pt>
                <c:pt idx="266">
                  <c:v>2121</c:v>
                </c:pt>
                <c:pt idx="267">
                  <c:v>2122</c:v>
                </c:pt>
                <c:pt idx="268">
                  <c:v>2123</c:v>
                </c:pt>
                <c:pt idx="269">
                  <c:v>2124</c:v>
                </c:pt>
                <c:pt idx="270">
                  <c:v>2125</c:v>
                </c:pt>
                <c:pt idx="271">
                  <c:v>2126</c:v>
                </c:pt>
              </c:numCache>
            </c:numRef>
          </c:xVal>
          <c:yVal>
            <c:numRef>
              <c:f>Russia!$E$19:$E$290</c:f>
              <c:numCache>
                <c:formatCode>0.0_);\(0.0\)</c:formatCode>
                <c:ptCount val="272"/>
                <c:pt idx="0">
                  <c:v>8.1799999999999998E-2</c:v>
                </c:pt>
                <c:pt idx="1">
                  <c:v>8.5900000000000004E-2</c:v>
                </c:pt>
                <c:pt idx="2">
                  <c:v>9.7800000000000012E-2</c:v>
                </c:pt>
                <c:pt idx="3">
                  <c:v>0.14579999999999999</c:v>
                </c:pt>
                <c:pt idx="4">
                  <c:v>0.185</c:v>
                </c:pt>
                <c:pt idx="5">
                  <c:v>0.19999999999999998</c:v>
                </c:pt>
                <c:pt idx="6">
                  <c:v>0.21689999999999998</c:v>
                </c:pt>
                <c:pt idx="7">
                  <c:v>0.2298</c:v>
                </c:pt>
                <c:pt idx="8">
                  <c:v>0.253</c:v>
                </c:pt>
                <c:pt idx="9">
                  <c:v>0.28500000000000003</c:v>
                </c:pt>
                <c:pt idx="10">
                  <c:v>0.26269999999999999</c:v>
                </c:pt>
                <c:pt idx="11">
                  <c:v>0.22939999999999997</c:v>
                </c:pt>
                <c:pt idx="12">
                  <c:v>0.31940000000000002</c:v>
                </c:pt>
                <c:pt idx="13">
                  <c:v>0.3211</c:v>
                </c:pt>
                <c:pt idx="14">
                  <c:v>0.39490000000000003</c:v>
                </c:pt>
                <c:pt idx="15">
                  <c:v>0.439</c:v>
                </c:pt>
                <c:pt idx="16">
                  <c:v>0.25440000000000007</c:v>
                </c:pt>
                <c:pt idx="17">
                  <c:v>0.46360000000000012</c:v>
                </c:pt>
                <c:pt idx="18">
                  <c:v>0.57079999999999986</c:v>
                </c:pt>
                <c:pt idx="19">
                  <c:v>0.69450000000000012</c:v>
                </c:pt>
                <c:pt idx="20">
                  <c:v>0.8095</c:v>
                </c:pt>
                <c:pt idx="21">
                  <c:v>0.84189999999999998</c:v>
                </c:pt>
                <c:pt idx="22">
                  <c:v>0.75740000000000007</c:v>
                </c:pt>
                <c:pt idx="23">
                  <c:v>1.3840999999999999</c:v>
                </c:pt>
                <c:pt idx="24">
                  <c:v>1.5132000000000003</c:v>
                </c:pt>
                <c:pt idx="25">
                  <c:v>1.8608</c:v>
                </c:pt>
                <c:pt idx="26">
                  <c:v>1.9146999999999998</c:v>
                </c:pt>
                <c:pt idx="27">
                  <c:v>2.0196000000000001</c:v>
                </c:pt>
                <c:pt idx="28">
                  <c:v>2.1020000000000003</c:v>
                </c:pt>
                <c:pt idx="29">
                  <c:v>2.2569999999999997</c:v>
                </c:pt>
                <c:pt idx="30">
                  <c:v>2.4003000000000005</c:v>
                </c:pt>
                <c:pt idx="31">
                  <c:v>2.4521000000000002</c:v>
                </c:pt>
                <c:pt idx="32">
                  <c:v>2.8605</c:v>
                </c:pt>
                <c:pt idx="33">
                  <c:v>2.9401999999999999</c:v>
                </c:pt>
                <c:pt idx="34">
                  <c:v>2.6656</c:v>
                </c:pt>
                <c:pt idx="35">
                  <c:v>2.9975000000000001</c:v>
                </c:pt>
                <c:pt idx="36">
                  <c:v>2.9954999999999998</c:v>
                </c:pt>
                <c:pt idx="37">
                  <c:v>3.3709999999999996</c:v>
                </c:pt>
                <c:pt idx="38">
                  <c:v>3.7502000000000004</c:v>
                </c:pt>
                <c:pt idx="39">
                  <c:v>3.9033999999999995</c:v>
                </c:pt>
                <c:pt idx="40">
                  <c:v>3.9556999999999984</c:v>
                </c:pt>
                <c:pt idx="41">
                  <c:v>4.2637</c:v>
                </c:pt>
                <c:pt idx="42">
                  <c:v>3.7998000000000021</c:v>
                </c:pt>
                <c:pt idx="43">
                  <c:v>4.7403999999999984</c:v>
                </c:pt>
                <c:pt idx="44">
                  <c:v>4.927699999999998</c:v>
                </c:pt>
                <c:pt idx="45">
                  <c:v>5.1427999999999994</c:v>
                </c:pt>
                <c:pt idx="46">
                  <c:v>5.6568999999999985</c:v>
                </c:pt>
                <c:pt idx="47">
                  <c:v>5.736699999999999</c:v>
                </c:pt>
                <c:pt idx="48">
                  <c:v>6.472900000000001</c:v>
                </c:pt>
                <c:pt idx="49">
                  <c:v>6.5258999999999983</c:v>
                </c:pt>
                <c:pt idx="50">
                  <c:v>5.8117999999999981</c:v>
                </c:pt>
                <c:pt idx="51">
                  <c:v>7.4856000000000016</c:v>
                </c:pt>
                <c:pt idx="52">
                  <c:v>7.8146999999999984</c:v>
                </c:pt>
                <c:pt idx="53">
                  <c:v>7.9964000000000013</c:v>
                </c:pt>
                <c:pt idx="54">
                  <c:v>8.3304000000000009</c:v>
                </c:pt>
                <c:pt idx="55">
                  <c:v>8.3690000000000033</c:v>
                </c:pt>
                <c:pt idx="56">
                  <c:v>8.6755999999999993</c:v>
                </c:pt>
                <c:pt idx="57">
                  <c:v>11.467599999999997</c:v>
                </c:pt>
                <c:pt idx="58">
                  <c:v>14.733700000000002</c:v>
                </c:pt>
                <c:pt idx="59">
                  <c:v>8.2500000000000036</c:v>
                </c:pt>
                <c:pt idx="60">
                  <c:v>5.027000000000001</c:v>
                </c:pt>
                <c:pt idx="61">
                  <c:v>5.9400000000000013</c:v>
                </c:pt>
                <c:pt idx="62">
                  <c:v>6.6724999999999994</c:v>
                </c:pt>
                <c:pt idx="63">
                  <c:v>4.3770000000000007</c:v>
                </c:pt>
                <c:pt idx="64">
                  <c:v>4.0940000000000003</c:v>
                </c:pt>
                <c:pt idx="65">
                  <c:v>4.5110000000000001</c:v>
                </c:pt>
                <c:pt idx="66">
                  <c:v>4.3710000000000004</c:v>
                </c:pt>
                <c:pt idx="67">
                  <c:v>4.4539999999999997</c:v>
                </c:pt>
                <c:pt idx="68">
                  <c:v>4.9789999999999992</c:v>
                </c:pt>
                <c:pt idx="69">
                  <c:v>4.5739999999999998</c:v>
                </c:pt>
                <c:pt idx="70">
                  <c:v>4.6909999999999989</c:v>
                </c:pt>
                <c:pt idx="71">
                  <c:v>6.8499999999999979</c:v>
                </c:pt>
                <c:pt idx="72">
                  <c:v>8.4619999999999997</c:v>
                </c:pt>
                <c:pt idx="73">
                  <c:v>11.59</c:v>
                </c:pt>
                <c:pt idx="74">
                  <c:v>14.941000000000003</c:v>
                </c:pt>
                <c:pt idx="75">
                  <c:v>18.161999999999995</c:v>
                </c:pt>
                <c:pt idx="76">
                  <c:v>23.339000000000006</c:v>
                </c:pt>
                <c:pt idx="77">
                  <c:v>26.167999999999999</c:v>
                </c:pt>
                <c:pt idx="78">
                  <c:v>33.392000000000003</c:v>
                </c:pt>
                <c:pt idx="79">
                  <c:v>42.608999999999988</c:v>
                </c:pt>
                <c:pt idx="80">
                  <c:v>51.912999999999997</c:v>
                </c:pt>
                <c:pt idx="81">
                  <c:v>62.001000000000005</c:v>
                </c:pt>
                <c:pt idx="82">
                  <c:v>62.94</c:v>
                </c:pt>
                <c:pt idx="83">
                  <c:v>66.486000000000018</c:v>
                </c:pt>
                <c:pt idx="84">
                  <c:v>79.233000000000004</c:v>
                </c:pt>
                <c:pt idx="85">
                  <c:v>88.24</c:v>
                </c:pt>
                <c:pt idx="86">
                  <c:v>99.84699999999998</c:v>
                </c:pt>
                <c:pt idx="87">
                  <c:v>80.114999999999995</c:v>
                </c:pt>
                <c:pt idx="88">
                  <c:v>97.165999999999997</c:v>
                </c:pt>
                <c:pt idx="89">
                  <c:v>112.245</c:v>
                </c:pt>
                <c:pt idx="90">
                  <c:v>120.134</c:v>
                </c:pt>
                <c:pt idx="91">
                  <c:v>126.529</c:v>
                </c:pt>
                <c:pt idx="92">
                  <c:v>138.25200000000001</c:v>
                </c:pt>
                <c:pt idx="93">
                  <c:v>154.88299999999998</c:v>
                </c:pt>
                <c:pt idx="94">
                  <c:v>174.1575</c:v>
                </c:pt>
                <c:pt idx="95">
                  <c:v>186.846</c:v>
                </c:pt>
                <c:pt idx="96">
                  <c:v>200.846</c:v>
                </c:pt>
                <c:pt idx="97">
                  <c:v>212.041</c:v>
                </c:pt>
                <c:pt idx="98">
                  <c:v>225.09900000000002</c:v>
                </c:pt>
                <c:pt idx="99">
                  <c:v>243.51499999999999</c:v>
                </c:pt>
                <c:pt idx="100">
                  <c:v>267.49299999999999</c:v>
                </c:pt>
                <c:pt idx="101">
                  <c:v>295.44725000000005</c:v>
                </c:pt>
                <c:pt idx="102">
                  <c:v>320.09050000000002</c:v>
                </c:pt>
                <c:pt idx="103">
                  <c:v>343.96075000000002</c:v>
                </c:pt>
                <c:pt idx="104">
                  <c:v>345.78900000000004</c:v>
                </c:pt>
                <c:pt idx="105">
                  <c:v>348.81499999999994</c:v>
                </c:pt>
                <c:pt idx="106">
                  <c:v>347.42899999999997</c:v>
                </c:pt>
                <c:pt idx="107">
                  <c:v>356.28300000000002</c:v>
                </c:pt>
                <c:pt idx="108">
                  <c:v>366.89899999999989</c:v>
                </c:pt>
                <c:pt idx="109">
                  <c:v>381.40999999999997</c:v>
                </c:pt>
                <c:pt idx="110">
                  <c:v>402.24399999999997</c:v>
                </c:pt>
                <c:pt idx="111">
                  <c:v>409.90200000000004</c:v>
                </c:pt>
                <c:pt idx="112">
                  <c:v>418.86700000000002</c:v>
                </c:pt>
                <c:pt idx="113">
                  <c:v>420.13400000000001</c:v>
                </c:pt>
                <c:pt idx="114">
                  <c:v>430.06599999999997</c:v>
                </c:pt>
                <c:pt idx="115">
                  <c:v>446.55700000000002</c:v>
                </c:pt>
                <c:pt idx="116">
                  <c:v>463.96199999999999</c:v>
                </c:pt>
                <c:pt idx="117">
                  <c:v>480.3010000000001</c:v>
                </c:pt>
                <c:pt idx="118">
                  <c:v>494.54100000000005</c:v>
                </c:pt>
                <c:pt idx="119">
                  <c:v>509.21300000000002</c:v>
                </c:pt>
                <c:pt idx="120">
                  <c:v>529.29099999999994</c:v>
                </c:pt>
                <c:pt idx="121">
                  <c:v>538.26600000000008</c:v>
                </c:pt>
                <c:pt idx="122">
                  <c:v>551.34299999999996</c:v>
                </c:pt>
                <c:pt idx="123">
                  <c:v>560.45100000000002</c:v>
                </c:pt>
                <c:pt idx="124">
                  <c:v>562.60700000000008</c:v>
                </c:pt>
                <c:pt idx="125">
                  <c:v>569.70999999999992</c:v>
                </c:pt>
                <c:pt idx="126">
                  <c:v>562.70500224003729</c:v>
                </c:pt>
                <c:pt idx="127">
                  <c:v>577.33744974031583</c:v>
                </c:pt>
                <c:pt idx="128">
                  <c:v>579.15015608966462</c:v>
                </c:pt>
                <c:pt idx="129">
                  <c:v>576.69500247758765</c:v>
                </c:pt>
                <c:pt idx="130">
                  <c:v>595.89500262949957</c:v>
                </c:pt>
                <c:pt idx="131">
                  <c:v>616.73900263718269</c:v>
                </c:pt>
                <c:pt idx="132">
                  <c:v>626.2580026250962</c:v>
                </c:pt>
                <c:pt idx="133">
                  <c:v>638.45500262370331</c:v>
                </c:pt>
                <c:pt idx="134">
                  <c:v>617.73300258811798</c:v>
                </c:pt>
                <c:pt idx="135">
                  <c:v>591.93900240156427</c:v>
                </c:pt>
                <c:pt idx="136">
                  <c:v>545.79500232724831</c:v>
                </c:pt>
                <c:pt idx="137">
                  <c:v>516.51400203609523</c:v>
                </c:pt>
                <c:pt idx="138">
                  <c:v>465.21620186234691</c:v>
                </c:pt>
                <c:pt idx="139">
                  <c:v>420.32150174143743</c:v>
                </c:pt>
                <c:pt idx="140">
                  <c:v>386.10070163185065</c:v>
                </c:pt>
                <c:pt idx="141">
                  <c:v>369.46710147692829</c:v>
                </c:pt>
                <c:pt idx="142">
                  <c:v>353.30850144475778</c:v>
                </c:pt>
                <c:pt idx="143">
                  <c:v>334.71570133193586</c:v>
                </c:pt>
                <c:pt idx="144">
                  <c:v>344.00650146982929</c:v>
                </c:pt>
                <c:pt idx="145">
                  <c:v>370.88740156153358</c:v>
                </c:pt>
                <c:pt idx="146">
                  <c:v>387.74940161037358</c:v>
                </c:pt>
                <c:pt idx="147">
                  <c:v>367.76390157370992</c:v>
                </c:pt>
                <c:pt idx="148">
                  <c:v>399.90820161257523</c:v>
                </c:pt>
                <c:pt idx="149">
                  <c:v>410.44960173010134</c:v>
                </c:pt>
                <c:pt idx="150">
                  <c:v>430.95780190553461</c:v>
                </c:pt>
                <c:pt idx="151">
                  <c:v>452.77076294950416</c:v>
                </c:pt>
                <c:pt idx="152">
                  <c:v>456.29339921018533</c:v>
                </c:pt>
                <c:pt idx="153">
                  <c:v>485.06491721018546</c:v>
                </c:pt>
                <c:pt idx="154" formatCode="#,##0.0">
                  <c:v>445.12661721018549</c:v>
                </c:pt>
              </c:numCache>
            </c:numRef>
          </c:yVal>
          <c:smooth val="1"/>
          <c:extLst>
            <c:ext xmlns:c16="http://schemas.microsoft.com/office/drawing/2014/chart" uri="{C3380CC4-5D6E-409C-BE32-E72D297353CC}">
              <c16:uniqueId val="{00000000-3E39-0143-8A98-28F62FE7A9EC}"/>
            </c:ext>
          </c:extLst>
        </c:ser>
        <c:dLbls>
          <c:showLegendKey val="0"/>
          <c:showVal val="0"/>
          <c:showCatName val="0"/>
          <c:showSerName val="0"/>
          <c:showPercent val="0"/>
          <c:showBubbleSize val="0"/>
        </c:dLbls>
        <c:axId val="135169536"/>
        <c:axId val="135172480"/>
      </c:scatterChart>
      <c:valAx>
        <c:axId val="135169536"/>
        <c:scaling>
          <c:orientation val="minMax"/>
          <c:max val="2020"/>
          <c:min val="192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5172480"/>
        <c:crossesAt val="-1000"/>
        <c:crossBetween val="midCat"/>
        <c:majorUnit val="50"/>
        <c:minorUnit val="10"/>
      </c:valAx>
      <c:valAx>
        <c:axId val="135172480"/>
        <c:scaling>
          <c:orientation val="minMax"/>
          <c:max val="64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179653679653765"/>
              <c:y val="0.17303587051618549"/>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5169536"/>
        <c:crosses val="max"/>
        <c:crossBetween val="midCat"/>
        <c:majorUnit val="300"/>
        <c:minorUnit val="10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778487916283264"/>
          <c:h val="0.77264654418197765"/>
        </c:manualLayout>
      </c:layout>
      <c:scatterChart>
        <c:scatterStyle val="smoothMarker"/>
        <c:varyColors val="0"/>
        <c:ser>
          <c:idx val="0"/>
          <c:order val="0"/>
          <c:tx>
            <c:strRef>
              <c:f>Russia!$I$17</c:f>
              <c:strCache>
                <c:ptCount val="1"/>
                <c:pt idx="0">
                  <c:v>r m</c:v>
                </c:pt>
              </c:strCache>
            </c:strRef>
          </c:tx>
          <c:spPr>
            <a:ln w="15875">
              <a:solidFill>
                <a:srgbClr val="008000"/>
              </a:solidFill>
            </a:ln>
          </c:spPr>
          <c:marker>
            <c:symbol val="none"/>
          </c:marker>
          <c:xVal>
            <c:numRef>
              <c:f>Russia!$D$141:$D$207</c:f>
              <c:numCache>
                <c:formatCode>General</c:formatCode>
                <c:ptCount val="67"/>
                <c:pt idx="0">
                  <c:v>1977</c:v>
                </c:pt>
                <c:pt idx="1">
                  <c:v>1978</c:v>
                </c:pt>
                <c:pt idx="2">
                  <c:v>1979</c:v>
                </c:pt>
                <c:pt idx="3">
                  <c:v>1980</c:v>
                </c:pt>
                <c:pt idx="4">
                  <c:v>1981</c:v>
                </c:pt>
                <c:pt idx="5">
                  <c:v>1982</c:v>
                </c:pt>
                <c:pt idx="6">
                  <c:v>1983</c:v>
                </c:pt>
                <c:pt idx="7">
                  <c:v>1984</c:v>
                </c:pt>
                <c:pt idx="8">
                  <c:v>1985</c:v>
                </c:pt>
                <c:pt idx="9">
                  <c:v>1986</c:v>
                </c:pt>
                <c:pt idx="10">
                  <c:v>1987</c:v>
                </c:pt>
                <c:pt idx="11">
                  <c:v>1988</c:v>
                </c:pt>
                <c:pt idx="12">
                  <c:v>1989</c:v>
                </c:pt>
                <c:pt idx="13">
                  <c:v>1990</c:v>
                </c:pt>
                <c:pt idx="14">
                  <c:v>1991</c:v>
                </c:pt>
                <c:pt idx="15">
                  <c:v>1992</c:v>
                </c:pt>
                <c:pt idx="16">
                  <c:v>1993</c:v>
                </c:pt>
                <c:pt idx="17">
                  <c:v>1994</c:v>
                </c:pt>
                <c:pt idx="18">
                  <c:v>1995</c:v>
                </c:pt>
                <c:pt idx="19">
                  <c:v>1996</c:v>
                </c:pt>
                <c:pt idx="20">
                  <c:v>1997</c:v>
                </c:pt>
                <c:pt idx="21">
                  <c:v>1998</c:v>
                </c:pt>
                <c:pt idx="22">
                  <c:v>1999</c:v>
                </c:pt>
                <c:pt idx="23">
                  <c:v>2000</c:v>
                </c:pt>
                <c:pt idx="24">
                  <c:v>2001</c:v>
                </c:pt>
                <c:pt idx="25">
                  <c:v>2002</c:v>
                </c:pt>
                <c:pt idx="26">
                  <c:v>2003</c:v>
                </c:pt>
                <c:pt idx="27">
                  <c:v>2004</c:v>
                </c:pt>
                <c:pt idx="28">
                  <c:v>2005</c:v>
                </c:pt>
                <c:pt idx="29">
                  <c:v>2006</c:v>
                </c:pt>
                <c:pt idx="30">
                  <c:v>2007</c:v>
                </c:pt>
                <c:pt idx="31">
                  <c:v>2008</c:v>
                </c:pt>
                <c:pt idx="32">
                  <c:v>2009</c:v>
                </c:pt>
                <c:pt idx="33">
                  <c:v>2010</c:v>
                </c:pt>
                <c:pt idx="34">
                  <c:v>2011</c:v>
                </c:pt>
                <c:pt idx="35">
                  <c:v>2012</c:v>
                </c:pt>
                <c:pt idx="36">
                  <c:v>2013</c:v>
                </c:pt>
                <c:pt idx="37">
                  <c:v>2014</c:v>
                </c:pt>
                <c:pt idx="38">
                  <c:v>2015</c:v>
                </c:pt>
                <c:pt idx="39">
                  <c:v>2016</c:v>
                </c:pt>
                <c:pt idx="40">
                  <c:v>2017</c:v>
                </c:pt>
                <c:pt idx="41">
                  <c:v>2018</c:v>
                </c:pt>
                <c:pt idx="42">
                  <c:v>2019</c:v>
                </c:pt>
                <c:pt idx="43">
                  <c:v>2020</c:v>
                </c:pt>
                <c:pt idx="44">
                  <c:v>2021</c:v>
                </c:pt>
                <c:pt idx="45">
                  <c:v>2022</c:v>
                </c:pt>
                <c:pt idx="46">
                  <c:v>2023</c:v>
                </c:pt>
                <c:pt idx="47">
                  <c:v>2024</c:v>
                </c:pt>
                <c:pt idx="48">
                  <c:v>2025</c:v>
                </c:pt>
                <c:pt idx="49">
                  <c:v>2026</c:v>
                </c:pt>
                <c:pt idx="50">
                  <c:v>2027</c:v>
                </c:pt>
                <c:pt idx="51">
                  <c:v>2028</c:v>
                </c:pt>
                <c:pt idx="52">
                  <c:v>2029</c:v>
                </c:pt>
                <c:pt idx="53">
                  <c:v>2030</c:v>
                </c:pt>
                <c:pt idx="54">
                  <c:v>2031</c:v>
                </c:pt>
                <c:pt idx="55">
                  <c:v>2032</c:v>
                </c:pt>
                <c:pt idx="56">
                  <c:v>2033</c:v>
                </c:pt>
                <c:pt idx="57">
                  <c:v>2034</c:v>
                </c:pt>
                <c:pt idx="58">
                  <c:v>2035</c:v>
                </c:pt>
                <c:pt idx="59">
                  <c:v>2036</c:v>
                </c:pt>
                <c:pt idx="60">
                  <c:v>2037</c:v>
                </c:pt>
                <c:pt idx="61">
                  <c:v>2038</c:v>
                </c:pt>
                <c:pt idx="62">
                  <c:v>2039</c:v>
                </c:pt>
                <c:pt idx="63">
                  <c:v>2040</c:v>
                </c:pt>
                <c:pt idx="64">
                  <c:v>2041</c:v>
                </c:pt>
                <c:pt idx="65">
                  <c:v>2042</c:v>
                </c:pt>
                <c:pt idx="66">
                  <c:v>2043</c:v>
                </c:pt>
              </c:numCache>
            </c:numRef>
          </c:xVal>
          <c:yVal>
            <c:numRef>
              <c:f>Russia!$I$141:$I$207</c:f>
              <c:numCache>
                <c:formatCode>#,##0.0</c:formatCode>
                <c:ptCount val="67"/>
                <c:pt idx="0">
                  <c:v>-2.0474279582158488</c:v>
                </c:pt>
                <c:pt idx="1">
                  <c:v>-0.97339689239925065</c:v>
                </c:pt>
                <c:pt idx="2">
                  <c:v>-0.18486241000846348</c:v>
                </c:pt>
                <c:pt idx="3">
                  <c:v>0.45098021150988643</c:v>
                </c:pt>
                <c:pt idx="4">
                  <c:v>0.64641530299195438</c:v>
                </c:pt>
                <c:pt idx="5">
                  <c:v>0.88811231637646415</c:v>
                </c:pt>
                <c:pt idx="6">
                  <c:v>0.9142650906351264</c:v>
                </c:pt>
                <c:pt idx="7">
                  <c:v>0.65627696146384551</c:v>
                </c:pt>
                <c:pt idx="8">
                  <c:v>0.56360372852941509</c:v>
                </c:pt>
                <c:pt idx="9">
                  <c:v>0.66461366589373938</c:v>
                </c:pt>
                <c:pt idx="10">
                  <c:v>0.73861772951386229</c:v>
                </c:pt>
                <c:pt idx="11">
                  <c:v>0.84359003127701726</c:v>
                </c:pt>
                <c:pt idx="12">
                  <c:v>0.37490016247738822</c:v>
                </c:pt>
                <c:pt idx="13">
                  <c:v>-0.7292377603434943</c:v>
                </c:pt>
                <c:pt idx="14">
                  <c:v>-2.806450179690728</c:v>
                </c:pt>
                <c:pt idx="15">
                  <c:v>-1.6212437151307313</c:v>
                </c:pt>
                <c:pt idx="16">
                  <c:v>1.270052634376043</c:v>
                </c:pt>
                <c:pt idx="17">
                  <c:v>2.6153752656719007</c:v>
                </c:pt>
                <c:pt idx="18">
                  <c:v>2.788114837953799</c:v>
                </c:pt>
                <c:pt idx="19">
                  <c:v>2.3632901779856184</c:v>
                </c:pt>
                <c:pt idx="20">
                  <c:v>1.3686409647989422</c:v>
                </c:pt>
                <c:pt idx="21">
                  <c:v>-0.25974101294195862</c:v>
                </c:pt>
                <c:pt idx="22">
                  <c:v>-1.652922092683184</c:v>
                </c:pt>
                <c:pt idx="23">
                  <c:v>-2.2741481955399649</c:v>
                </c:pt>
                <c:pt idx="24">
                  <c:v>-2.437796369433272</c:v>
                </c:pt>
                <c:pt idx="25">
                  <c:v>-3.2648191175167085</c:v>
                </c:pt>
                <c:pt idx="26">
                  <c:v>-3.1707216522690942</c:v>
                </c:pt>
                <c:pt idx="27">
                  <c:v>-2.8142149067944047</c:v>
                </c:pt>
                <c:pt idx="28">
                  <c:v>-1.8976657740249721</c:v>
                </c:pt>
                <c:pt idx="29">
                  <c:v>-0.38602863052074099</c:v>
                </c:pt>
                <c:pt idx="30">
                  <c:v>1.1746987442875252</c:v>
                </c:pt>
                <c:pt idx="31">
                  <c:v>3.5341669534864195</c:v>
                </c:pt>
                <c:pt idx="32">
                  <c:v>4.6649618883357107</c:v>
                </c:pt>
              </c:numCache>
            </c:numRef>
          </c:yVal>
          <c:smooth val="1"/>
          <c:extLst>
            <c:ext xmlns:c16="http://schemas.microsoft.com/office/drawing/2014/chart" uri="{C3380CC4-5D6E-409C-BE32-E72D297353CC}">
              <c16:uniqueId val="{00000000-90B0-0049-B919-D88B7B381D8A}"/>
            </c:ext>
          </c:extLst>
        </c:ser>
        <c:ser>
          <c:idx val="2"/>
          <c:order val="1"/>
          <c:tx>
            <c:v>zero</c:v>
          </c:tx>
          <c:spPr>
            <a:ln w="15875">
              <a:solidFill>
                <a:srgbClr val="808080"/>
              </a:solidFill>
            </a:ln>
          </c:spPr>
          <c:marker>
            <c:symbol val="none"/>
          </c:marker>
          <c:xVal>
            <c:numRef>
              <c:f>(Russia!$E$3,Russia!$E$7)</c:f>
              <c:numCache>
                <c:formatCode>0</c:formatCode>
                <c:ptCount val="2"/>
                <c:pt idx="0" formatCode="General">
                  <c:v>1977</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1-90B0-0049-B919-D88B7B381D8A}"/>
            </c:ext>
          </c:extLst>
        </c:ser>
        <c:ser>
          <c:idx val="5"/>
          <c:order val="2"/>
          <c:tx>
            <c:v>early r m</c:v>
          </c:tx>
          <c:spPr>
            <a:ln w="15875">
              <a:solidFill>
                <a:srgbClr val="008000"/>
              </a:solidFill>
              <a:prstDash val="lgDash"/>
            </a:ln>
          </c:spPr>
          <c:marker>
            <c:symbol val="none"/>
          </c:marker>
          <c:xVal>
            <c:numRef>
              <c:f>Russia!$D$19:$D$140</c:f>
              <c:numCache>
                <c:formatCode>General</c:formatCode>
                <c:ptCount val="12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numCache>
            </c:numRef>
          </c:xVal>
          <c:yVal>
            <c:numRef>
              <c:f>Russia!$I$19:$I$140</c:f>
              <c:numCache>
                <c:formatCode>#,##0.0</c:formatCode>
                <c:ptCount val="122"/>
                <c:pt idx="0">
                  <c:v>-150.43915108992132</c:v>
                </c:pt>
                <c:pt idx="1">
                  <c:v>-99.96429891446769</c:v>
                </c:pt>
                <c:pt idx="2">
                  <c:v>-70.978171863974239</c:v>
                </c:pt>
                <c:pt idx="3">
                  <c:v>-43.150848516802398</c:v>
                </c:pt>
                <c:pt idx="4">
                  <c:v>-20.724233517807079</c:v>
                </c:pt>
                <c:pt idx="5">
                  <c:v>-5.4941346433079161</c:v>
                </c:pt>
                <c:pt idx="6">
                  <c:v>5.4787797174976731</c:v>
                </c:pt>
                <c:pt idx="7">
                  <c:v>13.189749806850159</c:v>
                </c:pt>
                <c:pt idx="8">
                  <c:v>19.231815326425021</c:v>
                </c:pt>
                <c:pt idx="9">
                  <c:v>24.37214882139142</c:v>
                </c:pt>
                <c:pt idx="10">
                  <c:v>26.007198507922112</c:v>
                </c:pt>
                <c:pt idx="11">
                  <c:v>24.618584975290105</c:v>
                </c:pt>
                <c:pt idx="12">
                  <c:v>25.817618556131492</c:v>
                </c:pt>
                <c:pt idx="13">
                  <c:v>25.619530192597267</c:v>
                </c:pt>
                <c:pt idx="14">
                  <c:v>26.553405602206112</c:v>
                </c:pt>
                <c:pt idx="15">
                  <c:v>27.3215187055348</c:v>
                </c:pt>
                <c:pt idx="16">
                  <c:v>22.088696582887678</c:v>
                </c:pt>
                <c:pt idx="17">
                  <c:v>21.4391603211252</c:v>
                </c:pt>
                <c:pt idx="18">
                  <c:v>21.978691943607373</c:v>
                </c:pt>
                <c:pt idx="19">
                  <c:v>23.54431485862915</c:v>
                </c:pt>
                <c:pt idx="20">
                  <c:v>25.527607896586233</c:v>
                </c:pt>
                <c:pt idx="21">
                  <c:v>26.441099979584578</c:v>
                </c:pt>
                <c:pt idx="22">
                  <c:v>24.927111817399236</c:v>
                </c:pt>
                <c:pt idx="23">
                  <c:v>29.921726518649848</c:v>
                </c:pt>
                <c:pt idx="24">
                  <c:v>34.033793507401242</c:v>
                </c:pt>
                <c:pt idx="25">
                  <c:v>39.224656231733206</c:v>
                </c:pt>
                <c:pt idx="26">
                  <c:v>42.644952772510806</c:v>
                </c:pt>
                <c:pt idx="27">
                  <c:v>45.011635413997283</c:v>
                </c:pt>
                <c:pt idx="28">
                  <c:v>46.349254357123755</c:v>
                </c:pt>
                <c:pt idx="29">
                  <c:v>47.215071712986173</c:v>
                </c:pt>
                <c:pt idx="30">
                  <c:v>47.56824763426448</c:v>
                </c:pt>
                <c:pt idx="31">
                  <c:v>47.036218335003468</c:v>
                </c:pt>
                <c:pt idx="32">
                  <c:v>47.210471984381002</c:v>
                </c:pt>
                <c:pt idx="33">
                  <c:v>46.61097288721794</c:v>
                </c:pt>
                <c:pt idx="34">
                  <c:v>44.133395518988436</c:v>
                </c:pt>
                <c:pt idx="35">
                  <c:v>42.06043519153809</c:v>
                </c:pt>
                <c:pt idx="36">
                  <c:v>39.27359729249747</c:v>
                </c:pt>
                <c:pt idx="37">
                  <c:v>36.917460362147722</c:v>
                </c:pt>
                <c:pt idx="38">
                  <c:v>34.873674295365163</c:v>
                </c:pt>
                <c:pt idx="39">
                  <c:v>32.496711409724412</c:v>
                </c:pt>
                <c:pt idx="40">
                  <c:v>29.586798434822413</c:v>
                </c:pt>
                <c:pt idx="41">
                  <c:v>26.739942069189965</c:v>
                </c:pt>
                <c:pt idx="42">
                  <c:v>22.404675304123884</c:v>
                </c:pt>
                <c:pt idx="43">
                  <c:v>19.397404254666981</c:v>
                </c:pt>
                <c:pt idx="44">
                  <c:v>16.157713841360419</c:v>
                </c:pt>
                <c:pt idx="45">
                  <c:v>12.742077530463575</c:v>
                </c:pt>
                <c:pt idx="46">
                  <c:v>9.6081839146754646</c:v>
                </c:pt>
                <c:pt idx="47">
                  <c:v>6.058396534055646</c:v>
                </c:pt>
                <c:pt idx="48">
                  <c:v>3.0198691509513083</c:v>
                </c:pt>
                <c:pt idx="49">
                  <c:v>-0.48581700626073143</c:v>
                </c:pt>
                <c:pt idx="50">
                  <c:v>-5.3253742468405108</c:v>
                </c:pt>
                <c:pt idx="51">
                  <c:v>-8.6004164762643995</c:v>
                </c:pt>
                <c:pt idx="52">
                  <c:v>-12.022033352443032</c:v>
                </c:pt>
                <c:pt idx="53">
                  <c:v>-15.739029542651224</c:v>
                </c:pt>
                <c:pt idx="54">
                  <c:v>-19.581580251492596</c:v>
                </c:pt>
                <c:pt idx="55">
                  <c:v>-23.817521700707402</c:v>
                </c:pt>
                <c:pt idx="56">
                  <c:v>-28.176561726784712</c:v>
                </c:pt>
                <c:pt idx="57">
                  <c:v>-30.641849688585353</c:v>
                </c:pt>
                <c:pt idx="58">
                  <c:v>-31.216522740449363</c:v>
                </c:pt>
                <c:pt idx="59">
                  <c:v>-37.176018877450588</c:v>
                </c:pt>
                <c:pt idx="60">
                  <c:v>-45.609282196280219</c:v>
                </c:pt>
                <c:pt idx="61">
                  <c:v>-53.499104043537045</c:v>
                </c:pt>
                <c:pt idx="62">
                  <c:v>-61.009481173678978</c:v>
                </c:pt>
                <c:pt idx="63">
                  <c:v>-70.133836302559757</c:v>
                </c:pt>
                <c:pt idx="64">
                  <c:v>-79.491670763526599</c:v>
                </c:pt>
                <c:pt idx="65">
                  <c:v>-88.631596290626476</c:v>
                </c:pt>
                <c:pt idx="66">
                  <c:v>-97.909608865043992</c:v>
                </c:pt>
                <c:pt idx="67">
                  <c:v>-107.18400873683004</c:v>
                </c:pt>
                <c:pt idx="68">
                  <c:v>-116.19240892733069</c:v>
                </c:pt>
                <c:pt idx="69">
                  <c:v>-125.49363670350431</c:v>
                </c:pt>
                <c:pt idx="70">
                  <c:v>-134.77320611610685</c:v>
                </c:pt>
                <c:pt idx="71">
                  <c:v>-142.88332256694775</c:v>
                </c:pt>
                <c:pt idx="72">
                  <c:v>-150.2066802400268</c:v>
                </c:pt>
                <c:pt idx="73">
                  <c:v>-156.01717155624647</c:v>
                </c:pt>
                <c:pt idx="74">
                  <c:v>-160.37689592214792</c:v>
                </c:pt>
                <c:pt idx="75">
                  <c:v>-163.55386958318286</c:v>
                </c:pt>
                <c:pt idx="76">
                  <c:v>-164.87899231286428</c:v>
                </c:pt>
                <c:pt idx="77">
                  <c:v>-165.68486367294008</c:v>
                </c:pt>
                <c:pt idx="78">
                  <c:v>-164.42047202241247</c:v>
                </c:pt>
                <c:pt idx="79">
                  <c:v>-160.89164454505317</c:v>
                </c:pt>
                <c:pt idx="80">
                  <c:v>-155.71066274598252</c:v>
                </c:pt>
                <c:pt idx="81">
                  <c:v>-149.20711920253689</c:v>
                </c:pt>
                <c:pt idx="82">
                  <c:v>-144.22684517662765</c:v>
                </c:pt>
                <c:pt idx="83">
                  <c:v>-139.88616433369134</c:v>
                </c:pt>
                <c:pt idx="84">
                  <c:v>-134.15530022276744</c:v>
                </c:pt>
                <c:pt idx="85">
                  <c:v>-128.22229583869921</c:v>
                </c:pt>
                <c:pt idx="86">
                  <c:v>-121.79469752379646</c:v>
                </c:pt>
                <c:pt idx="87">
                  <c:v>-120.18925911491897</c:v>
                </c:pt>
                <c:pt idx="88">
                  <c:v>-116.86611604088739</c:v>
                </c:pt>
                <c:pt idx="89">
                  <c:v>-112.52102027795627</c:v>
                </c:pt>
                <c:pt idx="90">
                  <c:v>-108.37634420862469</c:v>
                </c:pt>
                <c:pt idx="91">
                  <c:v>-104.63730070242673</c:v>
                </c:pt>
                <c:pt idx="92">
                  <c:v>-100.68939429110196</c:v>
                </c:pt>
                <c:pt idx="93">
                  <c:v>-96.129103978833882</c:v>
                </c:pt>
                <c:pt idx="94">
                  <c:v>-90.893743446726148</c:v>
                </c:pt>
                <c:pt idx="95">
                  <c:v>-85.772145057634589</c:v>
                </c:pt>
                <c:pt idx="96">
                  <c:v>-80.696386931895177</c:v>
                </c:pt>
                <c:pt idx="97">
                  <c:v>-75.929997762638777</c:v>
                </c:pt>
                <c:pt idx="98">
                  <c:v>-71.333036533423183</c:v>
                </c:pt>
                <c:pt idx="99">
                  <c:v>-66.564507378309827</c:v>
                </c:pt>
                <c:pt idx="100">
                  <c:v>-61.355644161739292</c:v>
                </c:pt>
                <c:pt idx="101">
                  <c:v>-55.60255170963228</c:v>
                </c:pt>
                <c:pt idx="102">
                  <c:v>-49.632356472742686</c:v>
                </c:pt>
                <c:pt idx="103">
                  <c:v>-43.568422099066993</c:v>
                </c:pt>
                <c:pt idx="104">
                  <c:v>-38.521267428585816</c:v>
                </c:pt>
                <c:pt idx="105">
                  <c:v>-34.299049132036998</c:v>
                </c:pt>
                <c:pt idx="106">
                  <c:v>-30.988037325135338</c:v>
                </c:pt>
                <c:pt idx="107">
                  <c:v>-28.057196463561922</c:v>
                </c:pt>
                <c:pt idx="108">
                  <c:v>-25.401607063434312</c:v>
                </c:pt>
                <c:pt idx="109">
                  <c:v>-22.853309796877511</c:v>
                </c:pt>
                <c:pt idx="110">
                  <c:v>-20.184751653991043</c:v>
                </c:pt>
                <c:pt idx="111">
                  <c:v>-17.871730697512248</c:v>
                </c:pt>
                <c:pt idx="112">
                  <c:v>-15.837399488472329</c:v>
                </c:pt>
                <c:pt idx="113">
                  <c:v>-14.300107824490624</c:v>
                </c:pt>
                <c:pt idx="114">
                  <c:v>-12.947199708108201</c:v>
                </c:pt>
                <c:pt idx="115">
                  <c:v>-11.570461298185364</c:v>
                </c:pt>
                <c:pt idx="116">
                  <c:v>-10.149339722867808</c:v>
                </c:pt>
                <c:pt idx="117">
                  <c:v>-8.7196769569691241</c:v>
                </c:pt>
                <c:pt idx="118">
                  <c:v>-7.3394608524386058</c:v>
                </c:pt>
                <c:pt idx="119">
                  <c:v>-5.9933978905874028</c:v>
                </c:pt>
                <c:pt idx="120">
                  <c:v>-4.5426997424365254</c:v>
                </c:pt>
                <c:pt idx="121">
                  <c:v>-3.2651742547404865</c:v>
                </c:pt>
              </c:numCache>
            </c:numRef>
          </c:yVal>
          <c:smooth val="1"/>
          <c:extLst>
            <c:ext xmlns:c16="http://schemas.microsoft.com/office/drawing/2014/chart" uri="{C3380CC4-5D6E-409C-BE32-E72D297353CC}">
              <c16:uniqueId val="{00000002-90B0-0049-B919-D88B7B381D8A}"/>
            </c:ext>
          </c:extLst>
        </c:ser>
        <c:dLbls>
          <c:showLegendKey val="0"/>
          <c:showVal val="0"/>
          <c:showCatName val="0"/>
          <c:showSerName val="0"/>
          <c:showPercent val="0"/>
          <c:showBubbleSize val="0"/>
        </c:dLbls>
        <c:axId val="135630208"/>
        <c:axId val="135726208"/>
      </c:scatterChart>
      <c:valAx>
        <c:axId val="135630208"/>
        <c:scaling>
          <c:orientation val="minMax"/>
          <c:max val="2010"/>
          <c:min val="1970"/>
        </c:scaling>
        <c:delete val="0"/>
        <c:axPos val="b"/>
        <c:numFmt formatCode="General" sourceLinked="1"/>
        <c:majorTickMark val="in"/>
        <c:minorTickMark val="in"/>
        <c:tickLblPos val="nextTo"/>
        <c:spPr>
          <a:ln>
            <a:solidFill>
              <a:srgbClr val="333399"/>
            </a:solidFill>
          </a:ln>
        </c:spPr>
        <c:crossAx val="135726208"/>
        <c:crossesAt val="-100"/>
        <c:crossBetween val="midCat"/>
        <c:majorUnit val="20"/>
        <c:minorUnit val="10"/>
      </c:valAx>
      <c:valAx>
        <c:axId val="135726208"/>
        <c:scaling>
          <c:orientation val="minMax"/>
          <c:max val="10"/>
          <c:min val="-10"/>
        </c:scaling>
        <c:delete val="0"/>
        <c:axPos val="r"/>
        <c:title>
          <c:tx>
            <c:rich>
              <a:bodyPr rot="-5400000" vert="horz"/>
              <a:lstStyle/>
              <a:p>
                <a:pPr>
                  <a:defRPr b="0"/>
                </a:pPr>
                <a:r>
                  <a:rPr lang="en-US" b="0"/>
                  <a:t>Residual</a:t>
                </a:r>
                <a:r>
                  <a:rPr lang="en-US" b="0" baseline="0"/>
                  <a:t>, months</a:t>
                </a:r>
                <a:endParaRPr lang="en-US" b="0"/>
              </a:p>
            </c:rich>
          </c:tx>
          <c:layout>
            <c:manualLayout>
              <c:xMode val="edge"/>
              <c:yMode val="edge"/>
              <c:x val="0.96179653679653765"/>
              <c:y val="0.26076735199766732"/>
            </c:manualLayout>
          </c:layout>
          <c:overlay val="0"/>
        </c:title>
        <c:numFmt formatCode="0" sourceLinked="0"/>
        <c:majorTickMark val="in"/>
        <c:minorTickMark val="in"/>
        <c:tickLblPos val="nextTo"/>
        <c:spPr>
          <a:ln>
            <a:solidFill>
              <a:srgbClr val="333399"/>
            </a:solidFill>
          </a:ln>
        </c:spPr>
        <c:crossAx val="135630208"/>
        <c:crosses val="max"/>
        <c:crossBetween val="midCat"/>
        <c:majorUnit val="10"/>
        <c:minorUnit val="5"/>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03860350789485"/>
          <c:h val="0.77264654418197765"/>
        </c:manualLayout>
      </c:layout>
      <c:scatterChart>
        <c:scatterStyle val="smoothMarker"/>
        <c:varyColors val="0"/>
        <c:ser>
          <c:idx val="2"/>
          <c:order val="0"/>
          <c:tx>
            <c:v>Current long-term fit</c:v>
          </c:tx>
          <c:spPr>
            <a:ln w="15875">
              <a:solidFill>
                <a:srgbClr val="808080"/>
              </a:solidFill>
            </a:ln>
          </c:spPr>
          <c:marker>
            <c:symbol val="none"/>
          </c:marker>
          <c:xVal>
            <c:numLit>
              <c:formatCode>General</c:formatCode>
              <c:ptCount val="2"/>
              <c:pt idx="0">
                <c:v>1995</c:v>
              </c:pt>
              <c:pt idx="1">
                <c:v>2009</c:v>
              </c:pt>
            </c:numLit>
          </c:xVal>
          <c:yVal>
            <c:numRef>
              <c:f>(Russia!$F$1,Russia!$F$1)</c:f>
              <c:numCache>
                <c:formatCode>0.0</c:formatCode>
                <c:ptCount val="2"/>
                <c:pt idx="0">
                  <c:v>65.321377585232014</c:v>
                </c:pt>
                <c:pt idx="1">
                  <c:v>65.321377585232014</c:v>
                </c:pt>
              </c:numCache>
            </c:numRef>
          </c:yVal>
          <c:smooth val="1"/>
          <c:extLst>
            <c:ext xmlns:c16="http://schemas.microsoft.com/office/drawing/2014/chart" uri="{C3380CC4-5D6E-409C-BE32-E72D297353CC}">
              <c16:uniqueId val="{00000000-0206-8C47-A212-C5B05A19F34A}"/>
            </c:ext>
          </c:extLst>
        </c:ser>
        <c:ser>
          <c:idx val="3"/>
          <c:order val="1"/>
          <c:tx>
            <c:strRef>
              <c:f>Russia!$H$17</c:f>
              <c:strCache>
                <c:ptCount val="1"/>
                <c:pt idx="0">
                  <c:v>Q probit historical</c:v>
                </c:pt>
              </c:strCache>
            </c:strRef>
          </c:tx>
          <c:spPr>
            <a:ln w="15875">
              <a:solidFill>
                <a:srgbClr val="333399"/>
              </a:solidFill>
            </a:ln>
          </c:spPr>
          <c:marker>
            <c:symbol val="none"/>
          </c:marker>
          <c:xVal>
            <c:numRef>
              <c:f>Russia!$D$19:$D$199</c:f>
              <c:numCache>
                <c:formatCode>General</c:formatCode>
                <c:ptCount val="181"/>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pt idx="162">
                  <c:v>2017</c:v>
                </c:pt>
                <c:pt idx="163">
                  <c:v>2018</c:v>
                </c:pt>
                <c:pt idx="164">
                  <c:v>2019</c:v>
                </c:pt>
                <c:pt idx="165">
                  <c:v>2020</c:v>
                </c:pt>
                <c:pt idx="166">
                  <c:v>2021</c:v>
                </c:pt>
                <c:pt idx="167">
                  <c:v>2022</c:v>
                </c:pt>
                <c:pt idx="168">
                  <c:v>2023</c:v>
                </c:pt>
                <c:pt idx="169">
                  <c:v>2024</c:v>
                </c:pt>
                <c:pt idx="170">
                  <c:v>2025</c:v>
                </c:pt>
                <c:pt idx="171">
                  <c:v>2026</c:v>
                </c:pt>
                <c:pt idx="172">
                  <c:v>2027</c:v>
                </c:pt>
                <c:pt idx="173">
                  <c:v>2028</c:v>
                </c:pt>
                <c:pt idx="174">
                  <c:v>2029</c:v>
                </c:pt>
                <c:pt idx="175">
                  <c:v>2030</c:v>
                </c:pt>
                <c:pt idx="176">
                  <c:v>2031</c:v>
                </c:pt>
                <c:pt idx="177">
                  <c:v>2032</c:v>
                </c:pt>
                <c:pt idx="178">
                  <c:v>2033</c:v>
                </c:pt>
                <c:pt idx="179">
                  <c:v>2034</c:v>
                </c:pt>
                <c:pt idx="180">
                  <c:v>2035</c:v>
                </c:pt>
              </c:numCache>
            </c:numRef>
          </c:xVal>
          <c:yVal>
            <c:numRef>
              <c:f>Russia!$H$19:$H$199</c:f>
              <c:numCache>
                <c:formatCode>General</c:formatCode>
                <c:ptCount val="181"/>
                <c:pt idx="139" formatCode="0.0">
                  <c:v>40.386525096903476</c:v>
                </c:pt>
                <c:pt idx="140" formatCode="0.0">
                  <c:v>40.378245412269727</c:v>
                </c:pt>
                <c:pt idx="141" formatCode="0.0">
                  <c:v>40.345661692472738</c:v>
                </c:pt>
                <c:pt idx="142" formatCode="0.0">
                  <c:v>40.270692753344669</c:v>
                </c:pt>
                <c:pt idx="143" formatCode="0.0">
                  <c:v>40.134001294854173</c:v>
                </c:pt>
                <c:pt idx="144" formatCode="0.0">
                  <c:v>39.883791585110046</c:v>
                </c:pt>
                <c:pt idx="145" formatCode="0.0">
                  <c:v>39.589030883263916</c:v>
                </c:pt>
                <c:pt idx="146" formatCode="0.0">
                  <c:v>39.501393568008112</c:v>
                </c:pt>
                <c:pt idx="147" formatCode="0.0">
                  <c:v>39.50105348905803</c:v>
                </c:pt>
                <c:pt idx="148" formatCode="0.0">
                  <c:v>40.100489375933719</c:v>
                </c:pt>
                <c:pt idx="149" formatCode="0.0">
                  <c:v>41.425089837185588</c:v>
                </c:pt>
                <c:pt idx="150" formatCode="0.0">
                  <c:v>43.715332611915656</c:v>
                </c:pt>
                <c:pt idx="151" formatCode="0.0">
                  <c:v>47.247089369367629</c:v>
                </c:pt>
                <c:pt idx="152" formatCode="0.0">
                  <c:v>51.851768023336462</c:v>
                </c:pt>
                <c:pt idx="153" formatCode="0.0">
                  <c:v>58.486958560667311</c:v>
                </c:pt>
                <c:pt idx="154" formatCode="0.0">
                  <c:v>65.321377585232014</c:v>
                </c:pt>
              </c:numCache>
            </c:numRef>
          </c:yVal>
          <c:smooth val="1"/>
          <c:extLst>
            <c:ext xmlns:c16="http://schemas.microsoft.com/office/drawing/2014/chart" uri="{C3380CC4-5D6E-409C-BE32-E72D297353CC}">
              <c16:uniqueId val="{00000001-0206-8C47-A212-C5B05A19F34A}"/>
            </c:ext>
          </c:extLst>
        </c:ser>
        <c:ser>
          <c:idx val="0"/>
          <c:order val="2"/>
          <c:tx>
            <c:strRef>
              <c:f>Russia!$F$17</c:f>
              <c:strCache>
                <c:ptCount val="1"/>
                <c:pt idx="0">
                  <c:v>q Gt</c:v>
                </c:pt>
              </c:strCache>
            </c:strRef>
          </c:tx>
          <c:spPr>
            <a:ln w="15875">
              <a:solidFill>
                <a:srgbClr val="008000"/>
              </a:solidFill>
            </a:ln>
          </c:spPr>
          <c:marker>
            <c:symbol val="none"/>
          </c:marker>
          <c:xVal>
            <c:numRef>
              <c:f>Russia!$D$18:$D$284</c:f>
              <c:numCache>
                <c:formatCode>General</c:formatCode>
                <c:ptCount val="267"/>
                <c:pt idx="0">
                  <c:v>1854</c:v>
                </c:pt>
                <c:pt idx="1">
                  <c:v>1855</c:v>
                </c:pt>
                <c:pt idx="2">
                  <c:v>1856</c:v>
                </c:pt>
                <c:pt idx="3">
                  <c:v>1857</c:v>
                </c:pt>
                <c:pt idx="4">
                  <c:v>1858</c:v>
                </c:pt>
                <c:pt idx="5">
                  <c:v>1859</c:v>
                </c:pt>
                <c:pt idx="6">
                  <c:v>1860</c:v>
                </c:pt>
                <c:pt idx="7">
                  <c:v>1861</c:v>
                </c:pt>
                <c:pt idx="8">
                  <c:v>1862</c:v>
                </c:pt>
                <c:pt idx="9">
                  <c:v>1863</c:v>
                </c:pt>
                <c:pt idx="10">
                  <c:v>1864</c:v>
                </c:pt>
                <c:pt idx="11">
                  <c:v>1865</c:v>
                </c:pt>
                <c:pt idx="12">
                  <c:v>1866</c:v>
                </c:pt>
                <c:pt idx="13">
                  <c:v>1867</c:v>
                </c:pt>
                <c:pt idx="14">
                  <c:v>1868</c:v>
                </c:pt>
                <c:pt idx="15">
                  <c:v>1869</c:v>
                </c:pt>
                <c:pt idx="16">
                  <c:v>1870</c:v>
                </c:pt>
                <c:pt idx="17">
                  <c:v>1871</c:v>
                </c:pt>
                <c:pt idx="18">
                  <c:v>1872</c:v>
                </c:pt>
                <c:pt idx="19">
                  <c:v>1873</c:v>
                </c:pt>
                <c:pt idx="20">
                  <c:v>1874</c:v>
                </c:pt>
                <c:pt idx="21">
                  <c:v>1875</c:v>
                </c:pt>
                <c:pt idx="22">
                  <c:v>1876</c:v>
                </c:pt>
                <c:pt idx="23">
                  <c:v>1877</c:v>
                </c:pt>
                <c:pt idx="24">
                  <c:v>1878</c:v>
                </c:pt>
                <c:pt idx="25">
                  <c:v>1879</c:v>
                </c:pt>
                <c:pt idx="26">
                  <c:v>1880</c:v>
                </c:pt>
                <c:pt idx="27">
                  <c:v>1881</c:v>
                </c:pt>
                <c:pt idx="28">
                  <c:v>1882</c:v>
                </c:pt>
                <c:pt idx="29">
                  <c:v>1883</c:v>
                </c:pt>
                <c:pt idx="30">
                  <c:v>1884</c:v>
                </c:pt>
                <c:pt idx="31">
                  <c:v>1885</c:v>
                </c:pt>
                <c:pt idx="32">
                  <c:v>1886</c:v>
                </c:pt>
                <c:pt idx="33">
                  <c:v>1887</c:v>
                </c:pt>
                <c:pt idx="34">
                  <c:v>1888</c:v>
                </c:pt>
                <c:pt idx="35">
                  <c:v>1889</c:v>
                </c:pt>
                <c:pt idx="36">
                  <c:v>1890</c:v>
                </c:pt>
                <c:pt idx="37">
                  <c:v>1891</c:v>
                </c:pt>
                <c:pt idx="38">
                  <c:v>1892</c:v>
                </c:pt>
                <c:pt idx="39">
                  <c:v>1893</c:v>
                </c:pt>
                <c:pt idx="40">
                  <c:v>1894</c:v>
                </c:pt>
                <c:pt idx="41">
                  <c:v>1895</c:v>
                </c:pt>
                <c:pt idx="42">
                  <c:v>1896</c:v>
                </c:pt>
                <c:pt idx="43">
                  <c:v>1897</c:v>
                </c:pt>
                <c:pt idx="44">
                  <c:v>1898</c:v>
                </c:pt>
                <c:pt idx="45">
                  <c:v>1899</c:v>
                </c:pt>
                <c:pt idx="46">
                  <c:v>1900</c:v>
                </c:pt>
                <c:pt idx="47">
                  <c:v>1901</c:v>
                </c:pt>
                <c:pt idx="48">
                  <c:v>1902</c:v>
                </c:pt>
                <c:pt idx="49">
                  <c:v>1903</c:v>
                </c:pt>
                <c:pt idx="50">
                  <c:v>1904</c:v>
                </c:pt>
                <c:pt idx="51">
                  <c:v>1905</c:v>
                </c:pt>
                <c:pt idx="52">
                  <c:v>1906</c:v>
                </c:pt>
                <c:pt idx="53">
                  <c:v>1907</c:v>
                </c:pt>
                <c:pt idx="54">
                  <c:v>1908</c:v>
                </c:pt>
                <c:pt idx="55">
                  <c:v>1909</c:v>
                </c:pt>
                <c:pt idx="56">
                  <c:v>1910</c:v>
                </c:pt>
                <c:pt idx="57">
                  <c:v>1911</c:v>
                </c:pt>
                <c:pt idx="58">
                  <c:v>1912</c:v>
                </c:pt>
                <c:pt idx="59">
                  <c:v>1913</c:v>
                </c:pt>
                <c:pt idx="60">
                  <c:v>1914</c:v>
                </c:pt>
                <c:pt idx="61">
                  <c:v>1915</c:v>
                </c:pt>
                <c:pt idx="62">
                  <c:v>1916</c:v>
                </c:pt>
                <c:pt idx="63">
                  <c:v>1917</c:v>
                </c:pt>
                <c:pt idx="64">
                  <c:v>1918</c:v>
                </c:pt>
                <c:pt idx="65">
                  <c:v>1919</c:v>
                </c:pt>
                <c:pt idx="66">
                  <c:v>1920</c:v>
                </c:pt>
                <c:pt idx="67">
                  <c:v>1921</c:v>
                </c:pt>
                <c:pt idx="68">
                  <c:v>1922</c:v>
                </c:pt>
                <c:pt idx="69">
                  <c:v>1923</c:v>
                </c:pt>
                <c:pt idx="70">
                  <c:v>1924</c:v>
                </c:pt>
                <c:pt idx="71">
                  <c:v>1925</c:v>
                </c:pt>
                <c:pt idx="72">
                  <c:v>1926</c:v>
                </c:pt>
                <c:pt idx="73">
                  <c:v>1927</c:v>
                </c:pt>
                <c:pt idx="74">
                  <c:v>1928</c:v>
                </c:pt>
                <c:pt idx="75">
                  <c:v>1929</c:v>
                </c:pt>
                <c:pt idx="76">
                  <c:v>1930</c:v>
                </c:pt>
                <c:pt idx="77">
                  <c:v>1931</c:v>
                </c:pt>
                <c:pt idx="78">
                  <c:v>1932</c:v>
                </c:pt>
                <c:pt idx="79">
                  <c:v>1933</c:v>
                </c:pt>
                <c:pt idx="80">
                  <c:v>1934</c:v>
                </c:pt>
                <c:pt idx="81">
                  <c:v>1935</c:v>
                </c:pt>
                <c:pt idx="82">
                  <c:v>1936</c:v>
                </c:pt>
                <c:pt idx="83">
                  <c:v>1937</c:v>
                </c:pt>
                <c:pt idx="84">
                  <c:v>1938</c:v>
                </c:pt>
                <c:pt idx="85">
                  <c:v>1939</c:v>
                </c:pt>
                <c:pt idx="86">
                  <c:v>1940</c:v>
                </c:pt>
                <c:pt idx="87">
                  <c:v>1941</c:v>
                </c:pt>
                <c:pt idx="88">
                  <c:v>1942</c:v>
                </c:pt>
                <c:pt idx="89">
                  <c:v>1943</c:v>
                </c:pt>
                <c:pt idx="90">
                  <c:v>1944</c:v>
                </c:pt>
                <c:pt idx="91">
                  <c:v>1945</c:v>
                </c:pt>
                <c:pt idx="92">
                  <c:v>1946</c:v>
                </c:pt>
                <c:pt idx="93">
                  <c:v>1947</c:v>
                </c:pt>
                <c:pt idx="94">
                  <c:v>1948</c:v>
                </c:pt>
                <c:pt idx="95">
                  <c:v>1949</c:v>
                </c:pt>
                <c:pt idx="96">
                  <c:v>1950</c:v>
                </c:pt>
                <c:pt idx="97">
                  <c:v>1951</c:v>
                </c:pt>
                <c:pt idx="98">
                  <c:v>1952</c:v>
                </c:pt>
                <c:pt idx="99">
                  <c:v>1953</c:v>
                </c:pt>
                <c:pt idx="100">
                  <c:v>1954</c:v>
                </c:pt>
                <c:pt idx="101">
                  <c:v>1955</c:v>
                </c:pt>
                <c:pt idx="102">
                  <c:v>1956</c:v>
                </c:pt>
                <c:pt idx="103">
                  <c:v>1957</c:v>
                </c:pt>
                <c:pt idx="104">
                  <c:v>1958</c:v>
                </c:pt>
                <c:pt idx="105">
                  <c:v>1959</c:v>
                </c:pt>
                <c:pt idx="106">
                  <c:v>1960</c:v>
                </c:pt>
                <c:pt idx="107">
                  <c:v>1961</c:v>
                </c:pt>
                <c:pt idx="108">
                  <c:v>1962</c:v>
                </c:pt>
                <c:pt idx="109">
                  <c:v>1963</c:v>
                </c:pt>
                <c:pt idx="110">
                  <c:v>1964</c:v>
                </c:pt>
                <c:pt idx="111">
                  <c:v>1965</c:v>
                </c:pt>
                <c:pt idx="112">
                  <c:v>1966</c:v>
                </c:pt>
                <c:pt idx="113">
                  <c:v>1967</c:v>
                </c:pt>
                <c:pt idx="114">
                  <c:v>1968</c:v>
                </c:pt>
                <c:pt idx="115">
                  <c:v>1969</c:v>
                </c:pt>
                <c:pt idx="116">
                  <c:v>1970</c:v>
                </c:pt>
                <c:pt idx="117">
                  <c:v>1971</c:v>
                </c:pt>
                <c:pt idx="118">
                  <c:v>1972</c:v>
                </c:pt>
                <c:pt idx="119">
                  <c:v>1973</c:v>
                </c:pt>
                <c:pt idx="120">
                  <c:v>1974</c:v>
                </c:pt>
                <c:pt idx="121">
                  <c:v>1975</c:v>
                </c:pt>
                <c:pt idx="122">
                  <c:v>1976</c:v>
                </c:pt>
                <c:pt idx="123">
                  <c:v>1977</c:v>
                </c:pt>
                <c:pt idx="124">
                  <c:v>1978</c:v>
                </c:pt>
                <c:pt idx="125">
                  <c:v>1979</c:v>
                </c:pt>
                <c:pt idx="126">
                  <c:v>1980</c:v>
                </c:pt>
                <c:pt idx="127">
                  <c:v>1981</c:v>
                </c:pt>
                <c:pt idx="128">
                  <c:v>1982</c:v>
                </c:pt>
                <c:pt idx="129">
                  <c:v>1983</c:v>
                </c:pt>
                <c:pt idx="130">
                  <c:v>1984</c:v>
                </c:pt>
                <c:pt idx="131">
                  <c:v>1985</c:v>
                </c:pt>
                <c:pt idx="132">
                  <c:v>1986</c:v>
                </c:pt>
                <c:pt idx="133">
                  <c:v>1987</c:v>
                </c:pt>
                <c:pt idx="134">
                  <c:v>1988</c:v>
                </c:pt>
                <c:pt idx="135">
                  <c:v>1989</c:v>
                </c:pt>
                <c:pt idx="136">
                  <c:v>1990</c:v>
                </c:pt>
                <c:pt idx="137">
                  <c:v>1991</c:v>
                </c:pt>
                <c:pt idx="138">
                  <c:v>1992</c:v>
                </c:pt>
                <c:pt idx="139">
                  <c:v>1993</c:v>
                </c:pt>
                <c:pt idx="140">
                  <c:v>1994</c:v>
                </c:pt>
                <c:pt idx="141">
                  <c:v>1995</c:v>
                </c:pt>
                <c:pt idx="142">
                  <c:v>1996</c:v>
                </c:pt>
                <c:pt idx="143">
                  <c:v>1997</c:v>
                </c:pt>
                <c:pt idx="144">
                  <c:v>1998</c:v>
                </c:pt>
                <c:pt idx="145">
                  <c:v>1999</c:v>
                </c:pt>
                <c:pt idx="146">
                  <c:v>2000</c:v>
                </c:pt>
                <c:pt idx="147">
                  <c:v>2001</c:v>
                </c:pt>
                <c:pt idx="148">
                  <c:v>2002</c:v>
                </c:pt>
                <c:pt idx="149">
                  <c:v>2003</c:v>
                </c:pt>
                <c:pt idx="150">
                  <c:v>2004</c:v>
                </c:pt>
                <c:pt idx="151">
                  <c:v>2005</c:v>
                </c:pt>
                <c:pt idx="152">
                  <c:v>2006</c:v>
                </c:pt>
                <c:pt idx="153">
                  <c:v>2007</c:v>
                </c:pt>
                <c:pt idx="154">
                  <c:v>2008</c:v>
                </c:pt>
                <c:pt idx="155">
                  <c:v>2009</c:v>
                </c:pt>
                <c:pt idx="156">
                  <c:v>2010</c:v>
                </c:pt>
                <c:pt idx="157">
                  <c:v>2011</c:v>
                </c:pt>
                <c:pt idx="158">
                  <c:v>2012</c:v>
                </c:pt>
                <c:pt idx="159">
                  <c:v>2013</c:v>
                </c:pt>
                <c:pt idx="160">
                  <c:v>2014</c:v>
                </c:pt>
                <c:pt idx="161">
                  <c:v>2015</c:v>
                </c:pt>
                <c:pt idx="162">
                  <c:v>2016</c:v>
                </c:pt>
                <c:pt idx="163">
                  <c:v>2017</c:v>
                </c:pt>
                <c:pt idx="164">
                  <c:v>2018</c:v>
                </c:pt>
                <c:pt idx="165">
                  <c:v>2019</c:v>
                </c:pt>
                <c:pt idx="166">
                  <c:v>2020</c:v>
                </c:pt>
                <c:pt idx="167">
                  <c:v>2021</c:v>
                </c:pt>
                <c:pt idx="168">
                  <c:v>2022</c:v>
                </c:pt>
                <c:pt idx="169">
                  <c:v>2023</c:v>
                </c:pt>
                <c:pt idx="170">
                  <c:v>2024</c:v>
                </c:pt>
                <c:pt idx="171">
                  <c:v>2025</c:v>
                </c:pt>
                <c:pt idx="172">
                  <c:v>2026</c:v>
                </c:pt>
                <c:pt idx="173">
                  <c:v>2027</c:v>
                </c:pt>
                <c:pt idx="174">
                  <c:v>2028</c:v>
                </c:pt>
                <c:pt idx="175">
                  <c:v>2029</c:v>
                </c:pt>
                <c:pt idx="176">
                  <c:v>2030</c:v>
                </c:pt>
                <c:pt idx="177">
                  <c:v>2031</c:v>
                </c:pt>
                <c:pt idx="178">
                  <c:v>2032</c:v>
                </c:pt>
                <c:pt idx="179">
                  <c:v>2033</c:v>
                </c:pt>
                <c:pt idx="180">
                  <c:v>2034</c:v>
                </c:pt>
                <c:pt idx="181">
                  <c:v>2035</c:v>
                </c:pt>
                <c:pt idx="182">
                  <c:v>2036</c:v>
                </c:pt>
                <c:pt idx="183">
                  <c:v>2037</c:v>
                </c:pt>
                <c:pt idx="184">
                  <c:v>2038</c:v>
                </c:pt>
                <c:pt idx="185">
                  <c:v>2039</c:v>
                </c:pt>
                <c:pt idx="186">
                  <c:v>2040</c:v>
                </c:pt>
                <c:pt idx="187">
                  <c:v>2041</c:v>
                </c:pt>
                <c:pt idx="188">
                  <c:v>2042</c:v>
                </c:pt>
                <c:pt idx="189">
                  <c:v>2043</c:v>
                </c:pt>
                <c:pt idx="190">
                  <c:v>2044</c:v>
                </c:pt>
                <c:pt idx="191">
                  <c:v>2045</c:v>
                </c:pt>
                <c:pt idx="192">
                  <c:v>2046</c:v>
                </c:pt>
                <c:pt idx="193">
                  <c:v>2047</c:v>
                </c:pt>
                <c:pt idx="194">
                  <c:v>2048</c:v>
                </c:pt>
                <c:pt idx="195">
                  <c:v>2049</c:v>
                </c:pt>
                <c:pt idx="196">
                  <c:v>2050</c:v>
                </c:pt>
                <c:pt idx="197">
                  <c:v>2051</c:v>
                </c:pt>
                <c:pt idx="198">
                  <c:v>2052</c:v>
                </c:pt>
                <c:pt idx="199">
                  <c:v>2053</c:v>
                </c:pt>
                <c:pt idx="200">
                  <c:v>2054</c:v>
                </c:pt>
                <c:pt idx="201">
                  <c:v>2055</c:v>
                </c:pt>
                <c:pt idx="202">
                  <c:v>2056</c:v>
                </c:pt>
                <c:pt idx="203">
                  <c:v>2057</c:v>
                </c:pt>
                <c:pt idx="204">
                  <c:v>2058</c:v>
                </c:pt>
                <c:pt idx="205">
                  <c:v>2059</c:v>
                </c:pt>
                <c:pt idx="206">
                  <c:v>2060</c:v>
                </c:pt>
                <c:pt idx="207">
                  <c:v>2061</c:v>
                </c:pt>
                <c:pt idx="208">
                  <c:v>2062</c:v>
                </c:pt>
                <c:pt idx="209">
                  <c:v>2063</c:v>
                </c:pt>
                <c:pt idx="210">
                  <c:v>2064</c:v>
                </c:pt>
                <c:pt idx="211">
                  <c:v>2065</c:v>
                </c:pt>
                <c:pt idx="212">
                  <c:v>2066</c:v>
                </c:pt>
                <c:pt idx="213">
                  <c:v>2067</c:v>
                </c:pt>
                <c:pt idx="214">
                  <c:v>2068</c:v>
                </c:pt>
                <c:pt idx="215">
                  <c:v>2069</c:v>
                </c:pt>
                <c:pt idx="216">
                  <c:v>2070</c:v>
                </c:pt>
                <c:pt idx="217">
                  <c:v>2071</c:v>
                </c:pt>
                <c:pt idx="218">
                  <c:v>2072</c:v>
                </c:pt>
                <c:pt idx="219">
                  <c:v>2073</c:v>
                </c:pt>
                <c:pt idx="220">
                  <c:v>2074</c:v>
                </c:pt>
                <c:pt idx="221">
                  <c:v>2075</c:v>
                </c:pt>
                <c:pt idx="222">
                  <c:v>2076</c:v>
                </c:pt>
                <c:pt idx="223">
                  <c:v>2077</c:v>
                </c:pt>
                <c:pt idx="224">
                  <c:v>2078</c:v>
                </c:pt>
                <c:pt idx="225">
                  <c:v>2079</c:v>
                </c:pt>
                <c:pt idx="226">
                  <c:v>2080</c:v>
                </c:pt>
                <c:pt idx="227">
                  <c:v>2081</c:v>
                </c:pt>
                <c:pt idx="228">
                  <c:v>2082</c:v>
                </c:pt>
                <c:pt idx="229">
                  <c:v>2083</c:v>
                </c:pt>
                <c:pt idx="230">
                  <c:v>2084</c:v>
                </c:pt>
                <c:pt idx="231">
                  <c:v>2085</c:v>
                </c:pt>
                <c:pt idx="232">
                  <c:v>2086</c:v>
                </c:pt>
                <c:pt idx="233">
                  <c:v>2087</c:v>
                </c:pt>
                <c:pt idx="234">
                  <c:v>2088</c:v>
                </c:pt>
                <c:pt idx="235">
                  <c:v>2089</c:v>
                </c:pt>
                <c:pt idx="236">
                  <c:v>2090</c:v>
                </c:pt>
                <c:pt idx="237">
                  <c:v>2091</c:v>
                </c:pt>
                <c:pt idx="238">
                  <c:v>2092</c:v>
                </c:pt>
                <c:pt idx="239">
                  <c:v>2093</c:v>
                </c:pt>
                <c:pt idx="240">
                  <c:v>2094</c:v>
                </c:pt>
                <c:pt idx="241">
                  <c:v>2095</c:v>
                </c:pt>
                <c:pt idx="242">
                  <c:v>2096</c:v>
                </c:pt>
                <c:pt idx="243">
                  <c:v>2097</c:v>
                </c:pt>
                <c:pt idx="244">
                  <c:v>2098</c:v>
                </c:pt>
                <c:pt idx="245">
                  <c:v>2099</c:v>
                </c:pt>
                <c:pt idx="246">
                  <c:v>2100</c:v>
                </c:pt>
                <c:pt idx="247">
                  <c:v>2101</c:v>
                </c:pt>
                <c:pt idx="248">
                  <c:v>2102</c:v>
                </c:pt>
                <c:pt idx="249">
                  <c:v>2103</c:v>
                </c:pt>
                <c:pt idx="250">
                  <c:v>2104</c:v>
                </c:pt>
                <c:pt idx="251">
                  <c:v>2105</c:v>
                </c:pt>
                <c:pt idx="252">
                  <c:v>2106</c:v>
                </c:pt>
                <c:pt idx="253">
                  <c:v>2107</c:v>
                </c:pt>
                <c:pt idx="254">
                  <c:v>2108</c:v>
                </c:pt>
                <c:pt idx="255">
                  <c:v>2109</c:v>
                </c:pt>
                <c:pt idx="256">
                  <c:v>2110</c:v>
                </c:pt>
                <c:pt idx="257">
                  <c:v>2111</c:v>
                </c:pt>
                <c:pt idx="258">
                  <c:v>2112</c:v>
                </c:pt>
                <c:pt idx="259">
                  <c:v>2113</c:v>
                </c:pt>
                <c:pt idx="260">
                  <c:v>2114</c:v>
                </c:pt>
                <c:pt idx="261">
                  <c:v>2115</c:v>
                </c:pt>
                <c:pt idx="262">
                  <c:v>2116</c:v>
                </c:pt>
                <c:pt idx="263">
                  <c:v>2117</c:v>
                </c:pt>
                <c:pt idx="264">
                  <c:v>2118</c:v>
                </c:pt>
                <c:pt idx="265">
                  <c:v>2119</c:v>
                </c:pt>
                <c:pt idx="266">
                  <c:v>2120</c:v>
                </c:pt>
              </c:numCache>
            </c:numRef>
          </c:xVal>
          <c:yVal>
            <c:numRef>
              <c:f>Russia!$F$18:$F$284</c:f>
              <c:numCache>
                <c:formatCode>0.0</c:formatCode>
                <c:ptCount val="267"/>
                <c:pt idx="0" formatCode="General">
                  <c:v>0</c:v>
                </c:pt>
                <c:pt idx="1">
                  <c:v>8.1799999999999996E-5</c:v>
                </c:pt>
                <c:pt idx="2">
                  <c:v>1.6770000000000001E-4</c:v>
                </c:pt>
                <c:pt idx="3">
                  <c:v>2.655E-4</c:v>
                </c:pt>
                <c:pt idx="4">
                  <c:v>4.1129999999999997E-4</c:v>
                </c:pt>
                <c:pt idx="5">
                  <c:v>5.9629999999999991E-4</c:v>
                </c:pt>
                <c:pt idx="6">
                  <c:v>7.9629999999999989E-4</c:v>
                </c:pt>
                <c:pt idx="7">
                  <c:v>1.0131999999999999E-3</c:v>
                </c:pt>
                <c:pt idx="8">
                  <c:v>1.243E-3</c:v>
                </c:pt>
                <c:pt idx="9">
                  <c:v>1.4959999999999999E-3</c:v>
                </c:pt>
                <c:pt idx="10">
                  <c:v>1.781E-3</c:v>
                </c:pt>
                <c:pt idx="11">
                  <c:v>2.0436999999999999E-3</c:v>
                </c:pt>
                <c:pt idx="12">
                  <c:v>2.2730999999999997E-3</c:v>
                </c:pt>
                <c:pt idx="13">
                  <c:v>2.5924999999999998E-3</c:v>
                </c:pt>
                <c:pt idx="14">
                  <c:v>2.9135999999999997E-3</c:v>
                </c:pt>
                <c:pt idx="15">
                  <c:v>3.3084999999999998E-3</c:v>
                </c:pt>
                <c:pt idx="16">
                  <c:v>3.7475E-3</c:v>
                </c:pt>
                <c:pt idx="17">
                  <c:v>4.0019000000000001E-3</c:v>
                </c:pt>
                <c:pt idx="18">
                  <c:v>4.4654999999999999E-3</c:v>
                </c:pt>
                <c:pt idx="19">
                  <c:v>5.0362999999999996E-3</c:v>
                </c:pt>
                <c:pt idx="20">
                  <c:v>5.7307999999999994E-3</c:v>
                </c:pt>
                <c:pt idx="21">
                  <c:v>6.5402999999999998E-3</c:v>
                </c:pt>
                <c:pt idx="22">
                  <c:v>7.3822000000000002E-3</c:v>
                </c:pt>
                <c:pt idx="23">
                  <c:v>8.1396000000000003E-3</c:v>
                </c:pt>
                <c:pt idx="24">
                  <c:v>9.5236999999999995E-3</c:v>
                </c:pt>
                <c:pt idx="25">
                  <c:v>1.1036900000000001E-2</c:v>
                </c:pt>
                <c:pt idx="26">
                  <c:v>1.28977E-2</c:v>
                </c:pt>
                <c:pt idx="27">
                  <c:v>1.48124E-2</c:v>
                </c:pt>
                <c:pt idx="28">
                  <c:v>1.6832E-2</c:v>
                </c:pt>
                <c:pt idx="29">
                  <c:v>1.8933999999999999E-2</c:v>
                </c:pt>
                <c:pt idx="30">
                  <c:v>2.1190999999999998E-2</c:v>
                </c:pt>
                <c:pt idx="31">
                  <c:v>2.3591299999999999E-2</c:v>
                </c:pt>
                <c:pt idx="32">
                  <c:v>2.6043399999999998E-2</c:v>
                </c:pt>
                <c:pt idx="33">
                  <c:v>2.8903899999999996E-2</c:v>
                </c:pt>
                <c:pt idx="34">
                  <c:v>3.1844099999999993E-2</c:v>
                </c:pt>
                <c:pt idx="35">
                  <c:v>3.450969999999999E-2</c:v>
                </c:pt>
                <c:pt idx="36">
                  <c:v>3.7507199999999991E-2</c:v>
                </c:pt>
                <c:pt idx="37">
                  <c:v>4.0502699999999989E-2</c:v>
                </c:pt>
                <c:pt idx="38">
                  <c:v>4.3873699999999988E-2</c:v>
                </c:pt>
                <c:pt idx="39">
                  <c:v>4.762389999999999E-2</c:v>
                </c:pt>
                <c:pt idx="40">
                  <c:v>5.1527299999999991E-2</c:v>
                </c:pt>
                <c:pt idx="41">
                  <c:v>5.5482999999999991E-2</c:v>
                </c:pt>
                <c:pt idx="42">
                  <c:v>5.9746699999999993E-2</c:v>
                </c:pt>
                <c:pt idx="43">
                  <c:v>6.3546499999999992E-2</c:v>
                </c:pt>
                <c:pt idx="44">
                  <c:v>6.8286899999999984E-2</c:v>
                </c:pt>
                <c:pt idx="45">
                  <c:v>7.3214599999999977E-2</c:v>
                </c:pt>
                <c:pt idx="46">
                  <c:v>7.835739999999998E-2</c:v>
                </c:pt>
                <c:pt idx="47">
                  <c:v>8.4014299999999972E-2</c:v>
                </c:pt>
                <c:pt idx="48">
                  <c:v>8.975099999999997E-2</c:v>
                </c:pt>
                <c:pt idx="49">
                  <c:v>9.6223899999999973E-2</c:v>
                </c:pt>
                <c:pt idx="50">
                  <c:v>0.10274979999999997</c:v>
                </c:pt>
                <c:pt idx="51">
                  <c:v>0.10856159999999997</c:v>
                </c:pt>
                <c:pt idx="52">
                  <c:v>0.11604719999999996</c:v>
                </c:pt>
                <c:pt idx="53">
                  <c:v>0.12386189999999996</c:v>
                </c:pt>
                <c:pt idx="54">
                  <c:v>0.13185829999999996</c:v>
                </c:pt>
                <c:pt idx="55">
                  <c:v>0.14018869999999994</c:v>
                </c:pt>
                <c:pt idx="56">
                  <c:v>0.14855769999999996</c:v>
                </c:pt>
                <c:pt idx="57">
                  <c:v>0.15723329999999996</c:v>
                </c:pt>
                <c:pt idx="58">
                  <c:v>0.16870089999999996</c:v>
                </c:pt>
                <c:pt idx="59">
                  <c:v>0.18343459999999995</c:v>
                </c:pt>
                <c:pt idx="60">
                  <c:v>0.19168459999999996</c:v>
                </c:pt>
                <c:pt idx="61">
                  <c:v>0.19671159999999996</c:v>
                </c:pt>
                <c:pt idx="62">
                  <c:v>0.20265159999999996</c:v>
                </c:pt>
                <c:pt idx="63">
                  <c:v>0.20932409999999996</c:v>
                </c:pt>
                <c:pt idx="64">
                  <c:v>0.21370109999999995</c:v>
                </c:pt>
                <c:pt idx="65">
                  <c:v>0.21779509999999996</c:v>
                </c:pt>
                <c:pt idx="66">
                  <c:v>0.22230609999999995</c:v>
                </c:pt>
                <c:pt idx="67">
                  <c:v>0.22667709999999996</c:v>
                </c:pt>
                <c:pt idx="68">
                  <c:v>0.23113109999999998</c:v>
                </c:pt>
                <c:pt idx="69">
                  <c:v>0.23611009999999999</c:v>
                </c:pt>
                <c:pt idx="70">
                  <c:v>0.24068409999999998</c:v>
                </c:pt>
                <c:pt idx="71">
                  <c:v>0.24537509999999998</c:v>
                </c:pt>
                <c:pt idx="72">
                  <c:v>0.25222509999999998</c:v>
                </c:pt>
                <c:pt idx="73">
                  <c:v>0.2606871</c:v>
                </c:pt>
                <c:pt idx="74">
                  <c:v>0.27227709999999999</c:v>
                </c:pt>
                <c:pt idx="75">
                  <c:v>0.28721809999999998</c:v>
                </c:pt>
                <c:pt idx="76">
                  <c:v>0.30538009999999999</c:v>
                </c:pt>
                <c:pt idx="77">
                  <c:v>0.32871909999999999</c:v>
                </c:pt>
                <c:pt idx="78">
                  <c:v>0.35488710000000001</c:v>
                </c:pt>
                <c:pt idx="79">
                  <c:v>0.38827909999999999</c:v>
                </c:pt>
                <c:pt idx="80">
                  <c:v>0.4308881</c:v>
                </c:pt>
                <c:pt idx="81">
                  <c:v>0.48280109999999998</c:v>
                </c:pt>
                <c:pt idx="82">
                  <c:v>0.54480209999999996</c:v>
                </c:pt>
                <c:pt idx="83">
                  <c:v>0.60774209999999995</c:v>
                </c:pt>
                <c:pt idx="84">
                  <c:v>0.6742281</c:v>
                </c:pt>
                <c:pt idx="85">
                  <c:v>0.75346109999999999</c:v>
                </c:pt>
                <c:pt idx="86">
                  <c:v>0.84170109999999998</c:v>
                </c:pt>
                <c:pt idx="87">
                  <c:v>0.9415481</c:v>
                </c:pt>
                <c:pt idx="88">
                  <c:v>1.0216631</c:v>
                </c:pt>
                <c:pt idx="89">
                  <c:v>1.1188291000000001</c:v>
                </c:pt>
                <c:pt idx="90">
                  <c:v>1.2310741000000001</c:v>
                </c:pt>
                <c:pt idx="91">
                  <c:v>1.3512081</c:v>
                </c:pt>
                <c:pt idx="92">
                  <c:v>1.4777371000000001</c:v>
                </c:pt>
                <c:pt idx="93">
                  <c:v>1.6159891000000002</c:v>
                </c:pt>
                <c:pt idx="94">
                  <c:v>1.7708721000000001</c:v>
                </c:pt>
                <c:pt idx="95">
                  <c:v>1.9450296</c:v>
                </c:pt>
                <c:pt idx="96">
                  <c:v>2.1318755999999999</c:v>
                </c:pt>
                <c:pt idx="97">
                  <c:v>2.3327215999999997</c:v>
                </c:pt>
                <c:pt idx="98">
                  <c:v>2.5447625999999999</c:v>
                </c:pt>
                <c:pt idx="99">
                  <c:v>2.7698616</c:v>
                </c:pt>
                <c:pt idx="100">
                  <c:v>3.0133766</c:v>
                </c:pt>
                <c:pt idx="101">
                  <c:v>3.2808695999999999</c:v>
                </c:pt>
                <c:pt idx="102">
                  <c:v>3.57631685</c:v>
                </c:pt>
                <c:pt idx="103">
                  <c:v>3.89640735</c:v>
                </c:pt>
                <c:pt idx="104">
                  <c:v>4.2403681000000004</c:v>
                </c:pt>
                <c:pt idx="105">
                  <c:v>4.5861571000000003</c:v>
                </c:pt>
                <c:pt idx="106">
                  <c:v>4.9349721000000004</c:v>
                </c:pt>
                <c:pt idx="107">
                  <c:v>5.2824011000000004</c:v>
                </c:pt>
                <c:pt idx="108">
                  <c:v>5.6386841000000008</c:v>
                </c:pt>
                <c:pt idx="109">
                  <c:v>6.0055831000000008</c:v>
                </c:pt>
                <c:pt idx="110">
                  <c:v>6.3869931000000006</c:v>
                </c:pt>
                <c:pt idx="111">
                  <c:v>6.7892371000000002</c:v>
                </c:pt>
                <c:pt idx="112">
                  <c:v>7.1991391</c:v>
                </c:pt>
                <c:pt idx="113">
                  <c:v>7.6180060999999997</c:v>
                </c:pt>
                <c:pt idx="114">
                  <c:v>8.0381400999999997</c:v>
                </c:pt>
                <c:pt idx="115">
                  <c:v>8.4682060999999997</c:v>
                </c:pt>
                <c:pt idx="116">
                  <c:v>8.9147631000000001</c:v>
                </c:pt>
                <c:pt idx="117">
                  <c:v>9.3787251000000005</c:v>
                </c:pt>
                <c:pt idx="118">
                  <c:v>9.8590261000000012</c:v>
                </c:pt>
                <c:pt idx="119">
                  <c:v>10.353567100000001</c:v>
                </c:pt>
                <c:pt idx="120">
                  <c:v>10.862780100000002</c:v>
                </c:pt>
                <c:pt idx="121">
                  <c:v>11.392071100000003</c:v>
                </c:pt>
                <c:pt idx="122">
                  <c:v>11.930337100000003</c:v>
                </c:pt>
                <c:pt idx="123">
                  <c:v>12.481680100000002</c:v>
                </c:pt>
                <c:pt idx="124">
                  <c:v>13.042131100000002</c:v>
                </c:pt>
                <c:pt idx="125">
                  <c:v>13.604738100000002</c:v>
                </c:pt>
                <c:pt idx="126">
                  <c:v>14.174448100000003</c:v>
                </c:pt>
                <c:pt idx="127">
                  <c:v>14.73715310224004</c:v>
                </c:pt>
                <c:pt idx="128">
                  <c:v>15.314490551980356</c:v>
                </c:pt>
                <c:pt idx="129">
                  <c:v>15.89364070807002</c:v>
                </c:pt>
                <c:pt idx="130">
                  <c:v>16.470335710547609</c:v>
                </c:pt>
                <c:pt idx="131">
                  <c:v>17.066230713177109</c:v>
                </c:pt>
                <c:pt idx="132">
                  <c:v>17.682969715814291</c:v>
                </c:pt>
                <c:pt idx="133">
                  <c:v>18.309227718439388</c:v>
                </c:pt>
                <c:pt idx="134">
                  <c:v>18.947682721063092</c:v>
                </c:pt>
                <c:pt idx="135">
                  <c:v>19.56541572365121</c:v>
                </c:pt>
                <c:pt idx="136">
                  <c:v>20.157354726052773</c:v>
                </c:pt>
                <c:pt idx="137">
                  <c:v>20.703149728380023</c:v>
                </c:pt>
                <c:pt idx="138">
                  <c:v>21.219663730416119</c:v>
                </c:pt>
                <c:pt idx="139">
                  <c:v>21.684879932278466</c:v>
                </c:pt>
                <c:pt idx="140">
                  <c:v>22.105201434019904</c:v>
                </c:pt>
                <c:pt idx="141">
                  <c:v>22.491302135651754</c:v>
                </c:pt>
                <c:pt idx="142">
                  <c:v>22.860769237128682</c:v>
                </c:pt>
                <c:pt idx="143">
                  <c:v>23.21407773857344</c:v>
                </c:pt>
                <c:pt idx="144">
                  <c:v>23.548793439905378</c:v>
                </c:pt>
                <c:pt idx="145">
                  <c:v>23.892799941375205</c:v>
                </c:pt>
                <c:pt idx="146">
                  <c:v>24.263687342936738</c:v>
                </c:pt>
                <c:pt idx="147">
                  <c:v>24.651436744547112</c:v>
                </c:pt>
                <c:pt idx="148">
                  <c:v>25.019200646120822</c:v>
                </c:pt>
                <c:pt idx="149">
                  <c:v>25.419108847733398</c:v>
                </c:pt>
                <c:pt idx="150">
                  <c:v>25.829558449463498</c:v>
                </c:pt>
                <c:pt idx="151">
                  <c:v>26.260516251369033</c:v>
                </c:pt>
                <c:pt idx="152">
                  <c:v>26.713287014318539</c:v>
                </c:pt>
                <c:pt idx="153">
                  <c:v>27.169580413528724</c:v>
                </c:pt>
                <c:pt idx="154">
                  <c:v>27.654645330738909</c:v>
                </c:pt>
                <c:pt idx="155">
                  <c:v>28.099771947949094</c:v>
                </c:pt>
              </c:numCache>
            </c:numRef>
          </c:yVal>
          <c:smooth val="1"/>
          <c:extLst>
            <c:ext xmlns:c16="http://schemas.microsoft.com/office/drawing/2014/chart" uri="{C3380CC4-5D6E-409C-BE32-E72D297353CC}">
              <c16:uniqueId val="{00000002-0206-8C47-A212-C5B05A19F34A}"/>
            </c:ext>
          </c:extLst>
        </c:ser>
        <c:ser>
          <c:idx val="1"/>
          <c:order val="3"/>
          <c:tx>
            <c:v>early q l</c:v>
          </c:tx>
          <c:spPr>
            <a:ln w="15875">
              <a:solidFill>
                <a:srgbClr val="808080"/>
              </a:solidFill>
              <a:prstDash val="dash"/>
            </a:ln>
          </c:spPr>
          <c:marker>
            <c:symbol val="none"/>
          </c:marker>
          <c:xVal>
            <c:numRef>
              <c:f>Russia!$D$47:$D$68</c:f>
              <c:numCache>
                <c:formatCode>General</c:formatCode>
                <c:ptCount val="22"/>
                <c:pt idx="0">
                  <c:v>1883</c:v>
                </c:pt>
                <c:pt idx="1">
                  <c:v>1884</c:v>
                </c:pt>
                <c:pt idx="2">
                  <c:v>1885</c:v>
                </c:pt>
                <c:pt idx="3">
                  <c:v>1886</c:v>
                </c:pt>
                <c:pt idx="4">
                  <c:v>1887</c:v>
                </c:pt>
                <c:pt idx="5">
                  <c:v>1888</c:v>
                </c:pt>
                <c:pt idx="6">
                  <c:v>1889</c:v>
                </c:pt>
                <c:pt idx="7">
                  <c:v>1890</c:v>
                </c:pt>
                <c:pt idx="8">
                  <c:v>1891</c:v>
                </c:pt>
                <c:pt idx="9">
                  <c:v>1892</c:v>
                </c:pt>
                <c:pt idx="10">
                  <c:v>1893</c:v>
                </c:pt>
                <c:pt idx="11">
                  <c:v>1894</c:v>
                </c:pt>
                <c:pt idx="12">
                  <c:v>1895</c:v>
                </c:pt>
                <c:pt idx="13">
                  <c:v>1896</c:v>
                </c:pt>
                <c:pt idx="14">
                  <c:v>1897</c:v>
                </c:pt>
                <c:pt idx="15">
                  <c:v>1898</c:v>
                </c:pt>
                <c:pt idx="16">
                  <c:v>1899</c:v>
                </c:pt>
                <c:pt idx="17">
                  <c:v>1900</c:v>
                </c:pt>
                <c:pt idx="18">
                  <c:v>1901</c:v>
                </c:pt>
                <c:pt idx="19">
                  <c:v>1902</c:v>
                </c:pt>
                <c:pt idx="20">
                  <c:v>1903</c:v>
                </c:pt>
                <c:pt idx="21">
                  <c:v>1904</c:v>
                </c:pt>
              </c:numCache>
            </c:numRef>
          </c:xVal>
          <c:yVal>
            <c:numRef>
              <c:f>Russia!$J$47:$J$68</c:f>
              <c:numCache>
                <c:formatCode>0.0</c:formatCode>
                <c:ptCount val="22"/>
              </c:numCache>
            </c:numRef>
          </c:yVal>
          <c:smooth val="1"/>
          <c:extLst>
            <c:ext xmlns:c16="http://schemas.microsoft.com/office/drawing/2014/chart" uri="{C3380CC4-5D6E-409C-BE32-E72D297353CC}">
              <c16:uniqueId val="{00000003-0206-8C47-A212-C5B05A19F34A}"/>
            </c:ext>
          </c:extLst>
        </c:ser>
        <c:ser>
          <c:idx val="4"/>
          <c:order val="4"/>
          <c:tx>
            <c:strRef>
              <c:f>Russia!$J$17</c:f>
              <c:strCache>
                <c:ptCount val="1"/>
                <c:pt idx="0">
                  <c:v>q p</c:v>
                </c:pt>
              </c:strCache>
            </c:strRef>
          </c:tx>
          <c:spPr>
            <a:ln w="15875">
              <a:solidFill>
                <a:srgbClr val="808080"/>
              </a:solidFill>
              <a:prstDash val="dash"/>
            </a:ln>
          </c:spPr>
          <c:marker>
            <c:symbol val="none"/>
          </c:marker>
          <c:xVal>
            <c:numRef>
              <c:f>Russia!$D$83:$D$207</c:f>
              <c:numCache>
                <c:formatCode>General</c:formatCode>
                <c:ptCount val="125"/>
                <c:pt idx="0">
                  <c:v>1919</c:v>
                </c:pt>
                <c:pt idx="1">
                  <c:v>1920</c:v>
                </c:pt>
                <c:pt idx="2">
                  <c:v>1921</c:v>
                </c:pt>
                <c:pt idx="3">
                  <c:v>1922</c:v>
                </c:pt>
                <c:pt idx="4">
                  <c:v>1923</c:v>
                </c:pt>
                <c:pt idx="5">
                  <c:v>1924</c:v>
                </c:pt>
                <c:pt idx="6">
                  <c:v>1925</c:v>
                </c:pt>
                <c:pt idx="7">
                  <c:v>1926</c:v>
                </c:pt>
                <c:pt idx="8">
                  <c:v>1927</c:v>
                </c:pt>
                <c:pt idx="9">
                  <c:v>1928</c:v>
                </c:pt>
                <c:pt idx="10">
                  <c:v>1929</c:v>
                </c:pt>
                <c:pt idx="11">
                  <c:v>1930</c:v>
                </c:pt>
                <c:pt idx="12">
                  <c:v>1931</c:v>
                </c:pt>
                <c:pt idx="13">
                  <c:v>1932</c:v>
                </c:pt>
                <c:pt idx="14">
                  <c:v>1933</c:v>
                </c:pt>
                <c:pt idx="15">
                  <c:v>1934</c:v>
                </c:pt>
                <c:pt idx="16">
                  <c:v>1935</c:v>
                </c:pt>
                <c:pt idx="17">
                  <c:v>1936</c:v>
                </c:pt>
                <c:pt idx="18">
                  <c:v>1937</c:v>
                </c:pt>
                <c:pt idx="19">
                  <c:v>1938</c:v>
                </c:pt>
                <c:pt idx="20">
                  <c:v>1939</c:v>
                </c:pt>
                <c:pt idx="21">
                  <c:v>1940</c:v>
                </c:pt>
                <c:pt idx="22">
                  <c:v>1941</c:v>
                </c:pt>
                <c:pt idx="23">
                  <c:v>1942</c:v>
                </c:pt>
                <c:pt idx="24">
                  <c:v>1943</c:v>
                </c:pt>
                <c:pt idx="25">
                  <c:v>1944</c:v>
                </c:pt>
                <c:pt idx="26">
                  <c:v>1945</c:v>
                </c:pt>
                <c:pt idx="27">
                  <c:v>1946</c:v>
                </c:pt>
                <c:pt idx="28">
                  <c:v>1947</c:v>
                </c:pt>
                <c:pt idx="29">
                  <c:v>1948</c:v>
                </c:pt>
                <c:pt idx="30">
                  <c:v>1949</c:v>
                </c:pt>
                <c:pt idx="31">
                  <c:v>1950</c:v>
                </c:pt>
                <c:pt idx="32">
                  <c:v>1951</c:v>
                </c:pt>
                <c:pt idx="33">
                  <c:v>1952</c:v>
                </c:pt>
                <c:pt idx="34">
                  <c:v>1953</c:v>
                </c:pt>
                <c:pt idx="35">
                  <c:v>1954</c:v>
                </c:pt>
                <c:pt idx="36">
                  <c:v>1955</c:v>
                </c:pt>
                <c:pt idx="37">
                  <c:v>1956</c:v>
                </c:pt>
                <c:pt idx="38">
                  <c:v>1957</c:v>
                </c:pt>
                <c:pt idx="39">
                  <c:v>1958</c:v>
                </c:pt>
                <c:pt idx="40">
                  <c:v>1959</c:v>
                </c:pt>
                <c:pt idx="41">
                  <c:v>1960</c:v>
                </c:pt>
                <c:pt idx="42">
                  <c:v>1961</c:v>
                </c:pt>
                <c:pt idx="43">
                  <c:v>1962</c:v>
                </c:pt>
                <c:pt idx="44">
                  <c:v>1963</c:v>
                </c:pt>
                <c:pt idx="45">
                  <c:v>1964</c:v>
                </c:pt>
                <c:pt idx="46">
                  <c:v>1965</c:v>
                </c:pt>
                <c:pt idx="47">
                  <c:v>1966</c:v>
                </c:pt>
                <c:pt idx="48">
                  <c:v>1967</c:v>
                </c:pt>
                <c:pt idx="49">
                  <c:v>1968</c:v>
                </c:pt>
                <c:pt idx="50">
                  <c:v>1969</c:v>
                </c:pt>
                <c:pt idx="51">
                  <c:v>1970</c:v>
                </c:pt>
                <c:pt idx="52">
                  <c:v>1971</c:v>
                </c:pt>
                <c:pt idx="53">
                  <c:v>1972</c:v>
                </c:pt>
                <c:pt idx="54">
                  <c:v>1973</c:v>
                </c:pt>
                <c:pt idx="55">
                  <c:v>1974</c:v>
                </c:pt>
                <c:pt idx="56">
                  <c:v>1975</c:v>
                </c:pt>
                <c:pt idx="57">
                  <c:v>1976</c:v>
                </c:pt>
                <c:pt idx="58">
                  <c:v>1977</c:v>
                </c:pt>
                <c:pt idx="59">
                  <c:v>1978</c:v>
                </c:pt>
                <c:pt idx="60">
                  <c:v>1979</c:v>
                </c:pt>
                <c:pt idx="61">
                  <c:v>1980</c:v>
                </c:pt>
                <c:pt idx="62">
                  <c:v>1981</c:v>
                </c:pt>
                <c:pt idx="63">
                  <c:v>1982</c:v>
                </c:pt>
                <c:pt idx="64">
                  <c:v>1983</c:v>
                </c:pt>
                <c:pt idx="65">
                  <c:v>1984</c:v>
                </c:pt>
                <c:pt idx="66">
                  <c:v>1985</c:v>
                </c:pt>
                <c:pt idx="67">
                  <c:v>1986</c:v>
                </c:pt>
                <c:pt idx="68">
                  <c:v>1987</c:v>
                </c:pt>
                <c:pt idx="69">
                  <c:v>1988</c:v>
                </c:pt>
                <c:pt idx="70">
                  <c:v>1989</c:v>
                </c:pt>
                <c:pt idx="71">
                  <c:v>1990</c:v>
                </c:pt>
                <c:pt idx="72">
                  <c:v>1991</c:v>
                </c:pt>
                <c:pt idx="73">
                  <c:v>1992</c:v>
                </c:pt>
                <c:pt idx="74">
                  <c:v>1993</c:v>
                </c:pt>
                <c:pt idx="75">
                  <c:v>1994</c:v>
                </c:pt>
                <c:pt idx="76">
                  <c:v>1995</c:v>
                </c:pt>
                <c:pt idx="77">
                  <c:v>1996</c:v>
                </c:pt>
                <c:pt idx="78">
                  <c:v>1997</c:v>
                </c:pt>
                <c:pt idx="79">
                  <c:v>1998</c:v>
                </c:pt>
                <c:pt idx="80">
                  <c:v>1999</c:v>
                </c:pt>
                <c:pt idx="81">
                  <c:v>2000</c:v>
                </c:pt>
                <c:pt idx="82">
                  <c:v>2001</c:v>
                </c:pt>
                <c:pt idx="83">
                  <c:v>2002</c:v>
                </c:pt>
                <c:pt idx="84">
                  <c:v>2003</c:v>
                </c:pt>
                <c:pt idx="85">
                  <c:v>2004</c:v>
                </c:pt>
                <c:pt idx="86">
                  <c:v>2005</c:v>
                </c:pt>
                <c:pt idx="87">
                  <c:v>2006</c:v>
                </c:pt>
                <c:pt idx="88">
                  <c:v>2007</c:v>
                </c:pt>
                <c:pt idx="89">
                  <c:v>2008</c:v>
                </c:pt>
                <c:pt idx="90">
                  <c:v>2009</c:v>
                </c:pt>
                <c:pt idx="91">
                  <c:v>2010</c:v>
                </c:pt>
                <c:pt idx="92">
                  <c:v>2011</c:v>
                </c:pt>
                <c:pt idx="93">
                  <c:v>2012</c:v>
                </c:pt>
                <c:pt idx="94">
                  <c:v>2013</c:v>
                </c:pt>
                <c:pt idx="95">
                  <c:v>2014</c:v>
                </c:pt>
                <c:pt idx="96">
                  <c:v>2015</c:v>
                </c:pt>
                <c:pt idx="97">
                  <c:v>2016</c:v>
                </c:pt>
                <c:pt idx="98">
                  <c:v>2017</c:v>
                </c:pt>
                <c:pt idx="99">
                  <c:v>2018</c:v>
                </c:pt>
                <c:pt idx="100">
                  <c:v>2019</c:v>
                </c:pt>
                <c:pt idx="101">
                  <c:v>2020</c:v>
                </c:pt>
                <c:pt idx="102">
                  <c:v>2021</c:v>
                </c:pt>
                <c:pt idx="103">
                  <c:v>2022</c:v>
                </c:pt>
                <c:pt idx="104">
                  <c:v>2023</c:v>
                </c:pt>
                <c:pt idx="105">
                  <c:v>2024</c:v>
                </c:pt>
                <c:pt idx="106">
                  <c:v>2025</c:v>
                </c:pt>
                <c:pt idx="107">
                  <c:v>2026</c:v>
                </c:pt>
                <c:pt idx="108">
                  <c:v>2027</c:v>
                </c:pt>
                <c:pt idx="109">
                  <c:v>2028</c:v>
                </c:pt>
                <c:pt idx="110">
                  <c:v>2029</c:v>
                </c:pt>
                <c:pt idx="111">
                  <c:v>2030</c:v>
                </c:pt>
                <c:pt idx="112">
                  <c:v>2031</c:v>
                </c:pt>
                <c:pt idx="113">
                  <c:v>2032</c:v>
                </c:pt>
                <c:pt idx="114">
                  <c:v>2033</c:v>
                </c:pt>
                <c:pt idx="115">
                  <c:v>2034</c:v>
                </c:pt>
                <c:pt idx="116">
                  <c:v>2035</c:v>
                </c:pt>
                <c:pt idx="117">
                  <c:v>2036</c:v>
                </c:pt>
                <c:pt idx="118">
                  <c:v>2037</c:v>
                </c:pt>
                <c:pt idx="119">
                  <c:v>2038</c:v>
                </c:pt>
                <c:pt idx="120">
                  <c:v>2039</c:v>
                </c:pt>
                <c:pt idx="121">
                  <c:v>2040</c:v>
                </c:pt>
                <c:pt idx="122">
                  <c:v>2041</c:v>
                </c:pt>
                <c:pt idx="123">
                  <c:v>2042</c:v>
                </c:pt>
                <c:pt idx="124">
                  <c:v>2043</c:v>
                </c:pt>
              </c:numCache>
            </c:numRef>
          </c:xVal>
          <c:yVal>
            <c:numRef>
              <c:f>Russia!$J$83:$J$207</c:f>
              <c:numCache>
                <c:formatCode>0.0</c:formatCode>
                <c:ptCount val="125"/>
                <c:pt idx="58">
                  <c:v>12.568459572644196</c:v>
                </c:pt>
                <c:pt idx="59">
                  <c:v>13.084455212392045</c:v>
                </c:pt>
                <c:pt idx="60">
                  <c:v>13.612974366123735</c:v>
                </c:pt>
                <c:pt idx="61">
                  <c:v>14.153880473883826</c:v>
                </c:pt>
                <c:pt idx="62">
                  <c:v>14.707013379502884</c:v>
                </c:pt>
                <c:pt idx="63">
                  <c:v>15.272189182939782</c:v>
                </c:pt>
                <c:pt idx="64">
                  <c:v>15.849200167426226</c:v>
                </c:pt>
                <c:pt idx="65">
                  <c:v>16.437814803372245</c:v>
                </c:pt>
                <c:pt idx="66">
                  <c:v>17.037777830655426</c:v>
                </c:pt>
                <c:pt idx="67">
                  <c:v>17.648810420563972</c:v>
                </c:pt>
                <c:pt idx="68">
                  <c:v>18.270610418296766</c:v>
                </c:pt>
                <c:pt idx="69">
                  <c:v>18.902852666544</c:v>
                </c:pt>
                <c:pt idx="70">
                  <c:v>19.545189410282305</c:v>
                </c:pt>
                <c:pt idx="71">
                  <c:v>20.197250782520896</c:v>
                </c:pt>
                <c:pt idx="72">
                  <c:v>20.85864537033234</c:v>
                </c:pt>
                <c:pt idx="73">
                  <c:v>21.270114207314986</c:v>
                </c:pt>
                <c:pt idx="74">
                  <c:v>21.645044362667782</c:v>
                </c:pt>
                <c:pt idx="75">
                  <c:v>22.022580074626873</c:v>
                </c:pt>
                <c:pt idx="76">
                  <c:v>22.40264361399662</c:v>
                </c:pt>
                <c:pt idx="77">
                  <c:v>22.785155452364613</c:v>
                </c:pt>
                <c:pt idx="78">
                  <c:v>23.170034310626161</c:v>
                </c:pt>
                <c:pt idx="79">
                  <c:v>23.557197209592282</c:v>
                </c:pt>
                <c:pt idx="80">
                  <c:v>23.946559522630317</c:v>
                </c:pt>
                <c:pt idx="81">
                  <c:v>24.33803503028302</c:v>
                </c:pt>
                <c:pt idx="82">
                  <c:v>24.731535976808519</c:v>
                </c:pt>
                <c:pt idx="83">
                  <c:v>25.126973128580364</c:v>
                </c:pt>
                <c:pt idx="84">
                  <c:v>25.524255834283746</c:v>
                </c:pt>
                <c:pt idx="85">
                  <c:v>25.923292086840881</c:v>
                </c:pt>
                <c:pt idx="86">
                  <c:v>26.323988586995569</c:v>
                </c:pt>
                <c:pt idx="87">
                  <c:v>26.726250808484263</c:v>
                </c:pt>
                <c:pt idx="88">
                  <c:v>27.129983064717965</c:v>
                </c:pt>
                <c:pt idx="89">
                  <c:v>27.535088576896968</c:v>
                </c:pt>
                <c:pt idx="90">
                  <c:v>27.941469543477798</c:v>
                </c:pt>
                <c:pt idx="91">
                  <c:v>28.349027210909426</c:v>
                </c:pt>
                <c:pt idx="92">
                  <c:v>28.757661945553583</c:v>
                </c:pt>
                <c:pt idx="93">
                  <c:v>29.167273306702036</c:v>
                </c:pt>
                <c:pt idx="94">
                  <c:v>29.577760120601624</c:v>
                </c:pt>
                <c:pt idx="95">
                  <c:v>29.989020555396284</c:v>
                </c:pt>
                <c:pt idx="96">
                  <c:v>30.400952196893446</c:v>
                </c:pt>
                <c:pt idx="97">
                  <c:v>30.813452125061019</c:v>
                </c:pt>
                <c:pt idx="98">
                  <c:v>31.226416991159606</c:v>
                </c:pt>
                <c:pt idx="99">
                  <c:v>31.639743095413753</c:v>
                </c:pt>
                <c:pt idx="100">
                  <c:v>32.053326465124833</c:v>
                </c:pt>
                <c:pt idx="101">
                  <c:v>32.467062933127622</c:v>
                </c:pt>
                <c:pt idx="102">
                  <c:v>32.880848216491806</c:v>
                </c:pt>
                <c:pt idx="103">
                  <c:v>33.294577995369387</c:v>
                </c:pt>
                <c:pt idx="104">
                  <c:v>33.708147991888616</c:v>
                </c:pt>
                <c:pt idx="105">
                  <c:v>34.121454048995041</c:v>
                </c:pt>
                <c:pt idx="106">
                  <c:v>34.534392209140265</c:v>
                </c:pt>
                <c:pt idx="107">
                  <c:v>34.946858792719411</c:v>
                </c:pt>
                <c:pt idx="108">
                  <c:v>35.358750476158676</c:v>
                </c:pt>
                <c:pt idx="109">
                  <c:v>35.769964369554884</c:v>
                </c:pt>
                <c:pt idx="110">
                  <c:v>36.180398093769867</c:v>
                </c:pt>
                <c:pt idx="111">
                  <c:v>36.589949856883408</c:v>
                </c:pt>
                <c:pt idx="112">
                  <c:v>36.99851852990966</c:v>
                </c:pt>
                <c:pt idx="113">
                  <c:v>37.406003721683014</c:v>
                </c:pt>
                <c:pt idx="114">
                  <c:v>37.812305852821318</c:v>
                </c:pt>
                <c:pt idx="115">
                  <c:v>38.217326228675411</c:v>
                </c:pt>
                <c:pt idx="116">
                  <c:v>38.620967111176114</c:v>
                </c:pt>
                <c:pt idx="117">
                  <c:v>39.023131789491629</c:v>
                </c:pt>
                <c:pt idx="118">
                  <c:v>39.423724649410133</c:v>
                </c:pt>
                <c:pt idx="119">
                  <c:v>39.822651241365129</c:v>
                </c:pt>
                <c:pt idx="120">
                  <c:v>40.219818347022731</c:v>
                </c:pt>
                <c:pt idx="121">
                  <c:v>40.615134044353233</c:v>
                </c:pt>
                <c:pt idx="122">
                  <c:v>41.008507771111454</c:v>
                </c:pt>
                <c:pt idx="123">
                  <c:v>41.399850386653277</c:v>
                </c:pt>
                <c:pt idx="124">
                  <c:v>41.78907423201867</c:v>
                </c:pt>
              </c:numCache>
            </c:numRef>
          </c:yVal>
          <c:smooth val="1"/>
          <c:extLst>
            <c:ext xmlns:c16="http://schemas.microsoft.com/office/drawing/2014/chart" uri="{C3380CC4-5D6E-409C-BE32-E72D297353CC}">
              <c16:uniqueId val="{00000004-0206-8C47-A212-C5B05A19F34A}"/>
            </c:ext>
          </c:extLst>
        </c:ser>
        <c:dLbls>
          <c:showLegendKey val="0"/>
          <c:showVal val="0"/>
          <c:showCatName val="0"/>
          <c:showSerName val="0"/>
          <c:showPercent val="0"/>
          <c:showBubbleSize val="0"/>
        </c:dLbls>
        <c:axId val="135823744"/>
        <c:axId val="135825280"/>
      </c:scatterChart>
      <c:valAx>
        <c:axId val="135823744"/>
        <c:scaling>
          <c:orientation val="minMax"/>
          <c:max val="2020"/>
          <c:min val="194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5825280"/>
        <c:crossesAt val="-1000"/>
        <c:crossBetween val="midCat"/>
        <c:majorUnit val="40"/>
        <c:minorUnit val="10"/>
      </c:valAx>
      <c:valAx>
        <c:axId val="135825280"/>
        <c:scaling>
          <c:orientation val="minMax"/>
          <c:max val="70"/>
          <c:min val="0"/>
        </c:scaling>
        <c:delete val="0"/>
        <c:axPos val="r"/>
        <c:title>
          <c:tx>
            <c:rich>
              <a:bodyPr rot="-5400000" vert="horz"/>
              <a:lstStyle/>
              <a:p>
                <a:pPr>
                  <a:defRPr sz="1200" b="0">
                    <a:solidFill>
                      <a:srgbClr val="333399"/>
                    </a:solidFill>
                  </a:defRPr>
                </a:pPr>
                <a:r>
                  <a:rPr lang="en-US" sz="1200" b="0">
                    <a:solidFill>
                      <a:srgbClr val="333399"/>
                    </a:solidFill>
                  </a:rPr>
                  <a:t>Cumulatrive production, Gt</a:t>
                </a:r>
              </a:p>
            </c:rich>
          </c:tx>
          <c:layout>
            <c:manualLayout>
              <c:xMode val="edge"/>
              <c:yMode val="edge"/>
              <c:x val="0.96179660875723849"/>
              <c:y val="0.1406284631087780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5823744"/>
        <c:crosses val="max"/>
        <c:crossBetween val="midCat"/>
        <c:majorUnit val="3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444361121526612E-2"/>
          <c:y val="5.7060002916302532E-2"/>
          <c:w val="0.83980402449693792"/>
          <c:h val="0.77264654418197765"/>
        </c:manualLayout>
      </c:layout>
      <c:scatterChart>
        <c:scatterStyle val="smoothMarker"/>
        <c:varyColors val="0"/>
        <c:ser>
          <c:idx val="3"/>
          <c:order val="0"/>
          <c:tx>
            <c:strRef>
              <c:f>Russia!$H$17</c:f>
              <c:strCache>
                <c:ptCount val="1"/>
                <c:pt idx="0">
                  <c:v>Q probit historical</c:v>
                </c:pt>
              </c:strCache>
            </c:strRef>
          </c:tx>
          <c:spPr>
            <a:ln w="15875">
              <a:solidFill>
                <a:srgbClr val="333399"/>
              </a:solidFill>
            </a:ln>
          </c:spPr>
          <c:marker>
            <c:symbol val="none"/>
          </c:marker>
          <c:xVal>
            <c:numRef>
              <c:f>Russia!$D$158:$D$173</c:f>
              <c:numCache>
                <c:formatCode>General</c:formatCode>
                <c:ptCount val="16"/>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numCache>
            </c:numRef>
          </c:xVal>
          <c:yVal>
            <c:numRef>
              <c:f>Russia!$H$158:$H$173</c:f>
              <c:numCache>
                <c:formatCode>0.0</c:formatCode>
                <c:ptCount val="16"/>
                <c:pt idx="0">
                  <c:v>40.386525096903476</c:v>
                </c:pt>
                <c:pt idx="1">
                  <c:v>40.378245412269727</c:v>
                </c:pt>
                <c:pt idx="2">
                  <c:v>40.345661692472738</c:v>
                </c:pt>
                <c:pt idx="3">
                  <c:v>40.270692753344669</c:v>
                </c:pt>
                <c:pt idx="4">
                  <c:v>40.134001294854173</c:v>
                </c:pt>
                <c:pt idx="5">
                  <c:v>39.883791585110046</c:v>
                </c:pt>
                <c:pt idx="6">
                  <c:v>39.589030883263916</c:v>
                </c:pt>
                <c:pt idx="7">
                  <c:v>39.501393568008112</c:v>
                </c:pt>
                <c:pt idx="8">
                  <c:v>39.50105348905803</c:v>
                </c:pt>
                <c:pt idx="9">
                  <c:v>40.100489375933719</c:v>
                </c:pt>
                <c:pt idx="10">
                  <c:v>41.425089837185588</c:v>
                </c:pt>
                <c:pt idx="11">
                  <c:v>43.715332611915656</c:v>
                </c:pt>
                <c:pt idx="12">
                  <c:v>47.247089369367629</c:v>
                </c:pt>
                <c:pt idx="13">
                  <c:v>51.851768023336462</c:v>
                </c:pt>
                <c:pt idx="14">
                  <c:v>58.486958560667311</c:v>
                </c:pt>
                <c:pt idx="15">
                  <c:v>65.321377585232014</c:v>
                </c:pt>
              </c:numCache>
            </c:numRef>
          </c:yVal>
          <c:smooth val="1"/>
          <c:extLst>
            <c:ext xmlns:c16="http://schemas.microsoft.com/office/drawing/2014/chart" uri="{C3380CC4-5D6E-409C-BE32-E72D297353CC}">
              <c16:uniqueId val="{00000000-E2A8-524B-BC45-2191DE0F901B}"/>
            </c:ext>
          </c:extLst>
        </c:ser>
        <c:ser>
          <c:idx val="4"/>
          <c:order val="1"/>
          <c:tx>
            <c:strRef>
              <c:f>Russia!$P$17</c:f>
              <c:strCache>
                <c:ptCount val="1"/>
                <c:pt idx="0">
                  <c:v>Q reserves</c:v>
                </c:pt>
              </c:strCache>
            </c:strRef>
          </c:tx>
          <c:spPr>
            <a:ln>
              <a:noFill/>
            </a:ln>
          </c:spPr>
          <c:marker>
            <c:symbol val="circle"/>
            <c:size val="6"/>
            <c:spPr>
              <a:noFill/>
              <a:ln>
                <a:solidFill>
                  <a:srgbClr val="333399"/>
                </a:solidFill>
              </a:ln>
            </c:spPr>
          </c:marker>
          <c:xVal>
            <c:numRef>
              <c:f>Russia!$O$18:$O$33</c:f>
              <c:numCache>
                <c:formatCode>General</c:formatCode>
                <c:ptCount val="16"/>
                <c:pt idx="0">
                  <c:v>1913</c:v>
                </c:pt>
                <c:pt idx="1">
                  <c:v>1936</c:v>
                </c:pt>
                <c:pt idx="2">
                  <c:v>1960</c:v>
                </c:pt>
                <c:pt idx="3">
                  <c:v>1962</c:v>
                </c:pt>
                <c:pt idx="4">
                  <c:v>1968</c:v>
                </c:pt>
                <c:pt idx="5">
                  <c:v>1974</c:v>
                </c:pt>
                <c:pt idx="6">
                  <c:v>1980</c:v>
                </c:pt>
                <c:pt idx="7">
                  <c:v>1986</c:v>
                </c:pt>
                <c:pt idx="8">
                  <c:v>1989</c:v>
                </c:pt>
                <c:pt idx="9">
                  <c:v>1992</c:v>
                </c:pt>
                <c:pt idx="10">
                  <c:v>1995</c:v>
                </c:pt>
                <c:pt idx="11">
                  <c:v>1998</c:v>
                </c:pt>
                <c:pt idx="12">
                  <c:v>2001</c:v>
                </c:pt>
                <c:pt idx="13">
                  <c:v>2004</c:v>
                </c:pt>
                <c:pt idx="14">
                  <c:v>2007</c:v>
                </c:pt>
                <c:pt idx="15">
                  <c:v>2010</c:v>
                </c:pt>
              </c:numCache>
            </c:numRef>
          </c:xVal>
          <c:yVal>
            <c:numRef>
              <c:f>Russia!$P$18:$P$33</c:f>
              <c:numCache>
                <c:formatCode>#,##0.0</c:formatCode>
                <c:ptCount val="16"/>
                <c:pt idx="0">
                  <c:v>178.55543460000001</c:v>
                </c:pt>
                <c:pt idx="1">
                  <c:v>1144.7752791</c:v>
                </c:pt>
                <c:pt idx="2">
                  <c:v>1160.86331685</c:v>
                </c:pt>
                <c:pt idx="3">
                  <c:v>4579.3719720999998</c:v>
                </c:pt>
                <c:pt idx="4">
                  <c:v>4073.1891391000004</c:v>
                </c:pt>
                <c:pt idx="5">
                  <c:v>90.365725099999992</c:v>
                </c:pt>
                <c:pt idx="6">
                  <c:v>190.99173809999999</c:v>
                </c:pt>
                <c:pt idx="7">
                  <c:v>205.55733571054759</c:v>
                </c:pt>
                <c:pt idx="8">
                  <c:v>203.69622771843939</c:v>
                </c:pt>
                <c:pt idx="9">
                  <c:v>205.54435472605277</c:v>
                </c:pt>
                <c:pt idx="10">
                  <c:v>207.07187993227848</c:v>
                </c:pt>
                <c:pt idx="11">
                  <c:v>219.28276923712869</c:v>
                </c:pt>
                <c:pt idx="12">
                  <c:v>220.31479994137521</c:v>
                </c:pt>
                <c:pt idx="13">
                  <c:v>218.72020064612082</c:v>
                </c:pt>
                <c:pt idx="14">
                  <c:v>218.98251625136905</c:v>
                </c:pt>
                <c:pt idx="15">
                  <c:v>224.93564533073891</c:v>
                </c:pt>
              </c:numCache>
            </c:numRef>
          </c:yVal>
          <c:smooth val="1"/>
          <c:extLst>
            <c:ext xmlns:c16="http://schemas.microsoft.com/office/drawing/2014/chart" uri="{C3380CC4-5D6E-409C-BE32-E72D297353CC}">
              <c16:uniqueId val="{00000001-E2A8-524B-BC45-2191DE0F901B}"/>
            </c:ext>
          </c:extLst>
        </c:ser>
        <c:dLbls>
          <c:showLegendKey val="0"/>
          <c:showVal val="0"/>
          <c:showCatName val="0"/>
          <c:showSerName val="0"/>
          <c:showPercent val="0"/>
          <c:showBubbleSize val="0"/>
        </c:dLbls>
        <c:axId val="135839744"/>
        <c:axId val="135842816"/>
      </c:scatterChart>
      <c:valAx>
        <c:axId val="135839744"/>
        <c:scaling>
          <c:orientation val="minMax"/>
          <c:max val="2020"/>
          <c:min val="191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5842816"/>
        <c:crossesAt val="-1000"/>
        <c:crossBetween val="midCat"/>
        <c:majorUnit val="50"/>
        <c:minorUnit val="10"/>
      </c:valAx>
      <c:valAx>
        <c:axId val="135842816"/>
        <c:scaling>
          <c:logBase val="10"/>
          <c:orientation val="minMax"/>
          <c:max val="5000"/>
          <c:min val="10"/>
        </c:scaling>
        <c:delete val="0"/>
        <c:axPos val="r"/>
        <c:title>
          <c:tx>
            <c:rich>
              <a:bodyPr rot="-5400000" vert="horz"/>
              <a:lstStyle/>
              <a:p>
                <a:pPr>
                  <a:defRPr sz="1200" b="0">
                    <a:solidFill>
                      <a:srgbClr val="333399"/>
                    </a:solidFill>
                  </a:defRPr>
                </a:pPr>
                <a:r>
                  <a:rPr lang="en-US" sz="1200" b="0">
                    <a:solidFill>
                      <a:srgbClr val="333399"/>
                    </a:solidFill>
                  </a:rPr>
                  <a:t>Long-term production, Gt</a:t>
                </a:r>
              </a:p>
            </c:rich>
          </c:tx>
          <c:layout>
            <c:manualLayout>
              <c:xMode val="edge"/>
              <c:yMode val="edge"/>
              <c:x val="0.96179660875723849"/>
              <c:y val="0.1406284631087780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5839744"/>
        <c:crosses val="max"/>
        <c:crossBetween val="midCat"/>
        <c:majorUnit val="10"/>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482598766063326E-2"/>
          <c:y val="7.5578547780783975E-2"/>
          <c:w val="0.87077189214993256"/>
          <c:h val="0.77264654418197765"/>
        </c:manualLayout>
      </c:layout>
      <c:scatterChart>
        <c:scatterStyle val="smoothMarker"/>
        <c:varyColors val="0"/>
        <c:ser>
          <c:idx val="3"/>
          <c:order val="0"/>
          <c:tx>
            <c:v>early probit early</c:v>
          </c:tx>
          <c:spPr>
            <a:ln w="15875">
              <a:solidFill>
                <a:srgbClr val="008000"/>
              </a:solidFill>
              <a:prstDash val="lgDash"/>
            </a:ln>
          </c:spPr>
          <c:marker>
            <c:symbol val="none"/>
          </c:marker>
          <c:xVal>
            <c:numRef>
              <c:f>'Western United States'!$D$14:$D$112</c:f>
              <c:numCache>
                <c:formatCode>General</c:formatCode>
                <c:ptCount val="99"/>
                <c:pt idx="0">
                  <c:v>1819</c:v>
                </c:pt>
                <c:pt idx="1">
                  <c:v>1820</c:v>
                </c:pt>
                <c:pt idx="2">
                  <c:v>1821</c:v>
                </c:pt>
                <c:pt idx="3">
                  <c:v>1822</c:v>
                </c:pt>
                <c:pt idx="4">
                  <c:v>1823</c:v>
                </c:pt>
                <c:pt idx="5">
                  <c:v>1824</c:v>
                </c:pt>
                <c:pt idx="6">
                  <c:v>1825</c:v>
                </c:pt>
                <c:pt idx="7">
                  <c:v>1826</c:v>
                </c:pt>
                <c:pt idx="8">
                  <c:v>1827</c:v>
                </c:pt>
                <c:pt idx="9">
                  <c:v>1828</c:v>
                </c:pt>
                <c:pt idx="10">
                  <c:v>1829</c:v>
                </c:pt>
                <c:pt idx="11">
                  <c:v>1830</c:v>
                </c:pt>
                <c:pt idx="12">
                  <c:v>1831</c:v>
                </c:pt>
                <c:pt idx="13">
                  <c:v>1832</c:v>
                </c:pt>
                <c:pt idx="14">
                  <c:v>1833</c:v>
                </c:pt>
                <c:pt idx="15">
                  <c:v>1834</c:v>
                </c:pt>
                <c:pt idx="16">
                  <c:v>1835</c:v>
                </c:pt>
                <c:pt idx="17">
                  <c:v>1836</c:v>
                </c:pt>
                <c:pt idx="18">
                  <c:v>1837</c:v>
                </c:pt>
                <c:pt idx="19">
                  <c:v>1838</c:v>
                </c:pt>
                <c:pt idx="20">
                  <c:v>1839</c:v>
                </c:pt>
                <c:pt idx="21">
                  <c:v>1840</c:v>
                </c:pt>
                <c:pt idx="22">
                  <c:v>1841</c:v>
                </c:pt>
                <c:pt idx="23">
                  <c:v>1842</c:v>
                </c:pt>
                <c:pt idx="24">
                  <c:v>1843</c:v>
                </c:pt>
                <c:pt idx="25">
                  <c:v>1844</c:v>
                </c:pt>
                <c:pt idx="26">
                  <c:v>1845</c:v>
                </c:pt>
                <c:pt idx="27">
                  <c:v>1846</c:v>
                </c:pt>
                <c:pt idx="28">
                  <c:v>1847</c:v>
                </c:pt>
                <c:pt idx="29">
                  <c:v>1848</c:v>
                </c:pt>
                <c:pt idx="30">
                  <c:v>1849</c:v>
                </c:pt>
                <c:pt idx="31">
                  <c:v>1850</c:v>
                </c:pt>
                <c:pt idx="32">
                  <c:v>1851</c:v>
                </c:pt>
                <c:pt idx="33">
                  <c:v>1852</c:v>
                </c:pt>
                <c:pt idx="34">
                  <c:v>1853</c:v>
                </c:pt>
                <c:pt idx="35">
                  <c:v>1854</c:v>
                </c:pt>
                <c:pt idx="36">
                  <c:v>1855</c:v>
                </c:pt>
                <c:pt idx="37">
                  <c:v>1856</c:v>
                </c:pt>
                <c:pt idx="38">
                  <c:v>1857</c:v>
                </c:pt>
                <c:pt idx="39">
                  <c:v>1858</c:v>
                </c:pt>
                <c:pt idx="40">
                  <c:v>1859</c:v>
                </c:pt>
                <c:pt idx="41">
                  <c:v>1860</c:v>
                </c:pt>
                <c:pt idx="42">
                  <c:v>1861</c:v>
                </c:pt>
                <c:pt idx="43">
                  <c:v>1862</c:v>
                </c:pt>
                <c:pt idx="44">
                  <c:v>1863</c:v>
                </c:pt>
                <c:pt idx="45">
                  <c:v>1864</c:v>
                </c:pt>
                <c:pt idx="46">
                  <c:v>1865</c:v>
                </c:pt>
                <c:pt idx="47">
                  <c:v>1866</c:v>
                </c:pt>
                <c:pt idx="48">
                  <c:v>1867</c:v>
                </c:pt>
                <c:pt idx="49">
                  <c:v>1868</c:v>
                </c:pt>
                <c:pt idx="50">
                  <c:v>1869</c:v>
                </c:pt>
                <c:pt idx="51">
                  <c:v>1870</c:v>
                </c:pt>
                <c:pt idx="52">
                  <c:v>1871</c:v>
                </c:pt>
                <c:pt idx="53">
                  <c:v>1872</c:v>
                </c:pt>
                <c:pt idx="54">
                  <c:v>1873</c:v>
                </c:pt>
                <c:pt idx="55">
                  <c:v>1874</c:v>
                </c:pt>
                <c:pt idx="56">
                  <c:v>1875</c:v>
                </c:pt>
                <c:pt idx="57">
                  <c:v>1876</c:v>
                </c:pt>
                <c:pt idx="58">
                  <c:v>1877</c:v>
                </c:pt>
                <c:pt idx="59">
                  <c:v>1878</c:v>
                </c:pt>
                <c:pt idx="60">
                  <c:v>1879</c:v>
                </c:pt>
                <c:pt idx="61">
                  <c:v>1880</c:v>
                </c:pt>
                <c:pt idx="62">
                  <c:v>1881</c:v>
                </c:pt>
                <c:pt idx="63">
                  <c:v>1882</c:v>
                </c:pt>
                <c:pt idx="64">
                  <c:v>1883</c:v>
                </c:pt>
                <c:pt idx="65">
                  <c:v>1884</c:v>
                </c:pt>
                <c:pt idx="66">
                  <c:v>1885</c:v>
                </c:pt>
                <c:pt idx="67">
                  <c:v>1886</c:v>
                </c:pt>
                <c:pt idx="68">
                  <c:v>1887</c:v>
                </c:pt>
                <c:pt idx="69">
                  <c:v>1888</c:v>
                </c:pt>
                <c:pt idx="70">
                  <c:v>1889</c:v>
                </c:pt>
                <c:pt idx="71">
                  <c:v>1890</c:v>
                </c:pt>
                <c:pt idx="72">
                  <c:v>1891</c:v>
                </c:pt>
                <c:pt idx="73">
                  <c:v>1892</c:v>
                </c:pt>
                <c:pt idx="74">
                  <c:v>1893</c:v>
                </c:pt>
                <c:pt idx="75">
                  <c:v>1894</c:v>
                </c:pt>
                <c:pt idx="76">
                  <c:v>1895</c:v>
                </c:pt>
                <c:pt idx="77">
                  <c:v>1896</c:v>
                </c:pt>
                <c:pt idx="78">
                  <c:v>1897</c:v>
                </c:pt>
                <c:pt idx="79">
                  <c:v>1898</c:v>
                </c:pt>
                <c:pt idx="80">
                  <c:v>1899</c:v>
                </c:pt>
                <c:pt idx="81">
                  <c:v>1900</c:v>
                </c:pt>
                <c:pt idx="82">
                  <c:v>1901</c:v>
                </c:pt>
                <c:pt idx="83">
                  <c:v>1902</c:v>
                </c:pt>
                <c:pt idx="84">
                  <c:v>1903</c:v>
                </c:pt>
                <c:pt idx="85">
                  <c:v>1904</c:v>
                </c:pt>
                <c:pt idx="86">
                  <c:v>1905</c:v>
                </c:pt>
                <c:pt idx="87">
                  <c:v>1906</c:v>
                </c:pt>
                <c:pt idx="88">
                  <c:v>1907</c:v>
                </c:pt>
                <c:pt idx="89">
                  <c:v>1908</c:v>
                </c:pt>
                <c:pt idx="90">
                  <c:v>1909</c:v>
                </c:pt>
                <c:pt idx="91">
                  <c:v>1910</c:v>
                </c:pt>
                <c:pt idx="92">
                  <c:v>1911</c:v>
                </c:pt>
                <c:pt idx="93">
                  <c:v>1912</c:v>
                </c:pt>
                <c:pt idx="94">
                  <c:v>1913</c:v>
                </c:pt>
                <c:pt idx="95">
                  <c:v>1914</c:v>
                </c:pt>
                <c:pt idx="96">
                  <c:v>1915</c:v>
                </c:pt>
                <c:pt idx="97">
                  <c:v>1916</c:v>
                </c:pt>
                <c:pt idx="98">
                  <c:v>1917</c:v>
                </c:pt>
              </c:numCache>
            </c:numRef>
          </c:xVal>
          <c:yVal>
            <c:numRef>
              <c:f>'Western United States'!$M$14:$M$112</c:f>
              <c:numCache>
                <c:formatCode>0.00</c:formatCode>
                <c:ptCount val="99"/>
                <c:pt idx="0">
                  <c:v>-5.4286505267584495</c:v>
                </c:pt>
                <c:pt idx="1">
                  <c:v>-5.0701644008807829</c:v>
                </c:pt>
                <c:pt idx="2">
                  <c:v>-4.8873406895451712</c:v>
                </c:pt>
                <c:pt idx="3">
                  <c:v>-4.7605585331324862</c:v>
                </c:pt>
                <c:pt idx="4">
                  <c:v>-4.6663338136563572</c:v>
                </c:pt>
                <c:pt idx="5">
                  <c:v>-4.5875044910486107</c:v>
                </c:pt>
                <c:pt idx="6">
                  <c:v>-4.5198204436873759</c:v>
                </c:pt>
                <c:pt idx="7">
                  <c:v>-4.4605077231685595</c:v>
                </c:pt>
                <c:pt idx="8">
                  <c:v>-4.407691093362927</c:v>
                </c:pt>
                <c:pt idx="9">
                  <c:v>-4.3600542639856652</c:v>
                </c:pt>
                <c:pt idx="10">
                  <c:v>-4.3166416025108116</c:v>
                </c:pt>
                <c:pt idx="11">
                  <c:v>-4.2767388899405212</c:v>
                </c:pt>
                <c:pt idx="12">
                  <c:v>-4.2397989458541216</c:v>
                </c:pt>
                <c:pt idx="13">
                  <c:v>-4.2053935772853865</c:v>
                </c:pt>
                <c:pt idx="14">
                  <c:v>-4.1731815268394135</c:v>
                </c:pt>
                <c:pt idx="15">
                  <c:v>-4.1428864763938043</c:v>
                </c:pt>
                <c:pt idx="16">
                  <c:v>-4.1142815669129762</c:v>
                </c:pt>
                <c:pt idx="17">
                  <c:v>-4.0871782584224228</c:v>
                </c:pt>
                <c:pt idx="18">
                  <c:v>-4.0614181528623714</c:v>
                </c:pt>
                <c:pt idx="19">
                  <c:v>-4.0368668847124844</c:v>
                </c:pt>
                <c:pt idx="20">
                  <c:v>-4.0131857334871386</c:v>
                </c:pt>
                <c:pt idx="21">
                  <c:v>-3.9856987734944207</c:v>
                </c:pt>
                <c:pt idx="22">
                  <c:v>-3.9528723677423319</c:v>
                </c:pt>
                <c:pt idx="23">
                  <c:v>-3.9154876867547723</c:v>
                </c:pt>
                <c:pt idx="24">
                  <c:v>-3.8668158962729158</c:v>
                </c:pt>
                <c:pt idx="25">
                  <c:v>-3.8128913587781397</c:v>
                </c:pt>
                <c:pt idx="26">
                  <c:v>-3.7535964543658791</c:v>
                </c:pt>
                <c:pt idx="27">
                  <c:v>-3.6915816758870514</c:v>
                </c:pt>
                <c:pt idx="28">
                  <c:v>-3.6335126181526785</c:v>
                </c:pt>
                <c:pt idx="29">
                  <c:v>-3.5822858875453147</c:v>
                </c:pt>
                <c:pt idx="30">
                  <c:v>-3.5362659378057226</c:v>
                </c:pt>
                <c:pt idx="31">
                  <c:v>-3.4927017691668492</c:v>
                </c:pt>
                <c:pt idx="32">
                  <c:v>-3.4473091411969454</c:v>
                </c:pt>
                <c:pt idx="33">
                  <c:v>-3.403896518443887</c:v>
                </c:pt>
                <c:pt idx="34">
                  <c:v>-3.3614194604313434</c:v>
                </c:pt>
                <c:pt idx="35">
                  <c:v>-3.3210393118572181</c:v>
                </c:pt>
                <c:pt idx="36">
                  <c:v>-3.2832183455408592</c:v>
                </c:pt>
                <c:pt idx="37">
                  <c:v>-3.246812283339688</c:v>
                </c:pt>
                <c:pt idx="38">
                  <c:v>-3.2111583296463517</c:v>
                </c:pt>
                <c:pt idx="39">
                  <c:v>-3.1763645958630451</c:v>
                </c:pt>
                <c:pt idx="40">
                  <c:v>-3.1423206380191555</c:v>
                </c:pt>
                <c:pt idx="41">
                  <c:v>-3.109204397401129</c:v>
                </c:pt>
                <c:pt idx="42">
                  <c:v>-3.0760523410750258</c:v>
                </c:pt>
                <c:pt idx="43">
                  <c:v>-3.0426725856678574</c:v>
                </c:pt>
                <c:pt idx="44">
                  <c:v>-3.0080381443562092</c:v>
                </c:pt>
                <c:pt idx="45">
                  <c:v>-2.9744446819684045</c:v>
                </c:pt>
                <c:pt idx="46">
                  <c:v>-2.9401329331826602</c:v>
                </c:pt>
                <c:pt idx="47">
                  <c:v>-2.9043592169146115</c:v>
                </c:pt>
                <c:pt idx="48">
                  <c:v>-2.8638966393841017</c:v>
                </c:pt>
                <c:pt idx="49">
                  <c:v>-2.8218830455593857</c:v>
                </c:pt>
                <c:pt idx="50">
                  <c:v>-2.7782466412797491</c:v>
                </c:pt>
                <c:pt idx="51">
                  <c:v>-2.737199921698803</c:v>
                </c:pt>
                <c:pt idx="52">
                  <c:v>-2.6857067106326489</c:v>
                </c:pt>
                <c:pt idx="53">
                  <c:v>-2.6269810393316644</c:v>
                </c:pt>
                <c:pt idx="54">
                  <c:v>-2.5664013976101256</c:v>
                </c:pt>
                <c:pt idx="55">
                  <c:v>-2.5057383874160708</c:v>
                </c:pt>
                <c:pt idx="56">
                  <c:v>-2.4504741694451062</c:v>
                </c:pt>
                <c:pt idx="57">
                  <c:v>-2.3973065073828388</c:v>
                </c:pt>
                <c:pt idx="58">
                  <c:v>-2.3488935241446094</c:v>
                </c:pt>
                <c:pt idx="59">
                  <c:v>-2.3036535970958778</c:v>
                </c:pt>
                <c:pt idx="60">
                  <c:v>-2.2579267712111912</c:v>
                </c:pt>
                <c:pt idx="61">
                  <c:v>-2.2066952876164394</c:v>
                </c:pt>
                <c:pt idx="62">
                  <c:v>-2.1512315860417979</c:v>
                </c:pt>
                <c:pt idx="63">
                  <c:v>-2.0832346458163462</c:v>
                </c:pt>
                <c:pt idx="64">
                  <c:v>-2.0148963717949986</c:v>
                </c:pt>
                <c:pt idx="65">
                  <c:v>-1.9520504212433842</c:v>
                </c:pt>
                <c:pt idx="66">
                  <c:v>-1.8953354882213083</c:v>
                </c:pt>
                <c:pt idx="67">
                  <c:v>-1.8478211898284287</c:v>
                </c:pt>
                <c:pt idx="68">
                  <c:v>-1.7929392881882782</c:v>
                </c:pt>
                <c:pt idx="69">
                  <c:v>-1.7328570308471605</c:v>
                </c:pt>
                <c:pt idx="70">
                  <c:v>-1.6829470968912346</c:v>
                </c:pt>
                <c:pt idx="71">
                  <c:v>-1.6320921914406132</c:v>
                </c:pt>
                <c:pt idx="72">
                  <c:v>-1.5817128782092686</c:v>
                </c:pt>
                <c:pt idx="73">
                  <c:v>-1.53242548742094</c:v>
                </c:pt>
                <c:pt idx="74">
                  <c:v>-1.4844936307191032</c:v>
                </c:pt>
                <c:pt idx="75">
                  <c:v>-1.4430073575718336</c:v>
                </c:pt>
                <c:pt idx="76">
                  <c:v>-1.4016121348504436</c:v>
                </c:pt>
                <c:pt idx="77">
                  <c:v>-1.3625225626798367</c:v>
                </c:pt>
                <c:pt idx="78">
                  <c:v>-1.3210058189353986</c:v>
                </c:pt>
                <c:pt idx="79">
                  <c:v>-1.2776953227039325</c:v>
                </c:pt>
                <c:pt idx="80">
                  <c:v>-1.2313577734190129</c:v>
                </c:pt>
                <c:pt idx="81">
                  <c:v>-1.1816274151705191</c:v>
                </c:pt>
                <c:pt idx="82">
                  <c:v>-1.1307795003935024</c:v>
                </c:pt>
                <c:pt idx="83">
                  <c:v>-1.0786362755455716</c:v>
                </c:pt>
                <c:pt idx="84">
                  <c:v>-1.0247531658784965</c:v>
                </c:pt>
                <c:pt idx="85">
                  <c:v>-0.97430214964677664</c:v>
                </c:pt>
                <c:pt idx="86">
                  <c:v>-0.92329150453862174</c:v>
                </c:pt>
                <c:pt idx="87">
                  <c:v>-0.87155766558925496</c:v>
                </c:pt>
                <c:pt idx="88">
                  <c:v>-0.81605987090497489</c:v>
                </c:pt>
                <c:pt idx="89">
                  <c:v>-0.76534440209310828</c:v>
                </c:pt>
                <c:pt idx="90">
                  <c:v>-0.72053047017920857</c:v>
                </c:pt>
                <c:pt idx="91">
                  <c:v>-0.67056200400224486</c:v>
                </c:pt>
                <c:pt idx="92">
                  <c:v>-0.62303337402328007</c:v>
                </c:pt>
                <c:pt idx="93">
                  <c:v>-0.57329020783858364</c:v>
                </c:pt>
                <c:pt idx="94">
                  <c:v>-0.52434760030963468</c:v>
                </c:pt>
                <c:pt idx="95">
                  <c:v>-0.480371337678618</c:v>
                </c:pt>
                <c:pt idx="96">
                  <c:v>-0.43799072276180823</c:v>
                </c:pt>
                <c:pt idx="97">
                  <c:v>-0.39173849577135239</c:v>
                </c:pt>
                <c:pt idx="98">
                  <c:v>-0.33923132420518309</c:v>
                </c:pt>
              </c:numCache>
            </c:numRef>
          </c:yVal>
          <c:smooth val="1"/>
          <c:extLst>
            <c:ext xmlns:c16="http://schemas.microsoft.com/office/drawing/2014/chart" uri="{C3380CC4-5D6E-409C-BE32-E72D297353CC}">
              <c16:uniqueId val="{00000000-01DD-EC44-8D07-8F6231D183A9}"/>
            </c:ext>
          </c:extLst>
        </c:ser>
        <c:ser>
          <c:idx val="0"/>
          <c:order val="1"/>
          <c:tx>
            <c:strRef>
              <c:f>'Western United States'!$M$12</c:f>
              <c:strCache>
                <c:ptCount val="1"/>
                <c:pt idx="0">
                  <c:v>probit early</c:v>
                </c:pt>
              </c:strCache>
            </c:strRef>
          </c:tx>
          <c:spPr>
            <a:ln w="15875">
              <a:solidFill>
                <a:srgbClr val="008000"/>
              </a:solidFill>
            </a:ln>
          </c:spPr>
          <c:marker>
            <c:symbol val="none"/>
          </c:marker>
          <c:xVal>
            <c:numRef>
              <c:f>'Western United States'!$D$113:$D$162</c:f>
              <c:numCache>
                <c:formatCode>General</c:formatCode>
                <c:ptCount val="50"/>
                <c:pt idx="0">
                  <c:v>1918</c:v>
                </c:pt>
                <c:pt idx="1">
                  <c:v>1919</c:v>
                </c:pt>
                <c:pt idx="2">
                  <c:v>1920</c:v>
                </c:pt>
                <c:pt idx="3">
                  <c:v>1921</c:v>
                </c:pt>
                <c:pt idx="4">
                  <c:v>1922</c:v>
                </c:pt>
                <c:pt idx="5">
                  <c:v>1923</c:v>
                </c:pt>
                <c:pt idx="6">
                  <c:v>1924</c:v>
                </c:pt>
                <c:pt idx="7">
                  <c:v>1925</c:v>
                </c:pt>
                <c:pt idx="8">
                  <c:v>1926</c:v>
                </c:pt>
                <c:pt idx="9">
                  <c:v>1927</c:v>
                </c:pt>
                <c:pt idx="10">
                  <c:v>1928</c:v>
                </c:pt>
                <c:pt idx="11">
                  <c:v>1929</c:v>
                </c:pt>
                <c:pt idx="12">
                  <c:v>1930</c:v>
                </c:pt>
                <c:pt idx="13">
                  <c:v>1931</c:v>
                </c:pt>
                <c:pt idx="14">
                  <c:v>1932</c:v>
                </c:pt>
                <c:pt idx="15">
                  <c:v>1933</c:v>
                </c:pt>
                <c:pt idx="16">
                  <c:v>1934</c:v>
                </c:pt>
                <c:pt idx="17">
                  <c:v>1935</c:v>
                </c:pt>
                <c:pt idx="18">
                  <c:v>1936</c:v>
                </c:pt>
                <c:pt idx="19">
                  <c:v>1937</c:v>
                </c:pt>
                <c:pt idx="20">
                  <c:v>1938</c:v>
                </c:pt>
                <c:pt idx="21">
                  <c:v>1939</c:v>
                </c:pt>
                <c:pt idx="22">
                  <c:v>1940</c:v>
                </c:pt>
                <c:pt idx="23">
                  <c:v>1941</c:v>
                </c:pt>
                <c:pt idx="24">
                  <c:v>1942</c:v>
                </c:pt>
                <c:pt idx="25">
                  <c:v>1943</c:v>
                </c:pt>
                <c:pt idx="26">
                  <c:v>1944</c:v>
                </c:pt>
                <c:pt idx="27">
                  <c:v>1945</c:v>
                </c:pt>
                <c:pt idx="28">
                  <c:v>1946</c:v>
                </c:pt>
                <c:pt idx="29">
                  <c:v>1947</c:v>
                </c:pt>
                <c:pt idx="30">
                  <c:v>1948</c:v>
                </c:pt>
                <c:pt idx="31">
                  <c:v>1949</c:v>
                </c:pt>
                <c:pt idx="32">
                  <c:v>1950</c:v>
                </c:pt>
                <c:pt idx="33">
                  <c:v>1951</c:v>
                </c:pt>
                <c:pt idx="34">
                  <c:v>1952</c:v>
                </c:pt>
                <c:pt idx="35">
                  <c:v>1953</c:v>
                </c:pt>
                <c:pt idx="36">
                  <c:v>1954</c:v>
                </c:pt>
                <c:pt idx="37">
                  <c:v>1955</c:v>
                </c:pt>
                <c:pt idx="38">
                  <c:v>1956</c:v>
                </c:pt>
                <c:pt idx="39">
                  <c:v>1957</c:v>
                </c:pt>
                <c:pt idx="40">
                  <c:v>1958</c:v>
                </c:pt>
                <c:pt idx="41">
                  <c:v>1959</c:v>
                </c:pt>
                <c:pt idx="42">
                  <c:v>1960</c:v>
                </c:pt>
                <c:pt idx="43">
                  <c:v>1961</c:v>
                </c:pt>
                <c:pt idx="44">
                  <c:v>1962</c:v>
                </c:pt>
                <c:pt idx="45">
                  <c:v>1963</c:v>
                </c:pt>
                <c:pt idx="46">
                  <c:v>1964</c:v>
                </c:pt>
                <c:pt idx="47">
                  <c:v>1965</c:v>
                </c:pt>
                <c:pt idx="48">
                  <c:v>1966</c:v>
                </c:pt>
                <c:pt idx="49">
                  <c:v>1967</c:v>
                </c:pt>
              </c:numCache>
            </c:numRef>
          </c:xVal>
          <c:yVal>
            <c:numRef>
              <c:f>'Western United States'!$M$113:$M$162</c:f>
              <c:numCache>
                <c:formatCode>0.00</c:formatCode>
                <c:ptCount val="50"/>
                <c:pt idx="0">
                  <c:v>-0.28604804559956709</c:v>
                </c:pt>
                <c:pt idx="1">
                  <c:v>-0.24611750683546288</c:v>
                </c:pt>
                <c:pt idx="2">
                  <c:v>-0.1961450240547091</c:v>
                </c:pt>
                <c:pt idx="3">
                  <c:v>-0.16287291205606122</c:v>
                </c:pt>
                <c:pt idx="4">
                  <c:v>-0.12988848028803848</c:v>
                </c:pt>
                <c:pt idx="5">
                  <c:v>-9.2683861625045147E-2</c:v>
                </c:pt>
                <c:pt idx="6">
                  <c:v>-5.8158763218149376E-2</c:v>
                </c:pt>
                <c:pt idx="7">
                  <c:v>-2.4311243671141711E-2</c:v>
                </c:pt>
                <c:pt idx="8">
                  <c:v>1.0244831723783049E-2</c:v>
                </c:pt>
                <c:pt idx="9">
                  <c:v>4.4180146917041224E-2</c:v>
                </c:pt>
                <c:pt idx="10">
                  <c:v>7.8443153796190809E-2</c:v>
                </c:pt>
                <c:pt idx="11">
                  <c:v>0.11421393064321453</c:v>
                </c:pt>
                <c:pt idx="12">
                  <c:v>0.14571161445388972</c:v>
                </c:pt>
                <c:pt idx="13">
                  <c:v>0.17096734426843202</c:v>
                </c:pt>
                <c:pt idx="14">
                  <c:v>0.19434270178261895</c:v>
                </c:pt>
                <c:pt idx="15">
                  <c:v>0.21644393175878054</c:v>
                </c:pt>
                <c:pt idx="16">
                  <c:v>0.23919389389401235</c:v>
                </c:pt>
                <c:pt idx="17">
                  <c:v>0.2648544603968217</c:v>
                </c:pt>
                <c:pt idx="18">
                  <c:v>0.29410419347039657</c:v>
                </c:pt>
                <c:pt idx="19">
                  <c:v>0.32446566411445293</c:v>
                </c:pt>
                <c:pt idx="20">
                  <c:v>0.35016855221804472</c:v>
                </c:pt>
                <c:pt idx="21">
                  <c:v>0.3765000804508935</c:v>
                </c:pt>
                <c:pt idx="22">
                  <c:v>0.40550247894659303</c:v>
                </c:pt>
                <c:pt idx="23">
                  <c:v>0.43694123187001699</c:v>
                </c:pt>
                <c:pt idx="24">
                  <c:v>0.47438986776280112</c:v>
                </c:pt>
                <c:pt idx="25">
                  <c:v>0.51494766816141491</c:v>
                </c:pt>
                <c:pt idx="26">
                  <c:v>0.55706726389634398</c:v>
                </c:pt>
                <c:pt idx="27">
                  <c:v>0.59776302475346388</c:v>
                </c:pt>
                <c:pt idx="28">
                  <c:v>0.63287041820893553</c:v>
                </c:pt>
                <c:pt idx="29">
                  <c:v>0.67232458555929886</c:v>
                </c:pt>
                <c:pt idx="30">
                  <c:v>0.70952749061441567</c:v>
                </c:pt>
                <c:pt idx="31">
                  <c:v>0.74322559500976582</c:v>
                </c:pt>
                <c:pt idx="32">
                  <c:v>0.77744591461565438</c:v>
                </c:pt>
                <c:pt idx="33">
                  <c:v>0.81123439222541527</c:v>
                </c:pt>
                <c:pt idx="34">
                  <c:v>0.84397916114406835</c:v>
                </c:pt>
                <c:pt idx="35">
                  <c:v>0.87547920834293935</c:v>
                </c:pt>
                <c:pt idx="36">
                  <c:v>0.90228727617708804</c:v>
                </c:pt>
                <c:pt idx="37">
                  <c:v>0.93112485601496486</c:v>
                </c:pt>
                <c:pt idx="38">
                  <c:v>0.95980250083226293</c:v>
                </c:pt>
                <c:pt idx="39">
                  <c:v>0.98800661979288329</c:v>
                </c:pt>
                <c:pt idx="40">
                  <c:v>1.0118253302884683</c:v>
                </c:pt>
                <c:pt idx="41">
                  <c:v>1.0362615926314309</c:v>
                </c:pt>
                <c:pt idx="42">
                  <c:v>1.0625460177171946</c:v>
                </c:pt>
                <c:pt idx="43">
                  <c:v>1.0902109136633316</c:v>
                </c:pt>
                <c:pt idx="44">
                  <c:v>1.1182481985700043</c:v>
                </c:pt>
                <c:pt idx="45">
                  <c:v>1.1503541105266983</c:v>
                </c:pt>
                <c:pt idx="46">
                  <c:v>1.1865327954779354</c:v>
                </c:pt>
                <c:pt idx="47">
                  <c:v>1.2269548408336388</c:v>
                </c:pt>
                <c:pt idx="48">
                  <c:v>1.2704823862095425</c:v>
                </c:pt>
                <c:pt idx="49">
                  <c:v>1.3180174138308525</c:v>
                </c:pt>
              </c:numCache>
            </c:numRef>
          </c:yVal>
          <c:smooth val="1"/>
          <c:extLst>
            <c:ext xmlns:c16="http://schemas.microsoft.com/office/drawing/2014/chart" uri="{C3380CC4-5D6E-409C-BE32-E72D297353CC}">
              <c16:uniqueId val="{00000001-01DD-EC44-8D07-8F6231D183A9}"/>
            </c:ext>
          </c:extLst>
        </c:ser>
        <c:ser>
          <c:idx val="1"/>
          <c:order val="2"/>
          <c:tx>
            <c:strRef>
              <c:f>'Western United States'!$G$8</c:f>
              <c:strCache>
                <c:ptCount val="1"/>
                <c:pt idx="0">
                  <c:v>trend early</c:v>
                </c:pt>
              </c:strCache>
            </c:strRef>
          </c:tx>
          <c:spPr>
            <a:ln w="15875">
              <a:solidFill>
                <a:srgbClr val="808080"/>
              </a:solidFill>
              <a:prstDash val="dash"/>
            </a:ln>
          </c:spPr>
          <c:marker>
            <c:symbol val="none"/>
          </c:marker>
          <c:xVal>
            <c:numRef>
              <c:f>'Western United States'!$E$8:$E$9</c:f>
              <c:numCache>
                <c:formatCode>General</c:formatCode>
                <c:ptCount val="2"/>
                <c:pt idx="0">
                  <c:v>1918</c:v>
                </c:pt>
                <c:pt idx="1">
                  <c:v>1967</c:v>
                </c:pt>
              </c:numCache>
            </c:numRef>
          </c:xVal>
          <c:yVal>
            <c:numRef>
              <c:f>'Western United States'!$F$8:$F$9</c:f>
              <c:numCache>
                <c:formatCode>0.00</c:formatCode>
                <c:ptCount val="2"/>
                <c:pt idx="0">
                  <c:v>-0.25955239385466455</c:v>
                </c:pt>
                <c:pt idx="1">
                  <c:v>1.2968708665033717</c:v>
                </c:pt>
              </c:numCache>
            </c:numRef>
          </c:yVal>
          <c:smooth val="1"/>
          <c:extLst>
            <c:ext xmlns:c16="http://schemas.microsoft.com/office/drawing/2014/chart" uri="{C3380CC4-5D6E-409C-BE32-E72D297353CC}">
              <c16:uniqueId val="{00000002-01DD-EC44-8D07-8F6231D183A9}"/>
            </c:ext>
          </c:extLst>
        </c:ser>
        <c:ser>
          <c:idx val="4"/>
          <c:order val="3"/>
          <c:tx>
            <c:v>late probit early</c:v>
          </c:tx>
          <c:spPr>
            <a:ln w="15875">
              <a:solidFill>
                <a:srgbClr val="008000"/>
              </a:solidFill>
              <a:prstDash val="lgDash"/>
            </a:ln>
          </c:spPr>
          <c:marker>
            <c:symbol val="none"/>
          </c:marker>
          <c:xVal>
            <c:numRef>
              <c:f>'Western United States'!$D$163:$D$169</c:f>
              <c:numCache>
                <c:formatCode>General</c:formatCode>
                <c:ptCount val="7"/>
                <c:pt idx="0">
                  <c:v>1968</c:v>
                </c:pt>
                <c:pt idx="1">
                  <c:v>1969</c:v>
                </c:pt>
                <c:pt idx="2">
                  <c:v>1970</c:v>
                </c:pt>
                <c:pt idx="3">
                  <c:v>1971</c:v>
                </c:pt>
                <c:pt idx="4">
                  <c:v>1972</c:v>
                </c:pt>
                <c:pt idx="5">
                  <c:v>1973</c:v>
                </c:pt>
                <c:pt idx="6">
                  <c:v>1974</c:v>
                </c:pt>
              </c:numCache>
            </c:numRef>
          </c:xVal>
          <c:yVal>
            <c:numRef>
              <c:f>'Western United States'!$M$163:$M$169</c:f>
              <c:numCache>
                <c:formatCode>0.00</c:formatCode>
                <c:ptCount val="7"/>
                <c:pt idx="0">
                  <c:v>1.3701979335015417</c:v>
                </c:pt>
                <c:pt idx="1">
                  <c:v>1.4334956733919282</c:v>
                </c:pt>
                <c:pt idx="2">
                  <c:v>1.5291812084457466</c:v>
                </c:pt>
                <c:pt idx="3">
                  <c:v>1.658263737019547</c:v>
                </c:pt>
                <c:pt idx="4">
                  <c:v>1.8754291380545649</c:v>
                </c:pt>
                <c:pt idx="5">
                  <c:v>2.3795998332927755</c:v>
                </c:pt>
              </c:numCache>
            </c:numRef>
          </c:yVal>
          <c:smooth val="1"/>
          <c:extLst>
            <c:ext xmlns:c16="http://schemas.microsoft.com/office/drawing/2014/chart" uri="{C3380CC4-5D6E-409C-BE32-E72D297353CC}">
              <c16:uniqueId val="{00000003-01DD-EC44-8D07-8F6231D183A9}"/>
            </c:ext>
          </c:extLst>
        </c:ser>
        <c:dLbls>
          <c:showLegendKey val="0"/>
          <c:showVal val="0"/>
          <c:showCatName val="0"/>
          <c:showSerName val="0"/>
          <c:showPercent val="0"/>
          <c:showBubbleSize val="0"/>
        </c:dLbls>
        <c:axId val="135699840"/>
        <c:axId val="135221248"/>
      </c:scatterChart>
      <c:valAx>
        <c:axId val="135699840"/>
        <c:scaling>
          <c:orientation val="minMax"/>
          <c:max val="1980"/>
          <c:min val="1900"/>
        </c:scaling>
        <c:delete val="0"/>
        <c:axPos val="b"/>
        <c:numFmt formatCode="General" sourceLinked="1"/>
        <c:majorTickMark val="in"/>
        <c:minorTickMark val="in"/>
        <c:tickLblPos val="nextTo"/>
        <c:spPr>
          <a:ln>
            <a:solidFill>
              <a:srgbClr val="333399"/>
            </a:solidFill>
          </a:ln>
        </c:spPr>
        <c:crossAx val="135221248"/>
        <c:crossesAt val="-100"/>
        <c:crossBetween val="midCat"/>
        <c:majorUnit val="40"/>
        <c:minorUnit val="10"/>
      </c:valAx>
      <c:valAx>
        <c:axId val="135221248"/>
        <c:scaling>
          <c:orientation val="minMax"/>
          <c:max val="2"/>
          <c:min val="-2"/>
        </c:scaling>
        <c:delete val="0"/>
        <c:axPos val="r"/>
        <c:title>
          <c:tx>
            <c:rich>
              <a:bodyPr rot="-5400000" vert="horz"/>
              <a:lstStyle/>
              <a:p>
                <a:pPr>
                  <a:defRPr b="0"/>
                </a:pPr>
                <a:r>
                  <a:rPr lang="en-US" b="0"/>
                  <a:t>probit (</a:t>
                </a:r>
                <a:r>
                  <a:rPr lang="en-US" b="0" i="1"/>
                  <a:t>q</a:t>
                </a:r>
                <a:r>
                  <a:rPr lang="en-US" b="0"/>
                  <a:t>/</a:t>
                </a:r>
                <a:r>
                  <a:rPr lang="en-US" b="0" i="1"/>
                  <a:t>Q</a:t>
                </a:r>
                <a:r>
                  <a:rPr lang="en-US" b="0"/>
                  <a:t>)</a:t>
                </a:r>
              </a:p>
            </c:rich>
          </c:tx>
          <c:layout>
            <c:manualLayout>
              <c:xMode val="edge"/>
              <c:yMode val="edge"/>
              <c:x val="0.96179653679653765"/>
              <c:y val="0.28854512977544688"/>
            </c:manualLayout>
          </c:layout>
          <c:overlay val="0"/>
        </c:title>
        <c:numFmt formatCode="0" sourceLinked="0"/>
        <c:majorTickMark val="in"/>
        <c:minorTickMark val="in"/>
        <c:tickLblPos val="nextTo"/>
        <c:spPr>
          <a:ln>
            <a:solidFill>
              <a:srgbClr val="333399"/>
            </a:solidFill>
          </a:ln>
        </c:spPr>
        <c:crossAx val="135699840"/>
        <c:crosses val="max"/>
        <c:crossBetween val="midCat"/>
        <c:majorUnit val="2"/>
        <c:minorUnit val="1"/>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024167433621445"/>
          <c:h val="0.77264654418197765"/>
        </c:manualLayout>
      </c:layout>
      <c:scatterChart>
        <c:scatterStyle val="smoothMarker"/>
        <c:varyColors val="0"/>
        <c:ser>
          <c:idx val="0"/>
          <c:order val="0"/>
          <c:tx>
            <c:strRef>
              <c:f>'Western United States'!$E$12</c:f>
              <c:strCache>
                <c:ptCount val="1"/>
                <c:pt idx="0">
                  <c:v>p Mt</c:v>
                </c:pt>
              </c:strCache>
            </c:strRef>
          </c:tx>
          <c:spPr>
            <a:ln w="15875">
              <a:solidFill>
                <a:srgbClr val="008000"/>
              </a:solidFill>
            </a:ln>
          </c:spPr>
          <c:marker>
            <c:symbol val="none"/>
          </c:marker>
          <c:xVal>
            <c:numRef>
              <c:f>'Western United States'!$D$13:$D$265</c:f>
              <c:numCache>
                <c:formatCode>General</c:formatCode>
                <c:ptCount val="253"/>
                <c:pt idx="0">
                  <c:v>1818</c:v>
                </c:pt>
                <c:pt idx="1">
                  <c:v>1819</c:v>
                </c:pt>
                <c:pt idx="2">
                  <c:v>1820</c:v>
                </c:pt>
                <c:pt idx="3">
                  <c:v>1821</c:v>
                </c:pt>
                <c:pt idx="4">
                  <c:v>1822</c:v>
                </c:pt>
                <c:pt idx="5">
                  <c:v>1823</c:v>
                </c:pt>
                <c:pt idx="6">
                  <c:v>1824</c:v>
                </c:pt>
                <c:pt idx="7">
                  <c:v>1825</c:v>
                </c:pt>
                <c:pt idx="8">
                  <c:v>1826</c:v>
                </c:pt>
                <c:pt idx="9">
                  <c:v>1827</c:v>
                </c:pt>
                <c:pt idx="10">
                  <c:v>1828</c:v>
                </c:pt>
                <c:pt idx="11">
                  <c:v>1829</c:v>
                </c:pt>
                <c:pt idx="12">
                  <c:v>1830</c:v>
                </c:pt>
                <c:pt idx="13">
                  <c:v>1831</c:v>
                </c:pt>
                <c:pt idx="14">
                  <c:v>1832</c:v>
                </c:pt>
                <c:pt idx="15">
                  <c:v>1833</c:v>
                </c:pt>
                <c:pt idx="16">
                  <c:v>1834</c:v>
                </c:pt>
                <c:pt idx="17">
                  <c:v>1835</c:v>
                </c:pt>
                <c:pt idx="18">
                  <c:v>1836</c:v>
                </c:pt>
                <c:pt idx="19">
                  <c:v>1837</c:v>
                </c:pt>
                <c:pt idx="20">
                  <c:v>1838</c:v>
                </c:pt>
                <c:pt idx="21">
                  <c:v>1839</c:v>
                </c:pt>
                <c:pt idx="22">
                  <c:v>1840</c:v>
                </c:pt>
                <c:pt idx="23">
                  <c:v>1841</c:v>
                </c:pt>
                <c:pt idx="24">
                  <c:v>1842</c:v>
                </c:pt>
                <c:pt idx="25">
                  <c:v>1843</c:v>
                </c:pt>
                <c:pt idx="26">
                  <c:v>1844</c:v>
                </c:pt>
                <c:pt idx="27">
                  <c:v>1845</c:v>
                </c:pt>
                <c:pt idx="28">
                  <c:v>1846</c:v>
                </c:pt>
                <c:pt idx="29">
                  <c:v>1847</c:v>
                </c:pt>
                <c:pt idx="30">
                  <c:v>1848</c:v>
                </c:pt>
                <c:pt idx="31">
                  <c:v>1849</c:v>
                </c:pt>
                <c:pt idx="32">
                  <c:v>1850</c:v>
                </c:pt>
                <c:pt idx="33">
                  <c:v>1851</c:v>
                </c:pt>
                <c:pt idx="34">
                  <c:v>1852</c:v>
                </c:pt>
                <c:pt idx="35">
                  <c:v>1853</c:v>
                </c:pt>
                <c:pt idx="36">
                  <c:v>1854</c:v>
                </c:pt>
                <c:pt idx="37">
                  <c:v>1855</c:v>
                </c:pt>
                <c:pt idx="38">
                  <c:v>1856</c:v>
                </c:pt>
                <c:pt idx="39">
                  <c:v>1857</c:v>
                </c:pt>
                <c:pt idx="40">
                  <c:v>1858</c:v>
                </c:pt>
                <c:pt idx="41">
                  <c:v>1859</c:v>
                </c:pt>
                <c:pt idx="42">
                  <c:v>1860</c:v>
                </c:pt>
                <c:pt idx="43">
                  <c:v>1861</c:v>
                </c:pt>
                <c:pt idx="44">
                  <c:v>1862</c:v>
                </c:pt>
                <c:pt idx="45">
                  <c:v>1863</c:v>
                </c:pt>
                <c:pt idx="46">
                  <c:v>1864</c:v>
                </c:pt>
                <c:pt idx="47">
                  <c:v>1865</c:v>
                </c:pt>
                <c:pt idx="48">
                  <c:v>1866</c:v>
                </c:pt>
                <c:pt idx="49">
                  <c:v>1867</c:v>
                </c:pt>
                <c:pt idx="50">
                  <c:v>1868</c:v>
                </c:pt>
                <c:pt idx="51">
                  <c:v>1869</c:v>
                </c:pt>
                <c:pt idx="52">
                  <c:v>1870</c:v>
                </c:pt>
                <c:pt idx="53">
                  <c:v>1871</c:v>
                </c:pt>
                <c:pt idx="54">
                  <c:v>1872</c:v>
                </c:pt>
                <c:pt idx="55">
                  <c:v>1873</c:v>
                </c:pt>
                <c:pt idx="56">
                  <c:v>1874</c:v>
                </c:pt>
                <c:pt idx="57">
                  <c:v>1875</c:v>
                </c:pt>
                <c:pt idx="58">
                  <c:v>1876</c:v>
                </c:pt>
                <c:pt idx="59">
                  <c:v>1877</c:v>
                </c:pt>
                <c:pt idx="60">
                  <c:v>1878</c:v>
                </c:pt>
                <c:pt idx="61">
                  <c:v>1879</c:v>
                </c:pt>
                <c:pt idx="62">
                  <c:v>1880</c:v>
                </c:pt>
                <c:pt idx="63">
                  <c:v>1881</c:v>
                </c:pt>
                <c:pt idx="64">
                  <c:v>1882</c:v>
                </c:pt>
                <c:pt idx="65">
                  <c:v>1883</c:v>
                </c:pt>
                <c:pt idx="66">
                  <c:v>1884</c:v>
                </c:pt>
                <c:pt idx="67">
                  <c:v>1885</c:v>
                </c:pt>
                <c:pt idx="68">
                  <c:v>1886</c:v>
                </c:pt>
                <c:pt idx="69">
                  <c:v>1887</c:v>
                </c:pt>
                <c:pt idx="70">
                  <c:v>1888</c:v>
                </c:pt>
                <c:pt idx="71">
                  <c:v>1889</c:v>
                </c:pt>
                <c:pt idx="72">
                  <c:v>1890</c:v>
                </c:pt>
                <c:pt idx="73">
                  <c:v>1891</c:v>
                </c:pt>
                <c:pt idx="74">
                  <c:v>1892</c:v>
                </c:pt>
                <c:pt idx="75">
                  <c:v>1893</c:v>
                </c:pt>
                <c:pt idx="76">
                  <c:v>1894</c:v>
                </c:pt>
                <c:pt idx="77">
                  <c:v>1895</c:v>
                </c:pt>
                <c:pt idx="78">
                  <c:v>1896</c:v>
                </c:pt>
                <c:pt idx="79">
                  <c:v>1897</c:v>
                </c:pt>
                <c:pt idx="80">
                  <c:v>1898</c:v>
                </c:pt>
                <c:pt idx="81">
                  <c:v>1899</c:v>
                </c:pt>
                <c:pt idx="82">
                  <c:v>1900</c:v>
                </c:pt>
                <c:pt idx="83">
                  <c:v>1901</c:v>
                </c:pt>
                <c:pt idx="84">
                  <c:v>1902</c:v>
                </c:pt>
                <c:pt idx="85">
                  <c:v>1903</c:v>
                </c:pt>
                <c:pt idx="86">
                  <c:v>1904</c:v>
                </c:pt>
                <c:pt idx="87">
                  <c:v>1905</c:v>
                </c:pt>
                <c:pt idx="88">
                  <c:v>1906</c:v>
                </c:pt>
                <c:pt idx="89">
                  <c:v>1907</c:v>
                </c:pt>
                <c:pt idx="90">
                  <c:v>1908</c:v>
                </c:pt>
                <c:pt idx="91">
                  <c:v>1909</c:v>
                </c:pt>
                <c:pt idx="92">
                  <c:v>1910</c:v>
                </c:pt>
                <c:pt idx="93">
                  <c:v>1911</c:v>
                </c:pt>
                <c:pt idx="94">
                  <c:v>1912</c:v>
                </c:pt>
                <c:pt idx="95">
                  <c:v>1913</c:v>
                </c:pt>
                <c:pt idx="96">
                  <c:v>1914</c:v>
                </c:pt>
                <c:pt idx="97">
                  <c:v>1915</c:v>
                </c:pt>
                <c:pt idx="98">
                  <c:v>1916</c:v>
                </c:pt>
                <c:pt idx="99">
                  <c:v>1917</c:v>
                </c:pt>
                <c:pt idx="100">
                  <c:v>1918</c:v>
                </c:pt>
                <c:pt idx="101">
                  <c:v>1919</c:v>
                </c:pt>
                <c:pt idx="102">
                  <c:v>1920</c:v>
                </c:pt>
                <c:pt idx="103">
                  <c:v>1921</c:v>
                </c:pt>
                <c:pt idx="104">
                  <c:v>1922</c:v>
                </c:pt>
                <c:pt idx="105">
                  <c:v>1923</c:v>
                </c:pt>
                <c:pt idx="106">
                  <c:v>1924</c:v>
                </c:pt>
                <c:pt idx="107">
                  <c:v>1925</c:v>
                </c:pt>
                <c:pt idx="108">
                  <c:v>1926</c:v>
                </c:pt>
                <c:pt idx="109">
                  <c:v>1927</c:v>
                </c:pt>
                <c:pt idx="110">
                  <c:v>1928</c:v>
                </c:pt>
                <c:pt idx="111">
                  <c:v>1929</c:v>
                </c:pt>
                <c:pt idx="112">
                  <c:v>1930</c:v>
                </c:pt>
                <c:pt idx="113">
                  <c:v>1931</c:v>
                </c:pt>
                <c:pt idx="114">
                  <c:v>1932</c:v>
                </c:pt>
                <c:pt idx="115">
                  <c:v>1933</c:v>
                </c:pt>
                <c:pt idx="116">
                  <c:v>1934</c:v>
                </c:pt>
                <c:pt idx="117">
                  <c:v>1935</c:v>
                </c:pt>
                <c:pt idx="118">
                  <c:v>1936</c:v>
                </c:pt>
                <c:pt idx="119">
                  <c:v>1937</c:v>
                </c:pt>
                <c:pt idx="120">
                  <c:v>1938</c:v>
                </c:pt>
                <c:pt idx="121">
                  <c:v>1939</c:v>
                </c:pt>
                <c:pt idx="122">
                  <c:v>1940</c:v>
                </c:pt>
                <c:pt idx="123">
                  <c:v>1941</c:v>
                </c:pt>
                <c:pt idx="124">
                  <c:v>1942</c:v>
                </c:pt>
                <c:pt idx="125">
                  <c:v>1943</c:v>
                </c:pt>
                <c:pt idx="126">
                  <c:v>1944</c:v>
                </c:pt>
                <c:pt idx="127">
                  <c:v>1945</c:v>
                </c:pt>
                <c:pt idx="128">
                  <c:v>1946</c:v>
                </c:pt>
                <c:pt idx="129">
                  <c:v>1947</c:v>
                </c:pt>
                <c:pt idx="130">
                  <c:v>1948</c:v>
                </c:pt>
                <c:pt idx="131">
                  <c:v>1949</c:v>
                </c:pt>
                <c:pt idx="132">
                  <c:v>1950</c:v>
                </c:pt>
                <c:pt idx="133">
                  <c:v>1951</c:v>
                </c:pt>
                <c:pt idx="134">
                  <c:v>1952</c:v>
                </c:pt>
                <c:pt idx="135">
                  <c:v>1953</c:v>
                </c:pt>
                <c:pt idx="136">
                  <c:v>1954</c:v>
                </c:pt>
                <c:pt idx="137">
                  <c:v>1955</c:v>
                </c:pt>
                <c:pt idx="138">
                  <c:v>1956</c:v>
                </c:pt>
                <c:pt idx="139">
                  <c:v>1957</c:v>
                </c:pt>
                <c:pt idx="140">
                  <c:v>1958</c:v>
                </c:pt>
                <c:pt idx="141">
                  <c:v>1959</c:v>
                </c:pt>
                <c:pt idx="142">
                  <c:v>1960</c:v>
                </c:pt>
                <c:pt idx="143">
                  <c:v>1961</c:v>
                </c:pt>
                <c:pt idx="144">
                  <c:v>1962</c:v>
                </c:pt>
                <c:pt idx="145">
                  <c:v>1963</c:v>
                </c:pt>
                <c:pt idx="146">
                  <c:v>1964</c:v>
                </c:pt>
                <c:pt idx="147">
                  <c:v>1965</c:v>
                </c:pt>
                <c:pt idx="148">
                  <c:v>1966</c:v>
                </c:pt>
                <c:pt idx="149">
                  <c:v>1967</c:v>
                </c:pt>
                <c:pt idx="150">
                  <c:v>1968</c:v>
                </c:pt>
                <c:pt idx="151">
                  <c:v>1969</c:v>
                </c:pt>
                <c:pt idx="152">
                  <c:v>1970</c:v>
                </c:pt>
                <c:pt idx="153">
                  <c:v>1971</c:v>
                </c:pt>
                <c:pt idx="154">
                  <c:v>1972</c:v>
                </c:pt>
                <c:pt idx="155">
                  <c:v>1973</c:v>
                </c:pt>
                <c:pt idx="156">
                  <c:v>1974</c:v>
                </c:pt>
                <c:pt idx="157">
                  <c:v>1975</c:v>
                </c:pt>
                <c:pt idx="158">
                  <c:v>1976</c:v>
                </c:pt>
                <c:pt idx="159">
                  <c:v>1977</c:v>
                </c:pt>
                <c:pt idx="160">
                  <c:v>1978</c:v>
                </c:pt>
                <c:pt idx="161">
                  <c:v>1979</c:v>
                </c:pt>
                <c:pt idx="162">
                  <c:v>1980</c:v>
                </c:pt>
                <c:pt idx="163">
                  <c:v>1981</c:v>
                </c:pt>
                <c:pt idx="164">
                  <c:v>1982</c:v>
                </c:pt>
                <c:pt idx="165">
                  <c:v>1983</c:v>
                </c:pt>
                <c:pt idx="166">
                  <c:v>1984</c:v>
                </c:pt>
                <c:pt idx="167">
                  <c:v>1985</c:v>
                </c:pt>
                <c:pt idx="168">
                  <c:v>1986</c:v>
                </c:pt>
                <c:pt idx="169">
                  <c:v>1987</c:v>
                </c:pt>
                <c:pt idx="170">
                  <c:v>1988</c:v>
                </c:pt>
                <c:pt idx="171">
                  <c:v>1989</c:v>
                </c:pt>
                <c:pt idx="172">
                  <c:v>1990</c:v>
                </c:pt>
                <c:pt idx="173">
                  <c:v>1991</c:v>
                </c:pt>
                <c:pt idx="174">
                  <c:v>1992</c:v>
                </c:pt>
                <c:pt idx="175">
                  <c:v>1993</c:v>
                </c:pt>
                <c:pt idx="176">
                  <c:v>1994</c:v>
                </c:pt>
                <c:pt idx="177">
                  <c:v>1995</c:v>
                </c:pt>
                <c:pt idx="178">
                  <c:v>1996</c:v>
                </c:pt>
                <c:pt idx="179">
                  <c:v>1997</c:v>
                </c:pt>
                <c:pt idx="180">
                  <c:v>1998</c:v>
                </c:pt>
                <c:pt idx="181">
                  <c:v>1999</c:v>
                </c:pt>
                <c:pt idx="182">
                  <c:v>2000</c:v>
                </c:pt>
                <c:pt idx="183">
                  <c:v>2001</c:v>
                </c:pt>
                <c:pt idx="184">
                  <c:v>2002</c:v>
                </c:pt>
                <c:pt idx="185">
                  <c:v>2003</c:v>
                </c:pt>
                <c:pt idx="186">
                  <c:v>2004</c:v>
                </c:pt>
                <c:pt idx="187">
                  <c:v>2005</c:v>
                </c:pt>
                <c:pt idx="188">
                  <c:v>2006</c:v>
                </c:pt>
                <c:pt idx="189">
                  <c:v>2007</c:v>
                </c:pt>
                <c:pt idx="190">
                  <c:v>2008</c:v>
                </c:pt>
                <c:pt idx="191">
                  <c:v>2009</c:v>
                </c:pt>
                <c:pt idx="192">
                  <c:v>2010</c:v>
                </c:pt>
                <c:pt idx="193">
                  <c:v>2011</c:v>
                </c:pt>
                <c:pt idx="194">
                  <c:v>2012</c:v>
                </c:pt>
                <c:pt idx="195">
                  <c:v>2013</c:v>
                </c:pt>
                <c:pt idx="196">
                  <c:v>2014</c:v>
                </c:pt>
                <c:pt idx="197">
                  <c:v>2015</c:v>
                </c:pt>
                <c:pt idx="198">
                  <c:v>2016</c:v>
                </c:pt>
                <c:pt idx="199">
                  <c:v>2017</c:v>
                </c:pt>
                <c:pt idx="200">
                  <c:v>2018</c:v>
                </c:pt>
                <c:pt idx="201">
                  <c:v>2019</c:v>
                </c:pt>
                <c:pt idx="202">
                  <c:v>2020</c:v>
                </c:pt>
                <c:pt idx="203">
                  <c:v>2021</c:v>
                </c:pt>
                <c:pt idx="204">
                  <c:v>2022</c:v>
                </c:pt>
                <c:pt idx="205">
                  <c:v>2023</c:v>
                </c:pt>
                <c:pt idx="206">
                  <c:v>2024</c:v>
                </c:pt>
                <c:pt idx="207">
                  <c:v>2025</c:v>
                </c:pt>
                <c:pt idx="208">
                  <c:v>2026</c:v>
                </c:pt>
                <c:pt idx="209">
                  <c:v>2027</c:v>
                </c:pt>
                <c:pt idx="210">
                  <c:v>2028</c:v>
                </c:pt>
                <c:pt idx="211">
                  <c:v>2029</c:v>
                </c:pt>
                <c:pt idx="212">
                  <c:v>2030</c:v>
                </c:pt>
                <c:pt idx="213">
                  <c:v>2031</c:v>
                </c:pt>
                <c:pt idx="214">
                  <c:v>2032</c:v>
                </c:pt>
                <c:pt idx="215">
                  <c:v>2033</c:v>
                </c:pt>
                <c:pt idx="216">
                  <c:v>2034</c:v>
                </c:pt>
                <c:pt idx="217">
                  <c:v>2035</c:v>
                </c:pt>
                <c:pt idx="218">
                  <c:v>2036</c:v>
                </c:pt>
                <c:pt idx="219">
                  <c:v>2037</c:v>
                </c:pt>
                <c:pt idx="220">
                  <c:v>2038</c:v>
                </c:pt>
                <c:pt idx="221">
                  <c:v>2039</c:v>
                </c:pt>
                <c:pt idx="222">
                  <c:v>2040</c:v>
                </c:pt>
                <c:pt idx="223">
                  <c:v>2041</c:v>
                </c:pt>
                <c:pt idx="224">
                  <c:v>2042</c:v>
                </c:pt>
                <c:pt idx="225">
                  <c:v>2043</c:v>
                </c:pt>
                <c:pt idx="226">
                  <c:v>2044</c:v>
                </c:pt>
                <c:pt idx="227">
                  <c:v>2045</c:v>
                </c:pt>
                <c:pt idx="228">
                  <c:v>2046</c:v>
                </c:pt>
                <c:pt idx="229">
                  <c:v>2047</c:v>
                </c:pt>
                <c:pt idx="230">
                  <c:v>2048</c:v>
                </c:pt>
                <c:pt idx="231">
                  <c:v>2049</c:v>
                </c:pt>
                <c:pt idx="232">
                  <c:v>2050</c:v>
                </c:pt>
                <c:pt idx="233">
                  <c:v>2051</c:v>
                </c:pt>
                <c:pt idx="234">
                  <c:v>2052</c:v>
                </c:pt>
                <c:pt idx="235">
                  <c:v>2053</c:v>
                </c:pt>
                <c:pt idx="236">
                  <c:v>2054</c:v>
                </c:pt>
                <c:pt idx="237">
                  <c:v>2055</c:v>
                </c:pt>
                <c:pt idx="238">
                  <c:v>2056</c:v>
                </c:pt>
                <c:pt idx="239">
                  <c:v>2057</c:v>
                </c:pt>
                <c:pt idx="240">
                  <c:v>2058</c:v>
                </c:pt>
                <c:pt idx="241">
                  <c:v>2059</c:v>
                </c:pt>
                <c:pt idx="242">
                  <c:v>2060</c:v>
                </c:pt>
                <c:pt idx="243">
                  <c:v>2061</c:v>
                </c:pt>
                <c:pt idx="244">
                  <c:v>2062</c:v>
                </c:pt>
                <c:pt idx="245">
                  <c:v>2063</c:v>
                </c:pt>
                <c:pt idx="246">
                  <c:v>2064</c:v>
                </c:pt>
                <c:pt idx="247">
                  <c:v>2065</c:v>
                </c:pt>
                <c:pt idx="248">
                  <c:v>2066</c:v>
                </c:pt>
                <c:pt idx="249">
                  <c:v>2067</c:v>
                </c:pt>
                <c:pt idx="250">
                  <c:v>2068</c:v>
                </c:pt>
                <c:pt idx="251">
                  <c:v>2069</c:v>
                </c:pt>
                <c:pt idx="252">
                  <c:v>2070</c:v>
                </c:pt>
              </c:numCache>
            </c:numRef>
          </c:xVal>
          <c:yVal>
            <c:numRef>
              <c:f>'Western United States'!$E$13:$E$265</c:f>
              <c:numCache>
                <c:formatCode>#,##0.0</c:formatCode>
                <c:ptCount val="253"/>
                <c:pt idx="1">
                  <c:v>9.0718474076075659E-5</c:v>
                </c:pt>
                <c:pt idx="2">
                  <c:v>5.4431084445645398E-4</c:v>
                </c:pt>
                <c:pt idx="3">
                  <c:v>9.9790321483683221E-4</c:v>
                </c:pt>
                <c:pt idx="4">
                  <c:v>1.4514955852172105E-3</c:v>
                </c:pt>
                <c:pt idx="5">
                  <c:v>1.8143694815215133E-3</c:v>
                </c:pt>
                <c:pt idx="6">
                  <c:v>2.2679618519018912E-3</c:v>
                </c:pt>
                <c:pt idx="7">
                  <c:v>2.7215542222822696E-3</c:v>
                </c:pt>
                <c:pt idx="8">
                  <c:v>3.1751465926626483E-3</c:v>
                </c:pt>
                <c:pt idx="9">
                  <c:v>3.6287389630430267E-3</c:v>
                </c:pt>
                <c:pt idx="10">
                  <c:v>4.082331333423405E-3</c:v>
                </c:pt>
                <c:pt idx="11">
                  <c:v>4.5359237038037825E-3</c:v>
                </c:pt>
                <c:pt idx="12">
                  <c:v>4.9895160741841608E-3</c:v>
                </c:pt>
                <c:pt idx="13">
                  <c:v>5.4431084445645391E-3</c:v>
                </c:pt>
                <c:pt idx="14">
                  <c:v>5.8967008149449184E-3</c:v>
                </c:pt>
                <c:pt idx="15">
                  <c:v>6.3502931853252967E-3</c:v>
                </c:pt>
                <c:pt idx="16">
                  <c:v>6.803885555705675E-3</c:v>
                </c:pt>
                <c:pt idx="17">
                  <c:v>7.2574779260860534E-3</c:v>
                </c:pt>
                <c:pt idx="18">
                  <c:v>7.7110702964664317E-3</c:v>
                </c:pt>
                <c:pt idx="19">
                  <c:v>8.16466266684681E-3</c:v>
                </c:pt>
                <c:pt idx="20">
                  <c:v>8.6182550372271866E-3</c:v>
                </c:pt>
                <c:pt idx="21">
                  <c:v>9.162565881683642E-3</c:v>
                </c:pt>
                <c:pt idx="22">
                  <c:v>1.1786144151963751E-2</c:v>
                </c:pt>
                <c:pt idx="23">
                  <c:v>1.5875732963313242E-2</c:v>
                </c:pt>
                <c:pt idx="24">
                  <c:v>2.0774530563421326E-2</c:v>
                </c:pt>
                <c:pt idx="25">
                  <c:v>3.2023621348854704E-2</c:v>
                </c:pt>
                <c:pt idx="26">
                  <c:v>4.3272712134288092E-2</c:v>
                </c:pt>
                <c:pt idx="27">
                  <c:v>5.9057726623525257E-2</c:v>
                </c:pt>
                <c:pt idx="28">
                  <c:v>7.7564295335044692E-2</c:v>
                </c:pt>
                <c:pt idx="29">
                  <c:v>9.0627755601999579E-2</c:v>
                </c:pt>
                <c:pt idx="30">
                  <c:v>9.7477000394743302E-2</c:v>
                </c:pt>
                <c:pt idx="31">
                  <c:v>0.1042083111711881</c:v>
                </c:pt>
                <c:pt idx="32">
                  <c:v>0.11556626412551278</c:v>
                </c:pt>
                <c:pt idx="33">
                  <c:v>0.14065899405495533</c:v>
                </c:pt>
                <c:pt idx="34">
                  <c:v>0.15676152320345876</c:v>
                </c:pt>
                <c:pt idx="35">
                  <c:v>0.17751791007206486</c:v>
                </c:pt>
                <c:pt idx="36">
                  <c:v>0.19395609757464977</c:v>
                </c:pt>
                <c:pt idx="37">
                  <c:v>0.20683812089345252</c:v>
                </c:pt>
                <c:pt idx="38">
                  <c:v>0.22489109723459155</c:v>
                </c:pt>
                <c:pt idx="39">
                  <c:v>0.24757071575361048</c:v>
                </c:pt>
                <c:pt idx="40">
                  <c:v>0.27052248969485759</c:v>
                </c:pt>
                <c:pt idx="41">
                  <c:v>0.29526504631436651</c:v>
                </c:pt>
                <c:pt idx="42">
                  <c:v>0.31917480734185699</c:v>
                </c:pt>
                <c:pt idx="43">
                  <c:v>0.35418941678099991</c:v>
                </c:pt>
                <c:pt idx="44">
                  <c:v>0.39504448158116062</c:v>
                </c:pt>
                <c:pt idx="45">
                  <c:v>0.4545821089325483</c:v>
                </c:pt>
                <c:pt idx="46">
                  <c:v>0.48855527028929785</c:v>
                </c:pt>
                <c:pt idx="47">
                  <c:v>0.55202826504610569</c:v>
                </c:pt>
                <c:pt idx="48">
                  <c:v>0.63801667788385485</c:v>
                </c:pt>
                <c:pt idx="49">
                  <c:v>0.80616609113808335</c:v>
                </c:pt>
                <c:pt idx="50">
                  <c:v>0.94200702703485828</c:v>
                </c:pt>
                <c:pt idx="51">
                  <c:v>1.1040746737870266</c:v>
                </c:pt>
                <c:pt idx="52">
                  <c:v>1.1681373386253291</c:v>
                </c:pt>
                <c:pt idx="53">
                  <c:v>1.6634883298076657</c:v>
                </c:pt>
                <c:pt idx="54">
                  <c:v>2.1999184604211308</c:v>
                </c:pt>
                <c:pt idx="55">
                  <c:v>2.6543209467750084</c:v>
                </c:pt>
                <c:pt idx="56">
                  <c:v>3.1052561730496984</c:v>
                </c:pt>
                <c:pt idx="57">
                  <c:v>3.2707820080336472</c:v>
                </c:pt>
                <c:pt idx="58">
                  <c:v>3.5936091411418065</c:v>
                </c:pt>
                <c:pt idx="59">
                  <c:v>3.6957118765296895</c:v>
                </c:pt>
                <c:pt idx="60">
                  <c:v>3.8548674602640154</c:v>
                </c:pt>
                <c:pt idx="61">
                  <c:v>4.3266951511184253</c:v>
                </c:pt>
                <c:pt idx="62">
                  <c:v>5.4083188169411054</c:v>
                </c:pt>
                <c:pt idx="63">
                  <c:v>6.5865059481245822</c:v>
                </c:pt>
                <c:pt idx="64">
                  <c:v>9.221614536459759</c:v>
                </c:pt>
                <c:pt idx="65">
                  <c:v>10.681488879942638</c:v>
                </c:pt>
                <c:pt idx="66">
                  <c:v>11.210385748468823</c:v>
                </c:pt>
                <c:pt idx="67">
                  <c:v>11.368619632506539</c:v>
                </c:pt>
                <c:pt idx="68">
                  <c:v>10.513058239418772</c:v>
                </c:pt>
                <c:pt idx="69">
                  <c:v>13.347600506793313</c:v>
                </c:pt>
                <c:pt idx="70">
                  <c:v>16.197896037191164</c:v>
                </c:pt>
                <c:pt idx="71">
                  <c:v>14.801211646825976</c:v>
                </c:pt>
                <c:pt idx="72">
                  <c:v>16.415630354005895</c:v>
                </c:pt>
                <c:pt idx="73">
                  <c:v>17.662342591767477</c:v>
                </c:pt>
                <c:pt idx="74">
                  <c:v>18.696475136411326</c:v>
                </c:pt>
                <c:pt idx="75">
                  <c:v>19.588293074848337</c:v>
                </c:pt>
                <c:pt idx="76">
                  <c:v>18.118192944967607</c:v>
                </c:pt>
                <c:pt idx="77">
                  <c:v>19.192331429494271</c:v>
                </c:pt>
                <c:pt idx="78">
                  <c:v>19.175115784668851</c:v>
                </c:pt>
                <c:pt idx="79">
                  <c:v>21.514852278890253</c:v>
                </c:pt>
                <c:pt idx="80">
                  <c:v>23.737299765163435</c:v>
                </c:pt>
                <c:pt idx="81">
                  <c:v>26.892308670950676</c:v>
                </c:pt>
                <c:pt idx="82">
                  <c:v>30.618521912834225</c:v>
                </c:pt>
                <c:pt idx="83">
                  <c:v>33.222486849019084</c:v>
                </c:pt>
                <c:pt idx="84">
                  <c:v>36.11052035744784</c:v>
                </c:pt>
                <c:pt idx="85">
                  <c:v>39.509999221544774</c:v>
                </c:pt>
                <c:pt idx="86">
                  <c:v>39.026066964694394</c:v>
                </c:pt>
                <c:pt idx="87">
                  <c:v>41.45757426729115</c:v>
                </c:pt>
                <c:pt idx="88">
                  <c:v>44.086769825486051</c:v>
                </c:pt>
                <c:pt idx="89">
                  <c:v>49.553579378587706</c:v>
                </c:pt>
                <c:pt idx="90">
                  <c:v>47.291976891718555</c:v>
                </c:pt>
                <c:pt idx="91">
                  <c:v>43.347904141526044</c:v>
                </c:pt>
                <c:pt idx="92">
                  <c:v>50.008897214345012</c:v>
                </c:pt>
                <c:pt idx="93">
                  <c:v>49.149107433180561</c:v>
                </c:pt>
                <c:pt idx="94">
                  <c:v>53.019666467905516</c:v>
                </c:pt>
                <c:pt idx="95">
                  <c:v>53.663458283849053</c:v>
                </c:pt>
                <c:pt idx="96">
                  <c:v>49.410454656407367</c:v>
                </c:pt>
                <c:pt idx="97">
                  <c:v>48.616510158096816</c:v>
                </c:pt>
                <c:pt idx="98">
                  <c:v>54.094596017526122</c:v>
                </c:pt>
                <c:pt idx="99">
                  <c:v>62.603138853759923</c:v>
                </c:pt>
                <c:pt idx="100">
                  <c:v>64.555202649603586</c:v>
                </c:pt>
                <c:pt idx="101">
                  <c:v>49.12826123502262</c:v>
                </c:pt>
                <c:pt idx="102">
                  <c:v>62.157956085926401</c:v>
                </c:pt>
                <c:pt idx="103">
                  <c:v>41.734076918797108</c:v>
                </c:pt>
                <c:pt idx="104">
                  <c:v>41.597183648601046</c:v>
                </c:pt>
                <c:pt idx="105">
                  <c:v>47.131352575888933</c:v>
                </c:pt>
                <c:pt idx="106">
                  <c:v>43.883911524050319</c:v>
                </c:pt>
                <c:pt idx="107">
                  <c:v>43.108607857792911</c:v>
                </c:pt>
                <c:pt idx="108">
                  <c:v>44.047283702459701</c:v>
                </c:pt>
                <c:pt idx="109">
                  <c:v>43.241159341819689</c:v>
                </c:pt>
                <c:pt idx="110">
                  <c:v>43.592833135314564</c:v>
                </c:pt>
                <c:pt idx="111">
                  <c:v>45.385544488335157</c:v>
                </c:pt>
                <c:pt idx="112">
                  <c:v>39.81258252716286</c:v>
                </c:pt>
                <c:pt idx="113">
                  <c:v>31.793003194351694</c:v>
                </c:pt>
                <c:pt idx="114">
                  <c:v>29.304284286078857</c:v>
                </c:pt>
                <c:pt idx="115">
                  <c:v>27.585088462895296</c:v>
                </c:pt>
                <c:pt idx="116">
                  <c:v>28.257166299055754</c:v>
                </c:pt>
                <c:pt idx="117">
                  <c:v>31.687631872342852</c:v>
                </c:pt>
                <c:pt idx="118">
                  <c:v>35.856972201437358</c:v>
                </c:pt>
                <c:pt idx="119">
                  <c:v>36.894624622875362</c:v>
                </c:pt>
                <c:pt idx="120">
                  <c:v>30.952146358726917</c:v>
                </c:pt>
                <c:pt idx="121">
                  <c:v>31.421451168817274</c:v>
                </c:pt>
                <c:pt idx="122">
                  <c:v>34.249180478788702</c:v>
                </c:pt>
                <c:pt idx="123">
                  <c:v>36.673275174868699</c:v>
                </c:pt>
                <c:pt idx="124">
                  <c:v>43.028523403248037</c:v>
                </c:pt>
                <c:pt idx="125">
                  <c:v>45.745002834090492</c:v>
                </c:pt>
                <c:pt idx="126">
                  <c:v>46.505156515177191</c:v>
                </c:pt>
                <c:pt idx="127">
                  <c:v>43.909407951189401</c:v>
                </c:pt>
                <c:pt idx="128">
                  <c:v>37.033662477798579</c:v>
                </c:pt>
                <c:pt idx="129">
                  <c:v>40.646611890428673</c:v>
                </c:pt>
                <c:pt idx="130">
                  <c:v>37.353331700824157</c:v>
                </c:pt>
                <c:pt idx="131">
                  <c:v>32.995216206209477</c:v>
                </c:pt>
                <c:pt idx="132">
                  <c:v>32.671351253757891</c:v>
                </c:pt>
                <c:pt idx="133">
                  <c:v>31.417621942026521</c:v>
                </c:pt>
                <c:pt idx="134">
                  <c:v>29.636818295913155</c:v>
                </c:pt>
                <c:pt idx="135">
                  <c:v>27.748059665649262</c:v>
                </c:pt>
                <c:pt idx="136">
                  <c:v>23.020719981544961</c:v>
                </c:pt>
                <c:pt idx="137">
                  <c:v>24.149257799051341</c:v>
                </c:pt>
                <c:pt idx="138">
                  <c:v>23.380872323626981</c:v>
                </c:pt>
                <c:pt idx="139">
                  <c:v>22.37571163086406</c:v>
                </c:pt>
                <c:pt idx="140">
                  <c:v>18.41766460692488</c:v>
                </c:pt>
                <c:pt idx="141">
                  <c:v>18.43943704070314</c:v>
                </c:pt>
                <c:pt idx="142">
                  <c:v>19.319406239241072</c:v>
                </c:pt>
                <c:pt idx="143">
                  <c:v>19.75939083851004</c:v>
                </c:pt>
                <c:pt idx="144">
                  <c:v>19.426454038650842</c:v>
                </c:pt>
                <c:pt idx="145">
                  <c:v>21.509350203437542</c:v>
                </c:pt>
                <c:pt idx="146">
                  <c:v>23.303761620662318</c:v>
                </c:pt>
                <c:pt idx="147">
                  <c:v>24.879541515363748</c:v>
                </c:pt>
                <c:pt idx="148">
                  <c:v>25.445624793598462</c:v>
                </c:pt>
                <c:pt idx="149">
                  <c:v>26.225803670652713</c:v>
                </c:pt>
                <c:pt idx="150">
                  <c:v>26.956994571705881</c:v>
                </c:pt>
                <c:pt idx="151">
                  <c:v>30.210159052074001</c:v>
                </c:pt>
                <c:pt idx="152">
                  <c:v>40.73531641438025</c:v>
                </c:pt>
                <c:pt idx="153">
                  <c:v>46.260978670354021</c:v>
                </c:pt>
                <c:pt idx="154">
                  <c:v>58.363730296843272</c:v>
                </c:pt>
                <c:pt idx="155">
                  <c:v>69.342480029529952</c:v>
                </c:pt>
                <c:pt idx="156">
                  <c:v>83.374813599617326</c:v>
                </c:pt>
                <c:pt idx="157">
                  <c:v>100.63763203155378</c:v>
                </c:pt>
                <c:pt idx="158">
                  <c:v>123.45151389220528</c:v>
                </c:pt>
                <c:pt idx="159">
                  <c:v>148.72205203083692</c:v>
                </c:pt>
                <c:pt idx="160">
                  <c:v>166.00210697284783</c:v>
                </c:pt>
                <c:pt idx="161">
                  <c:v>200.87791714665434</c:v>
                </c:pt>
                <c:pt idx="162">
                  <c:v>227.71425614783905</c:v>
                </c:pt>
                <c:pt idx="163">
                  <c:v>244.86186211769885</c:v>
                </c:pt>
                <c:pt idx="164">
                  <c:v>248.43526281155548</c:v>
                </c:pt>
                <c:pt idx="165">
                  <c:v>249.2000195480168</c:v>
                </c:pt>
                <c:pt idx="166">
                  <c:v>279.68596276128204</c:v>
                </c:pt>
                <c:pt idx="167">
                  <c:v>294.7515797510959</c:v>
                </c:pt>
                <c:pt idx="168">
                  <c:v>295.63971361230068</c:v>
                </c:pt>
                <c:pt idx="169">
                  <c:v>305.5697577846679</c:v>
                </c:pt>
                <c:pt idx="170">
                  <c:v>336.29338340001249</c:v>
                </c:pt>
                <c:pt idx="171">
                  <c:v>346.28511613475143</c:v>
                </c:pt>
                <c:pt idx="172">
                  <c:v>361.83789133035384</c:v>
                </c:pt>
                <c:pt idx="173">
                  <c:v>367.12859273847062</c:v>
                </c:pt>
                <c:pt idx="174">
                  <c:v>371.01134342892664</c:v>
                </c:pt>
                <c:pt idx="175">
                  <c:v>389.36822665822052</c:v>
                </c:pt>
                <c:pt idx="176">
                  <c:v>423.85122583927767</c:v>
                </c:pt>
                <c:pt idx="177">
                  <c:v>443.366643856716</c:v>
                </c:pt>
                <c:pt idx="178">
                  <c:v>453.76279229140812</c:v>
                </c:pt>
                <c:pt idx="179">
                  <c:v>463.174515554957</c:v>
                </c:pt>
                <c:pt idx="180">
                  <c:v>496.19336936677172</c:v>
                </c:pt>
                <c:pt idx="181">
                  <c:v>517.85479729859617</c:v>
                </c:pt>
                <c:pt idx="182">
                  <c:v>513.55212439941306</c:v>
                </c:pt>
                <c:pt idx="183">
                  <c:v>543.32296109707875</c:v>
                </c:pt>
                <c:pt idx="184">
                  <c:v>545.55185957404353</c:v>
                </c:pt>
                <c:pt idx="185">
                  <c:v>546.58410971035039</c:v>
                </c:pt>
                <c:pt idx="186">
                  <c:v>569.07973664898714</c:v>
                </c:pt>
                <c:pt idx="187">
                  <c:v>578.50903933844245</c:v>
                </c:pt>
                <c:pt idx="188">
                  <c:v>609.58441041487629</c:v>
                </c:pt>
                <c:pt idx="189">
                  <c:v>606.42937792228588</c:v>
                </c:pt>
                <c:pt idx="190">
                  <c:v>615.3967230908662</c:v>
                </c:pt>
                <c:pt idx="191">
                  <c:v>568.00137813527613</c:v>
                </c:pt>
              </c:numCache>
            </c:numRef>
          </c:yVal>
          <c:smooth val="1"/>
          <c:extLst>
            <c:ext xmlns:c16="http://schemas.microsoft.com/office/drawing/2014/chart" uri="{C3380CC4-5D6E-409C-BE32-E72D297353CC}">
              <c16:uniqueId val="{00000000-2440-0545-863D-EDEDEA0F15B5}"/>
            </c:ext>
          </c:extLst>
        </c:ser>
        <c:dLbls>
          <c:showLegendKey val="0"/>
          <c:showVal val="0"/>
          <c:showCatName val="0"/>
          <c:showSerName val="0"/>
          <c:showPercent val="0"/>
          <c:showBubbleSize val="0"/>
        </c:dLbls>
        <c:axId val="135260032"/>
        <c:axId val="136055040"/>
      </c:scatterChart>
      <c:valAx>
        <c:axId val="135260032"/>
        <c:scaling>
          <c:orientation val="minMax"/>
          <c:max val="2020"/>
          <c:min val="188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6055040"/>
        <c:crossesAt val="-1000"/>
        <c:crossBetween val="midCat"/>
        <c:majorUnit val="70"/>
        <c:minorUnit val="10"/>
      </c:valAx>
      <c:valAx>
        <c:axId val="136055040"/>
        <c:scaling>
          <c:orientation val="minMax"/>
          <c:max val="62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179653679653765"/>
              <c:y val="0.17303587051618549"/>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5260032"/>
        <c:crosses val="max"/>
        <c:crossBetween val="midCat"/>
        <c:majorUnit val="300"/>
        <c:minorUnit val="10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318096601561166E-2"/>
          <c:y val="7.5578521434820634E-2"/>
          <c:w val="0.85778487916283264"/>
          <c:h val="0.77264654418197765"/>
        </c:manualLayout>
      </c:layout>
      <c:scatterChart>
        <c:scatterStyle val="smoothMarker"/>
        <c:varyColors val="0"/>
        <c:ser>
          <c:idx val="3"/>
          <c:order val="0"/>
          <c:tx>
            <c:v>logit early</c:v>
          </c:tx>
          <c:spPr>
            <a:ln w="15875">
              <a:solidFill>
                <a:srgbClr val="008000"/>
              </a:solidFill>
              <a:prstDash val="lgDash"/>
            </a:ln>
          </c:spPr>
          <c:marker>
            <c:symbol val="none"/>
          </c:marker>
          <c:xVal>
            <c:numRef>
              <c:f>'Western United States'!$D$155:$D$172</c:f>
              <c:numCache>
                <c:formatCode>General</c:formatCode>
                <c:ptCount val="18"/>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numCache>
            </c:numRef>
          </c:xVal>
          <c:yVal>
            <c:numRef>
              <c:f>'Western United States'!$G$155:$G$172</c:f>
              <c:numCache>
                <c:formatCode>0.0</c:formatCode>
                <c:ptCount val="18"/>
                <c:pt idx="0">
                  <c:v>-2.7435770806049615</c:v>
                </c:pt>
                <c:pt idx="1">
                  <c:v>-2.7359141153355115</c:v>
                </c:pt>
                <c:pt idx="2">
                  <c:v>-2.7284302099954103</c:v>
                </c:pt>
                <c:pt idx="3">
                  <c:v>-2.7202008073135353</c:v>
                </c:pt>
                <c:pt idx="4">
                  <c:v>-2.7113513488169243</c:v>
                </c:pt>
                <c:pt idx="5">
                  <c:v>-2.701978552751128</c:v>
                </c:pt>
                <c:pt idx="6">
                  <c:v>-2.6924712888812379</c:v>
                </c:pt>
                <c:pt idx="7">
                  <c:v>-2.6827544224059623</c:v>
                </c:pt>
                <c:pt idx="8">
                  <c:v>-2.6728517168790593</c:v>
                </c:pt>
                <c:pt idx="9">
                  <c:v>-2.6618544885167958</c:v>
                </c:pt>
                <c:pt idx="10">
                  <c:v>-2.647190371577024</c:v>
                </c:pt>
                <c:pt idx="11">
                  <c:v>-2.6307602475430993</c:v>
                </c:pt>
                <c:pt idx="12">
                  <c:v>-2.6103595321633688</c:v>
                </c:pt>
                <c:pt idx="13">
                  <c:v>-2.5865790193414226</c:v>
                </c:pt>
                <c:pt idx="14">
                  <c:v>-2.5586154161583958</c:v>
                </c:pt>
                <c:pt idx="15">
                  <c:v>-2.5257299990824755</c:v>
                </c:pt>
                <c:pt idx="16">
                  <c:v>-2.4866082167086785</c:v>
                </c:pt>
                <c:pt idx="17">
                  <c:v>-2.4411356978405343</c:v>
                </c:pt>
              </c:numCache>
            </c:numRef>
          </c:yVal>
          <c:smooth val="1"/>
          <c:extLst>
            <c:ext xmlns:c16="http://schemas.microsoft.com/office/drawing/2014/chart" uri="{C3380CC4-5D6E-409C-BE32-E72D297353CC}">
              <c16:uniqueId val="{00000000-3D53-8F49-901F-AF236B888CF3}"/>
            </c:ext>
          </c:extLst>
        </c:ser>
        <c:ser>
          <c:idx val="0"/>
          <c:order val="1"/>
          <c:tx>
            <c:strRef>
              <c:f>'Western United States'!$G$12</c:f>
              <c:strCache>
                <c:ptCount val="1"/>
                <c:pt idx="0">
                  <c:v>logit</c:v>
                </c:pt>
              </c:strCache>
            </c:strRef>
          </c:tx>
          <c:spPr>
            <a:ln w="15875">
              <a:solidFill>
                <a:srgbClr val="008000"/>
              </a:solidFill>
            </a:ln>
          </c:spPr>
          <c:marker>
            <c:symbol val="none"/>
          </c:marker>
          <c:xVal>
            <c:numRef>
              <c:f>'Western United States'!$D$173:$D$300</c:f>
              <c:numCache>
                <c:formatCode>General</c:formatCode>
                <c:ptCount val="128"/>
                <c:pt idx="0">
                  <c:v>1978</c:v>
                </c:pt>
                <c:pt idx="1">
                  <c:v>1979</c:v>
                </c:pt>
                <c:pt idx="2">
                  <c:v>1980</c:v>
                </c:pt>
                <c:pt idx="3">
                  <c:v>1981</c:v>
                </c:pt>
                <c:pt idx="4">
                  <c:v>1982</c:v>
                </c:pt>
                <c:pt idx="5">
                  <c:v>1983</c:v>
                </c:pt>
                <c:pt idx="6">
                  <c:v>1984</c:v>
                </c:pt>
                <c:pt idx="7">
                  <c:v>1985</c:v>
                </c:pt>
                <c:pt idx="8">
                  <c:v>1986</c:v>
                </c:pt>
                <c:pt idx="9">
                  <c:v>1987</c:v>
                </c:pt>
                <c:pt idx="10">
                  <c:v>1988</c:v>
                </c:pt>
                <c:pt idx="11">
                  <c:v>1989</c:v>
                </c:pt>
                <c:pt idx="12">
                  <c:v>1990</c:v>
                </c:pt>
                <c:pt idx="13">
                  <c:v>1991</c:v>
                </c:pt>
                <c:pt idx="14">
                  <c:v>1992</c:v>
                </c:pt>
                <c:pt idx="15">
                  <c:v>1993</c:v>
                </c:pt>
                <c:pt idx="16">
                  <c:v>1994</c:v>
                </c:pt>
                <c:pt idx="17">
                  <c:v>1995</c:v>
                </c:pt>
                <c:pt idx="18">
                  <c:v>1996</c:v>
                </c:pt>
                <c:pt idx="19">
                  <c:v>1997</c:v>
                </c:pt>
                <c:pt idx="20">
                  <c:v>1998</c:v>
                </c:pt>
                <c:pt idx="21">
                  <c:v>1999</c:v>
                </c:pt>
                <c:pt idx="22">
                  <c:v>2000</c:v>
                </c:pt>
                <c:pt idx="23">
                  <c:v>2001</c:v>
                </c:pt>
                <c:pt idx="24">
                  <c:v>2002</c:v>
                </c:pt>
                <c:pt idx="25">
                  <c:v>2003</c:v>
                </c:pt>
                <c:pt idx="26">
                  <c:v>2004</c:v>
                </c:pt>
                <c:pt idx="27">
                  <c:v>2005</c:v>
                </c:pt>
                <c:pt idx="28">
                  <c:v>2006</c:v>
                </c:pt>
                <c:pt idx="29">
                  <c:v>2007</c:v>
                </c:pt>
                <c:pt idx="30">
                  <c:v>2008</c:v>
                </c:pt>
                <c:pt idx="31">
                  <c:v>2009</c:v>
                </c:pt>
                <c:pt idx="32">
                  <c:v>2010</c:v>
                </c:pt>
                <c:pt idx="33">
                  <c:v>2011</c:v>
                </c:pt>
                <c:pt idx="34">
                  <c:v>2012</c:v>
                </c:pt>
                <c:pt idx="35">
                  <c:v>2013</c:v>
                </c:pt>
                <c:pt idx="36">
                  <c:v>2014</c:v>
                </c:pt>
                <c:pt idx="37">
                  <c:v>2015</c:v>
                </c:pt>
                <c:pt idx="38">
                  <c:v>2016</c:v>
                </c:pt>
                <c:pt idx="39">
                  <c:v>2017</c:v>
                </c:pt>
                <c:pt idx="40">
                  <c:v>2018</c:v>
                </c:pt>
                <c:pt idx="41">
                  <c:v>2019</c:v>
                </c:pt>
                <c:pt idx="42">
                  <c:v>2020</c:v>
                </c:pt>
                <c:pt idx="43">
                  <c:v>2021</c:v>
                </c:pt>
                <c:pt idx="44">
                  <c:v>2022</c:v>
                </c:pt>
                <c:pt idx="45">
                  <c:v>2023</c:v>
                </c:pt>
                <c:pt idx="46">
                  <c:v>2024</c:v>
                </c:pt>
                <c:pt idx="47">
                  <c:v>2025</c:v>
                </c:pt>
                <c:pt idx="48">
                  <c:v>2026</c:v>
                </c:pt>
                <c:pt idx="49">
                  <c:v>2027</c:v>
                </c:pt>
                <c:pt idx="50">
                  <c:v>2028</c:v>
                </c:pt>
                <c:pt idx="51">
                  <c:v>2029</c:v>
                </c:pt>
                <c:pt idx="52">
                  <c:v>2030</c:v>
                </c:pt>
                <c:pt idx="53">
                  <c:v>2031</c:v>
                </c:pt>
                <c:pt idx="54">
                  <c:v>2032</c:v>
                </c:pt>
                <c:pt idx="55">
                  <c:v>2033</c:v>
                </c:pt>
                <c:pt idx="56">
                  <c:v>2034</c:v>
                </c:pt>
                <c:pt idx="57">
                  <c:v>2035</c:v>
                </c:pt>
                <c:pt idx="58">
                  <c:v>2036</c:v>
                </c:pt>
                <c:pt idx="59">
                  <c:v>2037</c:v>
                </c:pt>
                <c:pt idx="60">
                  <c:v>2038</c:v>
                </c:pt>
                <c:pt idx="61">
                  <c:v>2039</c:v>
                </c:pt>
                <c:pt idx="62">
                  <c:v>2040</c:v>
                </c:pt>
                <c:pt idx="63">
                  <c:v>2041</c:v>
                </c:pt>
                <c:pt idx="64">
                  <c:v>2042</c:v>
                </c:pt>
                <c:pt idx="65">
                  <c:v>2043</c:v>
                </c:pt>
                <c:pt idx="66">
                  <c:v>2044</c:v>
                </c:pt>
                <c:pt idx="67">
                  <c:v>2045</c:v>
                </c:pt>
                <c:pt idx="68">
                  <c:v>2046</c:v>
                </c:pt>
                <c:pt idx="69">
                  <c:v>2047</c:v>
                </c:pt>
                <c:pt idx="70">
                  <c:v>2048</c:v>
                </c:pt>
                <c:pt idx="71">
                  <c:v>2049</c:v>
                </c:pt>
                <c:pt idx="72">
                  <c:v>2050</c:v>
                </c:pt>
                <c:pt idx="73">
                  <c:v>2051</c:v>
                </c:pt>
                <c:pt idx="74">
                  <c:v>2052</c:v>
                </c:pt>
                <c:pt idx="75">
                  <c:v>2053</c:v>
                </c:pt>
                <c:pt idx="76">
                  <c:v>2054</c:v>
                </c:pt>
                <c:pt idx="77">
                  <c:v>2055</c:v>
                </c:pt>
                <c:pt idx="78">
                  <c:v>2056</c:v>
                </c:pt>
                <c:pt idx="79">
                  <c:v>2057</c:v>
                </c:pt>
                <c:pt idx="80">
                  <c:v>2058</c:v>
                </c:pt>
                <c:pt idx="81">
                  <c:v>2059</c:v>
                </c:pt>
                <c:pt idx="82">
                  <c:v>2060</c:v>
                </c:pt>
                <c:pt idx="83">
                  <c:v>2061</c:v>
                </c:pt>
                <c:pt idx="84">
                  <c:v>2062</c:v>
                </c:pt>
                <c:pt idx="85">
                  <c:v>2063</c:v>
                </c:pt>
                <c:pt idx="86">
                  <c:v>2064</c:v>
                </c:pt>
                <c:pt idx="87">
                  <c:v>2065</c:v>
                </c:pt>
                <c:pt idx="88">
                  <c:v>2066</c:v>
                </c:pt>
                <c:pt idx="89">
                  <c:v>2067</c:v>
                </c:pt>
                <c:pt idx="90">
                  <c:v>2068</c:v>
                </c:pt>
                <c:pt idx="91">
                  <c:v>2069</c:v>
                </c:pt>
                <c:pt idx="92">
                  <c:v>2070</c:v>
                </c:pt>
                <c:pt idx="93">
                  <c:v>2071</c:v>
                </c:pt>
                <c:pt idx="94">
                  <c:v>2072</c:v>
                </c:pt>
                <c:pt idx="95">
                  <c:v>2073</c:v>
                </c:pt>
                <c:pt idx="96">
                  <c:v>2074</c:v>
                </c:pt>
                <c:pt idx="97">
                  <c:v>2075</c:v>
                </c:pt>
                <c:pt idx="98">
                  <c:v>2076</c:v>
                </c:pt>
                <c:pt idx="99">
                  <c:v>2077</c:v>
                </c:pt>
                <c:pt idx="100">
                  <c:v>2078</c:v>
                </c:pt>
                <c:pt idx="101">
                  <c:v>2079</c:v>
                </c:pt>
                <c:pt idx="102">
                  <c:v>2080</c:v>
                </c:pt>
                <c:pt idx="103">
                  <c:v>2081</c:v>
                </c:pt>
                <c:pt idx="104">
                  <c:v>2082</c:v>
                </c:pt>
                <c:pt idx="105">
                  <c:v>2083</c:v>
                </c:pt>
                <c:pt idx="106">
                  <c:v>2084</c:v>
                </c:pt>
                <c:pt idx="107">
                  <c:v>2085</c:v>
                </c:pt>
                <c:pt idx="108">
                  <c:v>2086</c:v>
                </c:pt>
                <c:pt idx="109">
                  <c:v>2087</c:v>
                </c:pt>
                <c:pt idx="110">
                  <c:v>2088</c:v>
                </c:pt>
                <c:pt idx="111">
                  <c:v>2089</c:v>
                </c:pt>
                <c:pt idx="112">
                  <c:v>2090</c:v>
                </c:pt>
                <c:pt idx="113">
                  <c:v>2091</c:v>
                </c:pt>
                <c:pt idx="114">
                  <c:v>2092</c:v>
                </c:pt>
                <c:pt idx="115">
                  <c:v>2093</c:v>
                </c:pt>
                <c:pt idx="116">
                  <c:v>2094</c:v>
                </c:pt>
                <c:pt idx="117">
                  <c:v>2095</c:v>
                </c:pt>
                <c:pt idx="118">
                  <c:v>2096</c:v>
                </c:pt>
                <c:pt idx="119">
                  <c:v>2097</c:v>
                </c:pt>
                <c:pt idx="120">
                  <c:v>2098</c:v>
                </c:pt>
                <c:pt idx="121">
                  <c:v>2099</c:v>
                </c:pt>
                <c:pt idx="122">
                  <c:v>2100</c:v>
                </c:pt>
                <c:pt idx="123">
                  <c:v>2101</c:v>
                </c:pt>
                <c:pt idx="124">
                  <c:v>2102</c:v>
                </c:pt>
                <c:pt idx="125">
                  <c:v>2103</c:v>
                </c:pt>
                <c:pt idx="126">
                  <c:v>2104</c:v>
                </c:pt>
                <c:pt idx="127">
                  <c:v>2105</c:v>
                </c:pt>
              </c:numCache>
            </c:numRef>
          </c:xVal>
          <c:yVal>
            <c:numRef>
              <c:f>'Western United States'!$G$173:$G$300</c:f>
              <c:numCache>
                <c:formatCode>0.0</c:formatCode>
                <c:ptCount val="128"/>
                <c:pt idx="0">
                  <c:v>-2.3923493819732213</c:v>
                </c:pt>
                <c:pt idx="1">
                  <c:v>-2.3358448560397793</c:v>
                </c:pt>
                <c:pt idx="2">
                  <c:v>-2.2748177047283269</c:v>
                </c:pt>
                <c:pt idx="3">
                  <c:v>-2.2124082539652159</c:v>
                </c:pt>
                <c:pt idx="4">
                  <c:v>-2.1521302102910354</c:v>
                </c:pt>
                <c:pt idx="5">
                  <c:v>-2.094425462292365</c:v>
                </c:pt>
                <c:pt idx="6">
                  <c:v>-2.0326129879496873</c:v>
                </c:pt>
                <c:pt idx="7">
                  <c:v>-1.9704992348449497</c:v>
                </c:pt>
                <c:pt idx="8">
                  <c:v>-1.9109949987386101</c:v>
                </c:pt>
                <c:pt idx="9">
                  <c:v>-1.852135093511035</c:v>
                </c:pt>
                <c:pt idx="10">
                  <c:v>-1.7901468750278171</c:v>
                </c:pt>
                <c:pt idx="11">
                  <c:v>-1.7290600368722071</c:v>
                </c:pt>
                <c:pt idx="12">
                  <c:v>-1.6678974004966618</c:v>
                </c:pt>
                <c:pt idx="13">
                  <c:v>-1.6083451115709415</c:v>
                </c:pt>
                <c:pt idx="14">
                  <c:v>-1.5504720509408181</c:v>
                </c:pt>
                <c:pt idx="15">
                  <c:v>-1.4919888524340679</c:v>
                </c:pt>
                <c:pt idx="16">
                  <c:v>-1.4306925745228818</c:v>
                </c:pt>
                <c:pt idx="17">
                  <c:v>-1.368950284355642</c:v>
                </c:pt>
                <c:pt idx="18">
                  <c:v>-1.3080223822996333</c:v>
                </c:pt>
                <c:pt idx="19">
                  <c:v>-1.2479544899118773</c:v>
                </c:pt>
                <c:pt idx="20">
                  <c:v>-1.1857459407215074</c:v>
                </c:pt>
                <c:pt idx="21">
                  <c:v>-1.1229442008897528</c:v>
                </c:pt>
                <c:pt idx="22">
                  <c:v>-1.0625868226652859</c:v>
                </c:pt>
                <c:pt idx="23">
                  <c:v>-1.0006012625110805</c:v>
                </c:pt>
                <c:pt idx="24">
                  <c:v>-0.94009929932459446</c:v>
                </c:pt>
                <c:pt idx="25">
                  <c:v>-0.88105038294219362</c:v>
                </c:pt>
                <c:pt idx="26">
                  <c:v>-0.8210670320999125</c:v>
                </c:pt>
                <c:pt idx="27">
                  <c:v>-0.76149098879498622</c:v>
                </c:pt>
                <c:pt idx="28">
                  <c:v>-0.70007829534864341</c:v>
                </c:pt>
                <c:pt idx="29">
                  <c:v>-0.64021754087511673</c:v>
                </c:pt>
                <c:pt idx="30">
                  <c:v>-0.58058478106264511</c:v>
                </c:pt>
                <c:pt idx="31">
                  <c:v>-0.5264242571546186</c:v>
                </c:pt>
              </c:numCache>
            </c:numRef>
          </c:yVal>
          <c:smooth val="1"/>
          <c:extLst>
            <c:ext xmlns:c16="http://schemas.microsoft.com/office/drawing/2014/chart" uri="{C3380CC4-5D6E-409C-BE32-E72D297353CC}">
              <c16:uniqueId val="{00000001-3D53-8F49-901F-AF236B888CF3}"/>
            </c:ext>
          </c:extLst>
        </c:ser>
        <c:ser>
          <c:idx val="1"/>
          <c:order val="2"/>
          <c:tx>
            <c:strRef>
              <c:f>'Western United States'!$G$3</c:f>
              <c:strCache>
                <c:ptCount val="1"/>
                <c:pt idx="0">
                  <c:v>trend current</c:v>
                </c:pt>
              </c:strCache>
            </c:strRef>
          </c:tx>
          <c:spPr>
            <a:ln w="15875">
              <a:solidFill>
                <a:srgbClr val="808080"/>
              </a:solidFill>
              <a:prstDash val="dash"/>
            </a:ln>
          </c:spPr>
          <c:marker>
            <c:symbol val="none"/>
          </c:marker>
          <c:xVal>
            <c:numRef>
              <c:f>'Western United States'!$E$3:$E$4</c:f>
              <c:numCache>
                <c:formatCode>General</c:formatCode>
                <c:ptCount val="2"/>
                <c:pt idx="0">
                  <c:v>1978</c:v>
                </c:pt>
                <c:pt idx="1">
                  <c:v>2009</c:v>
                </c:pt>
              </c:numCache>
            </c:numRef>
          </c:xVal>
          <c:yVal>
            <c:numRef>
              <c:f>'Western United States'!$F$3:$F$4</c:f>
              <c:numCache>
                <c:formatCode>0.00</c:formatCode>
                <c:ptCount val="2"/>
                <c:pt idx="0">
                  <c:v>-2.3951635992122893</c:v>
                </c:pt>
                <c:pt idx="1">
                  <c:v>-0.52012634123499679</c:v>
                </c:pt>
              </c:numCache>
            </c:numRef>
          </c:yVal>
          <c:smooth val="1"/>
          <c:extLst>
            <c:ext xmlns:c16="http://schemas.microsoft.com/office/drawing/2014/chart" uri="{C3380CC4-5D6E-409C-BE32-E72D297353CC}">
              <c16:uniqueId val="{00000002-3D53-8F49-901F-AF236B888CF3}"/>
            </c:ext>
          </c:extLst>
        </c:ser>
        <c:dLbls>
          <c:showLegendKey val="0"/>
          <c:showVal val="0"/>
          <c:showCatName val="0"/>
          <c:showSerName val="0"/>
          <c:showPercent val="0"/>
          <c:showBubbleSize val="0"/>
        </c:dLbls>
        <c:axId val="136083712"/>
        <c:axId val="136041216"/>
      </c:scatterChart>
      <c:valAx>
        <c:axId val="136083712"/>
        <c:scaling>
          <c:orientation val="minMax"/>
          <c:max val="2010"/>
          <c:min val="1970"/>
        </c:scaling>
        <c:delete val="0"/>
        <c:axPos val="b"/>
        <c:numFmt formatCode="General" sourceLinked="1"/>
        <c:majorTickMark val="in"/>
        <c:minorTickMark val="in"/>
        <c:tickLblPos val="nextTo"/>
        <c:spPr>
          <a:ln>
            <a:solidFill>
              <a:srgbClr val="333399"/>
            </a:solidFill>
          </a:ln>
        </c:spPr>
        <c:crossAx val="136041216"/>
        <c:crossesAt val="-100"/>
        <c:crossBetween val="midCat"/>
        <c:majorUnit val="20"/>
        <c:minorUnit val="10"/>
      </c:valAx>
      <c:valAx>
        <c:axId val="136041216"/>
        <c:scaling>
          <c:orientation val="minMax"/>
          <c:max val="0"/>
          <c:min val="-3"/>
        </c:scaling>
        <c:delete val="0"/>
        <c:axPos val="r"/>
        <c:title>
          <c:tx>
            <c:rich>
              <a:bodyPr rot="-5400000" vert="horz"/>
              <a:lstStyle/>
              <a:p>
                <a:pPr>
                  <a:defRPr b="0"/>
                </a:pPr>
                <a:r>
                  <a:rPr lang="en-US" b="0"/>
                  <a:t>logit (</a:t>
                </a:r>
                <a:r>
                  <a:rPr lang="en-US" b="0" i="1"/>
                  <a:t>q</a:t>
                </a:r>
                <a:r>
                  <a:rPr lang="en-US" b="0"/>
                  <a:t>/</a:t>
                </a:r>
                <a:r>
                  <a:rPr lang="en-US" b="0" i="1"/>
                  <a:t>Q</a:t>
                </a:r>
                <a:r>
                  <a:rPr lang="en-US" b="0"/>
                  <a:t>)</a:t>
                </a:r>
              </a:p>
            </c:rich>
          </c:tx>
          <c:layout>
            <c:manualLayout>
              <c:xMode val="edge"/>
              <c:yMode val="edge"/>
              <c:x val="0.96179653679653765"/>
              <c:y val="0.3302117964421114"/>
            </c:manualLayout>
          </c:layout>
          <c:overlay val="0"/>
        </c:title>
        <c:numFmt formatCode="0" sourceLinked="0"/>
        <c:majorTickMark val="in"/>
        <c:minorTickMark val="in"/>
        <c:tickLblPos val="nextTo"/>
        <c:spPr>
          <a:ln>
            <a:solidFill>
              <a:srgbClr val="333399"/>
            </a:solidFill>
          </a:ln>
        </c:spPr>
        <c:crossAx val="136083712"/>
        <c:crosses val="max"/>
        <c:crossBetween val="midCat"/>
        <c:majorUnit val="1"/>
        <c:minorUnit val="0.5"/>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778487916283264"/>
          <c:h val="0.77264654418197765"/>
        </c:manualLayout>
      </c:layout>
      <c:scatterChart>
        <c:scatterStyle val="smoothMarker"/>
        <c:varyColors val="0"/>
        <c:ser>
          <c:idx val="0"/>
          <c:order val="0"/>
          <c:tx>
            <c:v>early r m probit early</c:v>
          </c:tx>
          <c:spPr>
            <a:ln w="15875">
              <a:solidFill>
                <a:srgbClr val="008000"/>
              </a:solidFill>
              <a:prstDash val="lgDash"/>
            </a:ln>
          </c:spPr>
          <c:marker>
            <c:symbol val="none"/>
          </c:marker>
          <c:xVal>
            <c:numRef>
              <c:f>'Western United States'!$D$14:$D$112</c:f>
              <c:numCache>
                <c:formatCode>General</c:formatCode>
                <c:ptCount val="99"/>
                <c:pt idx="0">
                  <c:v>1819</c:v>
                </c:pt>
                <c:pt idx="1">
                  <c:v>1820</c:v>
                </c:pt>
                <c:pt idx="2">
                  <c:v>1821</c:v>
                </c:pt>
                <c:pt idx="3">
                  <c:v>1822</c:v>
                </c:pt>
                <c:pt idx="4">
                  <c:v>1823</c:v>
                </c:pt>
                <c:pt idx="5">
                  <c:v>1824</c:v>
                </c:pt>
                <c:pt idx="6">
                  <c:v>1825</c:v>
                </c:pt>
                <c:pt idx="7">
                  <c:v>1826</c:v>
                </c:pt>
                <c:pt idx="8">
                  <c:v>1827</c:v>
                </c:pt>
                <c:pt idx="9">
                  <c:v>1828</c:v>
                </c:pt>
                <c:pt idx="10">
                  <c:v>1829</c:v>
                </c:pt>
                <c:pt idx="11">
                  <c:v>1830</c:v>
                </c:pt>
                <c:pt idx="12">
                  <c:v>1831</c:v>
                </c:pt>
                <c:pt idx="13">
                  <c:v>1832</c:v>
                </c:pt>
                <c:pt idx="14">
                  <c:v>1833</c:v>
                </c:pt>
                <c:pt idx="15">
                  <c:v>1834</c:v>
                </c:pt>
                <c:pt idx="16">
                  <c:v>1835</c:v>
                </c:pt>
                <c:pt idx="17">
                  <c:v>1836</c:v>
                </c:pt>
                <c:pt idx="18">
                  <c:v>1837</c:v>
                </c:pt>
                <c:pt idx="19">
                  <c:v>1838</c:v>
                </c:pt>
                <c:pt idx="20">
                  <c:v>1839</c:v>
                </c:pt>
                <c:pt idx="21">
                  <c:v>1840</c:v>
                </c:pt>
                <c:pt idx="22">
                  <c:v>1841</c:v>
                </c:pt>
                <c:pt idx="23">
                  <c:v>1842</c:v>
                </c:pt>
                <c:pt idx="24">
                  <c:v>1843</c:v>
                </c:pt>
                <c:pt idx="25">
                  <c:v>1844</c:v>
                </c:pt>
                <c:pt idx="26">
                  <c:v>1845</c:v>
                </c:pt>
                <c:pt idx="27">
                  <c:v>1846</c:v>
                </c:pt>
                <c:pt idx="28">
                  <c:v>1847</c:v>
                </c:pt>
                <c:pt idx="29">
                  <c:v>1848</c:v>
                </c:pt>
                <c:pt idx="30">
                  <c:v>1849</c:v>
                </c:pt>
                <c:pt idx="31">
                  <c:v>1850</c:v>
                </c:pt>
                <c:pt idx="32">
                  <c:v>1851</c:v>
                </c:pt>
                <c:pt idx="33">
                  <c:v>1852</c:v>
                </c:pt>
                <c:pt idx="34">
                  <c:v>1853</c:v>
                </c:pt>
                <c:pt idx="35">
                  <c:v>1854</c:v>
                </c:pt>
                <c:pt idx="36">
                  <c:v>1855</c:v>
                </c:pt>
                <c:pt idx="37">
                  <c:v>1856</c:v>
                </c:pt>
                <c:pt idx="38">
                  <c:v>1857</c:v>
                </c:pt>
                <c:pt idx="39">
                  <c:v>1858</c:v>
                </c:pt>
                <c:pt idx="40">
                  <c:v>1859</c:v>
                </c:pt>
                <c:pt idx="41">
                  <c:v>1860</c:v>
                </c:pt>
                <c:pt idx="42">
                  <c:v>1861</c:v>
                </c:pt>
                <c:pt idx="43">
                  <c:v>1862</c:v>
                </c:pt>
                <c:pt idx="44">
                  <c:v>1863</c:v>
                </c:pt>
                <c:pt idx="45">
                  <c:v>1864</c:v>
                </c:pt>
                <c:pt idx="46">
                  <c:v>1865</c:v>
                </c:pt>
                <c:pt idx="47">
                  <c:v>1866</c:v>
                </c:pt>
                <c:pt idx="48">
                  <c:v>1867</c:v>
                </c:pt>
                <c:pt idx="49">
                  <c:v>1868</c:v>
                </c:pt>
                <c:pt idx="50">
                  <c:v>1869</c:v>
                </c:pt>
                <c:pt idx="51">
                  <c:v>1870</c:v>
                </c:pt>
                <c:pt idx="52">
                  <c:v>1871</c:v>
                </c:pt>
                <c:pt idx="53">
                  <c:v>1872</c:v>
                </c:pt>
                <c:pt idx="54">
                  <c:v>1873</c:v>
                </c:pt>
                <c:pt idx="55">
                  <c:v>1874</c:v>
                </c:pt>
                <c:pt idx="56">
                  <c:v>1875</c:v>
                </c:pt>
                <c:pt idx="57">
                  <c:v>1876</c:v>
                </c:pt>
                <c:pt idx="58">
                  <c:v>1877</c:v>
                </c:pt>
                <c:pt idx="59">
                  <c:v>1878</c:v>
                </c:pt>
                <c:pt idx="60">
                  <c:v>1879</c:v>
                </c:pt>
                <c:pt idx="61">
                  <c:v>1880</c:v>
                </c:pt>
                <c:pt idx="62">
                  <c:v>1881</c:v>
                </c:pt>
                <c:pt idx="63">
                  <c:v>1882</c:v>
                </c:pt>
                <c:pt idx="64">
                  <c:v>1883</c:v>
                </c:pt>
                <c:pt idx="65">
                  <c:v>1884</c:v>
                </c:pt>
                <c:pt idx="66">
                  <c:v>1885</c:v>
                </c:pt>
                <c:pt idx="67">
                  <c:v>1886</c:v>
                </c:pt>
                <c:pt idx="68">
                  <c:v>1887</c:v>
                </c:pt>
                <c:pt idx="69">
                  <c:v>1888</c:v>
                </c:pt>
                <c:pt idx="70">
                  <c:v>1889</c:v>
                </c:pt>
                <c:pt idx="71">
                  <c:v>1890</c:v>
                </c:pt>
                <c:pt idx="72">
                  <c:v>1891</c:v>
                </c:pt>
                <c:pt idx="73">
                  <c:v>1892</c:v>
                </c:pt>
                <c:pt idx="74">
                  <c:v>1893</c:v>
                </c:pt>
                <c:pt idx="75">
                  <c:v>1894</c:v>
                </c:pt>
                <c:pt idx="76">
                  <c:v>1895</c:v>
                </c:pt>
                <c:pt idx="77">
                  <c:v>1896</c:v>
                </c:pt>
                <c:pt idx="78">
                  <c:v>1897</c:v>
                </c:pt>
                <c:pt idx="79">
                  <c:v>1898</c:v>
                </c:pt>
                <c:pt idx="80">
                  <c:v>1899</c:v>
                </c:pt>
                <c:pt idx="81">
                  <c:v>1900</c:v>
                </c:pt>
                <c:pt idx="82">
                  <c:v>1901</c:v>
                </c:pt>
                <c:pt idx="83">
                  <c:v>1902</c:v>
                </c:pt>
                <c:pt idx="84">
                  <c:v>1903</c:v>
                </c:pt>
                <c:pt idx="85">
                  <c:v>1904</c:v>
                </c:pt>
                <c:pt idx="86">
                  <c:v>1905</c:v>
                </c:pt>
                <c:pt idx="87">
                  <c:v>1906</c:v>
                </c:pt>
                <c:pt idx="88">
                  <c:v>1907</c:v>
                </c:pt>
                <c:pt idx="89">
                  <c:v>1908</c:v>
                </c:pt>
                <c:pt idx="90">
                  <c:v>1909</c:v>
                </c:pt>
                <c:pt idx="91">
                  <c:v>1910</c:v>
                </c:pt>
                <c:pt idx="92">
                  <c:v>1911</c:v>
                </c:pt>
                <c:pt idx="93">
                  <c:v>1912</c:v>
                </c:pt>
                <c:pt idx="94">
                  <c:v>1913</c:v>
                </c:pt>
                <c:pt idx="95">
                  <c:v>1914</c:v>
                </c:pt>
                <c:pt idx="96">
                  <c:v>1915</c:v>
                </c:pt>
                <c:pt idx="97">
                  <c:v>1916</c:v>
                </c:pt>
                <c:pt idx="98">
                  <c:v>1917</c:v>
                </c:pt>
              </c:numCache>
            </c:numRef>
          </c:xVal>
          <c:yVal>
            <c:numRef>
              <c:f>'Western United States'!$N$14:$N$112</c:f>
              <c:numCache>
                <c:formatCode>0.0</c:formatCode>
                <c:ptCount val="99"/>
                <c:pt idx="0">
                  <c:v>-764.82978580533529</c:v>
                </c:pt>
                <c:pt idx="1">
                  <c:v>-641.39757569587039</c:v>
                </c:pt>
                <c:pt idx="2">
                  <c:v>-584.32874011408239</c:v>
                </c:pt>
                <c:pt idx="3">
                  <c:v>-548.43180239194237</c:v>
                </c:pt>
                <c:pt idx="4">
                  <c:v>-524.83471484956078</c:v>
                </c:pt>
                <c:pt idx="5">
                  <c:v>-507.05384297882574</c:v>
                </c:pt>
                <c:pt idx="6">
                  <c:v>-493.48353645484644</c:v>
                </c:pt>
                <c:pt idx="7">
                  <c:v>-483.07582734810808</c:v>
                </c:pt>
                <c:pt idx="8">
                  <c:v>-475.12227157911536</c:v>
                </c:pt>
                <c:pt idx="9">
                  <c:v>-469.12558880826896</c:v>
                </c:pt>
                <c:pt idx="10">
                  <c:v>-464.72475132570514</c:v>
                </c:pt>
                <c:pt idx="11">
                  <c:v>-461.6499348609774</c:v>
                </c:pt>
                <c:pt idx="12">
                  <c:v>-459.69442052498232</c:v>
                </c:pt>
                <c:pt idx="13">
                  <c:v>-458.69644161160954</c:v>
                </c:pt>
                <c:pt idx="14">
                  <c:v>-458.52707474036731</c:v>
                </c:pt>
                <c:pt idx="15">
                  <c:v>-459.08192989080999</c:v>
                </c:pt>
                <c:pt idx="16">
                  <c:v>-460.27530215456193</c:v>
                </c:pt>
                <c:pt idx="17">
                  <c:v>-462.0359631531777</c:v>
                </c:pt>
                <c:pt idx="18">
                  <c:v>-464.30407180003374</c:v>
                </c:pt>
                <c:pt idx="19">
                  <c:v>-467.02886624392272</c:v>
                </c:pt>
                <c:pt idx="20">
                  <c:v>-470.08238152144412</c:v>
                </c:pt>
                <c:pt idx="21">
                  <c:v>-471.69810310093266</c:v>
                </c:pt>
                <c:pt idx="22">
                  <c:v>-471.29663938997015</c:v>
                </c:pt>
                <c:pt idx="23">
                  <c:v>-469.17310822684135</c:v>
                </c:pt>
                <c:pt idx="24">
                  <c:v>-462.78542826069378</c:v>
                </c:pt>
                <c:pt idx="25">
                  <c:v>-454.41331685981805</c:v>
                </c:pt>
                <c:pt idx="26">
                  <c:v>-444.01233848688577</c:v>
                </c:pt>
                <c:pt idx="27">
                  <c:v>-432.58382088868251</c:v>
                </c:pt>
                <c:pt idx="28">
                  <c:v>-422.64595423153895</c:v>
                </c:pt>
                <c:pt idx="29">
                  <c:v>-415.29304531253388</c:v>
                </c:pt>
                <c:pt idx="30">
                  <c:v>-409.90720231205404</c:v>
                </c:pt>
                <c:pt idx="31">
                  <c:v>-405.44912704931011</c:v>
                </c:pt>
                <c:pt idx="32">
                  <c:v>-400.30027947929659</c:v>
                </c:pt>
                <c:pt idx="33">
                  <c:v>-395.89945662541163</c:v>
                </c:pt>
                <c:pt idx="34">
                  <c:v>-391.85208008747031</c:v>
                </c:pt>
                <c:pt idx="35">
                  <c:v>-388.59689342563405</c:v>
                </c:pt>
                <c:pt idx="36">
                  <c:v>-386.30853834868446</c:v>
                </c:pt>
                <c:pt idx="37">
                  <c:v>-384.55471885785778</c:v>
                </c:pt>
                <c:pt idx="38">
                  <c:v>-383.08503788761891</c:v>
                </c:pt>
                <c:pt idx="39">
                  <c:v>-381.94033876517199</c:v>
                </c:pt>
                <c:pt idx="40">
                  <c:v>-381.07889694400416</c:v>
                </c:pt>
                <c:pt idx="41">
                  <c:v>-380.56793673198558</c:v>
                </c:pt>
                <c:pt idx="42">
                  <c:v>-380.04344572992716</c:v>
                </c:pt>
                <c:pt idx="43">
                  <c:v>-379.4329324593275</c:v>
                </c:pt>
                <c:pt idx="44">
                  <c:v>-378.34841232271361</c:v>
                </c:pt>
                <c:pt idx="45">
                  <c:v>-377.6571628489134</c:v>
                </c:pt>
                <c:pt idx="46">
                  <c:v>-376.69455248457291</c:v>
                </c:pt>
                <c:pt idx="47">
                  <c:v>-375.17962649922504</c:v>
                </c:pt>
                <c:pt idx="48">
                  <c:v>-371.89329906251822</c:v>
                </c:pt>
                <c:pt idx="49">
                  <c:v>-368.02101431958124</c:v>
                </c:pt>
                <c:pt idx="50">
                  <c:v>-363.53564920718634</c:v>
                </c:pt>
                <c:pt idx="51">
                  <c:v>-360.02863917442431</c:v>
                </c:pt>
                <c:pt idx="52">
                  <c:v>-352.57505679868063</c:v>
                </c:pt>
                <c:pt idx="53">
                  <c:v>-342.38912858463209</c:v>
                </c:pt>
                <c:pt idx="54">
                  <c:v>-331.50279024754593</c:v>
                </c:pt>
                <c:pt idx="55">
                  <c:v>-320.58495619647999</c:v>
                </c:pt>
                <c:pt idx="56">
                  <c:v>-311.70672789279104</c:v>
                </c:pt>
                <c:pt idx="57">
                  <c:v>-303.62055590547328</c:v>
                </c:pt>
                <c:pt idx="58">
                  <c:v>-297.33065053774544</c:v>
                </c:pt>
                <c:pt idx="59">
                  <c:v>-292.23949173654967</c:v>
                </c:pt>
                <c:pt idx="60">
                  <c:v>-286.96438778185131</c:v>
                </c:pt>
                <c:pt idx="61">
                  <c:v>-279.60968323523309</c:v>
                </c:pt>
                <c:pt idx="62">
                  <c:v>-270.65609216747475</c:v>
                </c:pt>
                <c:pt idx="63">
                  <c:v>-256.96757807821086</c:v>
                </c:pt>
                <c:pt idx="64">
                  <c:v>-243.15011174497909</c:v>
                </c:pt>
                <c:pt idx="65">
                  <c:v>-231.40758626007442</c:v>
                </c:pt>
                <c:pt idx="66">
                  <c:v>-221.98129338309093</c:v>
                </c:pt>
                <c:pt idx="67">
                  <c:v>-216.0309015028088</c:v>
                </c:pt>
                <c:pt idx="68">
                  <c:v>-207.29710820484362</c:v>
                </c:pt>
                <c:pt idx="69">
                  <c:v>-196.5986763473999</c:v>
                </c:pt>
                <c:pt idx="70">
                  <c:v>-189.74323906786867</c:v>
                </c:pt>
                <c:pt idx="71">
                  <c:v>-182.53080170164318</c:v>
                </c:pt>
                <c:pt idx="72">
                  <c:v>-175.49803797051251</c:v>
                </c:pt>
                <c:pt idx="73">
                  <c:v>-168.87779081687481</c:v>
                </c:pt>
                <c:pt idx="74">
                  <c:v>-162.76964988983883</c:v>
                </c:pt>
                <c:pt idx="75">
                  <c:v>-159.09658123820299</c:v>
                </c:pt>
                <c:pt idx="76">
                  <c:v>-155.45791046006374</c:v>
                </c:pt>
                <c:pt idx="77">
                  <c:v>-152.69028970950424</c:v>
                </c:pt>
                <c:pt idx="78">
                  <c:v>-149.00570959335121</c:v>
                </c:pt>
                <c:pt idx="79">
                  <c:v>-144.64346904302448</c:v>
                </c:pt>
                <c:pt idx="80">
                  <c:v>-139.13764034366091</c:v>
                </c:pt>
                <c:pt idx="81">
                  <c:v>-132.35004483870318</c:v>
                </c:pt>
                <c:pt idx="82">
                  <c:v>-125.1402484739225</c:v>
                </c:pt>
                <c:pt idx="83">
                  <c:v>-117.44109786913762</c:v>
                </c:pt>
                <c:pt idx="84">
                  <c:v>-109.08463745685117</c:v>
                </c:pt>
                <c:pt idx="85">
                  <c:v>-102.02478510189009</c:v>
                </c:pt>
                <c:pt idx="86">
                  <c:v>-94.753510964869562</c:v>
                </c:pt>
                <c:pt idx="87">
                  <c:v>-87.209021957920356</c:v>
                </c:pt>
                <c:pt idx="88">
                  <c:v>-78.242550879320589</c:v>
                </c:pt>
                <c:pt idx="89">
                  <c:v>-71.082791178403696</c:v>
                </c:pt>
                <c:pt idx="90">
                  <c:v>-66.152568766210166</c:v>
                </c:pt>
                <c:pt idx="91">
                  <c:v>-59.275018641897688</c:v>
                </c:pt>
                <c:pt idx="92">
                  <c:v>-53.31921244223804</c:v>
                </c:pt>
                <c:pt idx="93">
                  <c:v>-46.526778236472481</c:v>
                </c:pt>
                <c:pt idx="94">
                  <c:v>-40.036786497077713</c:v>
                </c:pt>
                <c:pt idx="95">
                  <c:v>-35.423026547814622</c:v>
                </c:pt>
                <c:pt idx="96">
                  <c:v>-31.412085176152253</c:v>
                </c:pt>
                <c:pt idx="97">
                  <c:v>-25.938490323726391</c:v>
                </c:pt>
                <c:pt idx="98">
                  <c:v>-18.101844555656008</c:v>
                </c:pt>
              </c:numCache>
            </c:numRef>
          </c:yVal>
          <c:smooth val="1"/>
          <c:extLst>
            <c:ext xmlns:c16="http://schemas.microsoft.com/office/drawing/2014/chart" uri="{C3380CC4-5D6E-409C-BE32-E72D297353CC}">
              <c16:uniqueId val="{00000000-A8D7-7D4A-850D-4758F6AC591C}"/>
            </c:ext>
          </c:extLst>
        </c:ser>
        <c:ser>
          <c:idx val="1"/>
          <c:order val="1"/>
          <c:tx>
            <c:v>r m probit early</c:v>
          </c:tx>
          <c:spPr>
            <a:ln w="15875">
              <a:solidFill>
                <a:srgbClr val="008000"/>
              </a:solidFill>
              <a:prstDash val="solid"/>
            </a:ln>
          </c:spPr>
          <c:marker>
            <c:symbol val="none"/>
          </c:marker>
          <c:xVal>
            <c:numRef>
              <c:f>'Western United States'!$D$113:$D$162</c:f>
              <c:numCache>
                <c:formatCode>General</c:formatCode>
                <c:ptCount val="50"/>
                <c:pt idx="0">
                  <c:v>1918</c:v>
                </c:pt>
                <c:pt idx="1">
                  <c:v>1919</c:v>
                </c:pt>
                <c:pt idx="2">
                  <c:v>1920</c:v>
                </c:pt>
                <c:pt idx="3">
                  <c:v>1921</c:v>
                </c:pt>
                <c:pt idx="4">
                  <c:v>1922</c:v>
                </c:pt>
                <c:pt idx="5">
                  <c:v>1923</c:v>
                </c:pt>
                <c:pt idx="6">
                  <c:v>1924</c:v>
                </c:pt>
                <c:pt idx="7">
                  <c:v>1925</c:v>
                </c:pt>
                <c:pt idx="8">
                  <c:v>1926</c:v>
                </c:pt>
                <c:pt idx="9">
                  <c:v>1927</c:v>
                </c:pt>
                <c:pt idx="10">
                  <c:v>1928</c:v>
                </c:pt>
                <c:pt idx="11">
                  <c:v>1929</c:v>
                </c:pt>
                <c:pt idx="12">
                  <c:v>1930</c:v>
                </c:pt>
                <c:pt idx="13">
                  <c:v>1931</c:v>
                </c:pt>
                <c:pt idx="14">
                  <c:v>1932</c:v>
                </c:pt>
                <c:pt idx="15">
                  <c:v>1933</c:v>
                </c:pt>
                <c:pt idx="16">
                  <c:v>1934</c:v>
                </c:pt>
                <c:pt idx="17">
                  <c:v>1935</c:v>
                </c:pt>
                <c:pt idx="18">
                  <c:v>1936</c:v>
                </c:pt>
                <c:pt idx="19">
                  <c:v>1937</c:v>
                </c:pt>
                <c:pt idx="20">
                  <c:v>1938</c:v>
                </c:pt>
                <c:pt idx="21">
                  <c:v>1939</c:v>
                </c:pt>
                <c:pt idx="22">
                  <c:v>1940</c:v>
                </c:pt>
                <c:pt idx="23">
                  <c:v>1941</c:v>
                </c:pt>
                <c:pt idx="24">
                  <c:v>1942</c:v>
                </c:pt>
                <c:pt idx="25">
                  <c:v>1943</c:v>
                </c:pt>
                <c:pt idx="26">
                  <c:v>1944</c:v>
                </c:pt>
                <c:pt idx="27">
                  <c:v>1945</c:v>
                </c:pt>
                <c:pt idx="28">
                  <c:v>1946</c:v>
                </c:pt>
                <c:pt idx="29">
                  <c:v>1947</c:v>
                </c:pt>
                <c:pt idx="30">
                  <c:v>1948</c:v>
                </c:pt>
                <c:pt idx="31">
                  <c:v>1949</c:v>
                </c:pt>
                <c:pt idx="32">
                  <c:v>1950</c:v>
                </c:pt>
                <c:pt idx="33">
                  <c:v>1951</c:v>
                </c:pt>
                <c:pt idx="34">
                  <c:v>1952</c:v>
                </c:pt>
                <c:pt idx="35">
                  <c:v>1953</c:v>
                </c:pt>
                <c:pt idx="36">
                  <c:v>1954</c:v>
                </c:pt>
                <c:pt idx="37">
                  <c:v>1955</c:v>
                </c:pt>
                <c:pt idx="38">
                  <c:v>1956</c:v>
                </c:pt>
                <c:pt idx="39">
                  <c:v>1957</c:v>
                </c:pt>
                <c:pt idx="40">
                  <c:v>1958</c:v>
                </c:pt>
                <c:pt idx="41">
                  <c:v>1959</c:v>
                </c:pt>
                <c:pt idx="42">
                  <c:v>1960</c:v>
                </c:pt>
                <c:pt idx="43">
                  <c:v>1961</c:v>
                </c:pt>
                <c:pt idx="44">
                  <c:v>1962</c:v>
                </c:pt>
                <c:pt idx="45">
                  <c:v>1963</c:v>
                </c:pt>
                <c:pt idx="46">
                  <c:v>1964</c:v>
                </c:pt>
                <c:pt idx="47">
                  <c:v>1965</c:v>
                </c:pt>
                <c:pt idx="48">
                  <c:v>1966</c:v>
                </c:pt>
                <c:pt idx="49">
                  <c:v>1967</c:v>
                </c:pt>
              </c:numCache>
            </c:numRef>
          </c:xVal>
          <c:yVal>
            <c:numRef>
              <c:f>'Western United States'!$N$113:$N$162</c:f>
              <c:numCache>
                <c:formatCode>0.0</c:formatCode>
                <c:ptCount val="50"/>
                <c:pt idx="0">
                  <c:v>-10.00977280590039</c:v>
                </c:pt>
                <c:pt idx="1">
                  <c:v>-6.9244439038559769</c:v>
                </c:pt>
                <c:pt idx="2">
                  <c:v>-4.5376349748742939E-2</c:v>
                </c:pt>
                <c:pt idx="3">
                  <c:v>0.52447039663341144</c:v>
                </c:pt>
                <c:pt idx="4">
                  <c:v>0.98563464005124146</c:v>
                </c:pt>
                <c:pt idx="5">
                  <c:v>3.041140189876872</c:v>
                </c:pt>
                <c:pt idx="6">
                  <c:v>4.084351750840546</c:v>
                </c:pt>
                <c:pt idx="7">
                  <c:v>4.871581292155815</c:v>
                </c:pt>
                <c:pt idx="8">
                  <c:v>5.9264956266676396</c:v>
                </c:pt>
                <c:pt idx="9">
                  <c:v>6.7468934206749323</c:v>
                </c:pt>
                <c:pt idx="10">
                  <c:v>7.6910896159344802</c:v>
                </c:pt>
                <c:pt idx="11">
                  <c:v>9.2049051195729437</c:v>
                </c:pt>
                <c:pt idx="12">
                  <c:v>9.1043919445234813</c:v>
                </c:pt>
                <c:pt idx="13">
                  <c:v>6.6457355553448139</c:v>
                </c:pt>
                <c:pt idx="14">
                  <c:v>3.4766946963564465</c:v>
                </c:pt>
                <c:pt idx="15">
                  <c:v>-0.17369786909932827</c:v>
                </c:pt>
                <c:pt idx="16">
                  <c:v>-3.5790063888145269</c:v>
                </c:pt>
                <c:pt idx="17">
                  <c:v>-5.8847198229731816</c:v>
                </c:pt>
                <c:pt idx="18">
                  <c:v>-6.8344846553841094</c:v>
                </c:pt>
                <c:pt idx="19">
                  <c:v>-7.3642469678553439</c:v>
                </c:pt>
                <c:pt idx="20">
                  <c:v>-9.6539717555488167</c:v>
                </c:pt>
                <c:pt idx="21">
                  <c:v>-11.706203050682873</c:v>
                </c:pt>
                <c:pt idx="22">
                  <c:v>-12.749408231548394</c:v>
                </c:pt>
                <c:pt idx="23">
                  <c:v>-12.872184863194981</c:v>
                </c:pt>
                <c:pt idx="24">
                  <c:v>-10.724492223410294</c:v>
                </c:pt>
                <c:pt idx="25">
                  <c:v>-7.4021906093242791</c:v>
                </c:pt>
                <c:pt idx="26">
                  <c:v>-3.489859482609404</c:v>
                </c:pt>
                <c:pt idx="27">
                  <c:v>-0.11543788826629964</c:v>
                </c:pt>
                <c:pt idx="28">
                  <c:v>1.1477584912767895</c:v>
                </c:pt>
                <c:pt idx="29">
                  <c:v>4.0531193869221909</c:v>
                </c:pt>
                <c:pt idx="30">
                  <c:v>6.107977554087185</c:v>
                </c:pt>
                <c:pt idx="31">
                  <c:v>6.8387596550356449</c:v>
                </c:pt>
                <c:pt idx="32">
                  <c:v>7.7668290566929556</c:v>
                </c:pt>
                <c:pt idx="33">
                  <c:v>8.5317531879148873</c:v>
                </c:pt>
                <c:pt idx="34">
                  <c:v>8.9023753795537743</c:v>
                </c:pt>
                <c:pt idx="35">
                  <c:v>8.8027550671943828</c:v>
                </c:pt>
                <c:pt idx="36">
                  <c:v>6.9305553179136012</c:v>
                </c:pt>
                <c:pt idx="37">
                  <c:v>5.8250834174043007</c:v>
                </c:pt>
                <c:pt idx="38">
                  <c:v>4.6591897829775917</c:v>
                </c:pt>
                <c:pt idx="39">
                  <c:v>3.3144031630640427</c:v>
                </c:pt>
                <c:pt idx="40">
                  <c:v>0.31285630117912433</c:v>
                </c:pt>
                <c:pt idx="41">
                  <c:v>-2.4553861020109764</c:v>
                </c:pt>
                <c:pt idx="42">
                  <c:v>-4.5254124604747972</c:v>
                </c:pt>
                <c:pt idx="43">
                  <c:v>-6.0739117468537529</c:v>
                </c:pt>
                <c:pt idx="44">
                  <c:v>-7.4817264814322471</c:v>
                </c:pt>
                <c:pt idx="45">
                  <c:v>-7.3524575920728523</c:v>
                </c:pt>
                <c:pt idx="46">
                  <c:v>-5.6845387854406226</c:v>
                </c:pt>
                <c:pt idx="47">
                  <c:v>-2.41352396927428</c:v>
                </c:pt>
                <c:pt idx="48">
                  <c:v>2.0307154178598523</c:v>
                </c:pt>
                <c:pt idx="49">
                  <c:v>7.9889385781206954</c:v>
                </c:pt>
              </c:numCache>
            </c:numRef>
          </c:yVal>
          <c:smooth val="1"/>
          <c:extLst>
            <c:ext xmlns:c16="http://schemas.microsoft.com/office/drawing/2014/chart" uri="{C3380CC4-5D6E-409C-BE32-E72D297353CC}">
              <c16:uniqueId val="{00000001-A8D7-7D4A-850D-4758F6AC591C}"/>
            </c:ext>
          </c:extLst>
        </c:ser>
        <c:ser>
          <c:idx val="2"/>
          <c:order val="2"/>
          <c:tx>
            <c:v>zero early</c:v>
          </c:tx>
          <c:spPr>
            <a:ln w="15875">
              <a:solidFill>
                <a:srgbClr val="808080"/>
              </a:solidFill>
            </a:ln>
          </c:spPr>
          <c:marker>
            <c:symbol val="none"/>
          </c:marker>
          <c:xVal>
            <c:numRef>
              <c:f>'Western United States'!$E$8:$E$9</c:f>
              <c:numCache>
                <c:formatCode>General</c:formatCode>
                <c:ptCount val="2"/>
                <c:pt idx="0">
                  <c:v>1918</c:v>
                </c:pt>
                <c:pt idx="1">
                  <c:v>1967</c:v>
                </c:pt>
              </c:numCache>
            </c:numRef>
          </c:xVal>
          <c:yVal>
            <c:numLit>
              <c:formatCode>General</c:formatCode>
              <c:ptCount val="2"/>
              <c:pt idx="0">
                <c:v>0</c:v>
              </c:pt>
              <c:pt idx="1">
                <c:v>0</c:v>
              </c:pt>
            </c:numLit>
          </c:yVal>
          <c:smooth val="1"/>
          <c:extLst>
            <c:ext xmlns:c16="http://schemas.microsoft.com/office/drawing/2014/chart" uri="{C3380CC4-5D6E-409C-BE32-E72D297353CC}">
              <c16:uniqueId val="{00000002-A8D7-7D4A-850D-4758F6AC591C}"/>
            </c:ext>
          </c:extLst>
        </c:ser>
        <c:ser>
          <c:idx val="3"/>
          <c:order val="3"/>
          <c:tx>
            <c:v>late r m probit early</c:v>
          </c:tx>
          <c:spPr>
            <a:ln w="15875">
              <a:solidFill>
                <a:srgbClr val="008000"/>
              </a:solidFill>
              <a:prstDash val="lgDash"/>
            </a:ln>
          </c:spPr>
          <c:marker>
            <c:symbol val="none"/>
          </c:marker>
          <c:xVal>
            <c:numRef>
              <c:f>'Western United States'!$D$163:$D$168</c:f>
              <c:numCache>
                <c:formatCode>General</c:formatCode>
                <c:ptCount val="6"/>
                <c:pt idx="0">
                  <c:v>1968</c:v>
                </c:pt>
                <c:pt idx="1">
                  <c:v>1969</c:v>
                </c:pt>
                <c:pt idx="2">
                  <c:v>1970</c:v>
                </c:pt>
                <c:pt idx="3">
                  <c:v>1971</c:v>
                </c:pt>
                <c:pt idx="4">
                  <c:v>1972</c:v>
                </c:pt>
                <c:pt idx="5">
                  <c:v>1973</c:v>
                </c:pt>
              </c:numCache>
            </c:numRef>
          </c:xVal>
          <c:yVal>
            <c:numRef>
              <c:f>'Western United States'!$N$163:$N$168</c:f>
              <c:numCache>
                <c:formatCode>0.0</c:formatCode>
                <c:ptCount val="6"/>
                <c:pt idx="0">
                  <c:v>15.702178766594386</c:v>
                </c:pt>
                <c:pt idx="1">
                  <c:v>27.615385413856472</c:v>
                </c:pt>
                <c:pt idx="2">
                  <c:v>51.764353400047185</c:v>
                </c:pt>
                <c:pt idx="3">
                  <c:v>88.530347030812379</c:v>
                </c:pt>
                <c:pt idx="4">
                  <c:v>158.57310433271516</c:v>
                </c:pt>
                <c:pt idx="5">
                  <c:v>337.04338086396689</c:v>
                </c:pt>
              </c:numCache>
            </c:numRef>
          </c:yVal>
          <c:smooth val="1"/>
          <c:extLst>
            <c:ext xmlns:c16="http://schemas.microsoft.com/office/drawing/2014/chart" uri="{C3380CC4-5D6E-409C-BE32-E72D297353CC}">
              <c16:uniqueId val="{00000003-A8D7-7D4A-850D-4758F6AC591C}"/>
            </c:ext>
          </c:extLst>
        </c:ser>
        <c:ser>
          <c:idx val="4"/>
          <c:order val="4"/>
          <c:tx>
            <c:v>zero</c:v>
          </c:tx>
          <c:spPr>
            <a:ln w="15875">
              <a:solidFill>
                <a:srgbClr val="808080"/>
              </a:solidFill>
              <a:prstDash val="solid"/>
            </a:ln>
          </c:spPr>
          <c:marker>
            <c:symbol val="none"/>
          </c:marker>
          <c:xVal>
            <c:numRef>
              <c:f>'Western United States'!$E$3:$E$4</c:f>
              <c:numCache>
                <c:formatCode>General</c:formatCode>
                <c:ptCount val="2"/>
                <c:pt idx="0">
                  <c:v>1978</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4-A8D7-7D4A-850D-4758F6AC591C}"/>
            </c:ext>
          </c:extLst>
        </c:ser>
        <c:ser>
          <c:idx val="5"/>
          <c:order val="5"/>
          <c:tx>
            <c:v>r m early</c:v>
          </c:tx>
          <c:spPr>
            <a:ln w="15875">
              <a:solidFill>
                <a:srgbClr val="008000"/>
              </a:solidFill>
              <a:prstDash val="lgDash"/>
            </a:ln>
          </c:spPr>
          <c:marker>
            <c:symbol val="none"/>
          </c:marker>
          <c:xVal>
            <c:numRef>
              <c:f>'Western United States'!$D$166:$D$172</c:f>
              <c:numCache>
                <c:formatCode>General</c:formatCode>
                <c:ptCount val="7"/>
                <c:pt idx="0">
                  <c:v>1971</c:v>
                </c:pt>
                <c:pt idx="1">
                  <c:v>1972</c:v>
                </c:pt>
                <c:pt idx="2">
                  <c:v>1973</c:v>
                </c:pt>
                <c:pt idx="3">
                  <c:v>1974</c:v>
                </c:pt>
                <c:pt idx="4">
                  <c:v>1975</c:v>
                </c:pt>
                <c:pt idx="5">
                  <c:v>1976</c:v>
                </c:pt>
                <c:pt idx="6">
                  <c:v>1977</c:v>
                </c:pt>
              </c:numCache>
            </c:numRef>
          </c:xVal>
          <c:yVal>
            <c:numRef>
              <c:f>'Western United States'!$I$166:$I$172</c:f>
              <c:numCache>
                <c:formatCode>#,##0.0</c:formatCode>
                <c:ptCount val="7"/>
                <c:pt idx="0">
                  <c:v>37.258553766762816</c:v>
                </c:pt>
                <c:pt idx="1">
                  <c:v>29.305975272109208</c:v>
                </c:pt>
                <c:pt idx="2">
                  <c:v>22.023935265771797</c:v>
                </c:pt>
                <c:pt idx="3">
                  <c:v>15.571803896023994</c:v>
                </c:pt>
                <c:pt idx="4">
                  <c:v>10.096140999296949</c:v>
                </c:pt>
                <c:pt idx="5">
                  <c:v>5.8577483919689257</c:v>
                </c:pt>
                <c:pt idx="6">
                  <c:v>2.8793168685315322</c:v>
                </c:pt>
              </c:numCache>
            </c:numRef>
          </c:yVal>
          <c:smooth val="1"/>
          <c:extLst>
            <c:ext xmlns:c16="http://schemas.microsoft.com/office/drawing/2014/chart" uri="{C3380CC4-5D6E-409C-BE32-E72D297353CC}">
              <c16:uniqueId val="{00000005-A8D7-7D4A-850D-4758F6AC591C}"/>
            </c:ext>
          </c:extLst>
        </c:ser>
        <c:ser>
          <c:idx val="6"/>
          <c:order val="6"/>
          <c:tx>
            <c:strRef>
              <c:f>'Western United States'!$I$12</c:f>
              <c:strCache>
                <c:ptCount val="1"/>
                <c:pt idx="0">
                  <c:v>r m</c:v>
                </c:pt>
              </c:strCache>
            </c:strRef>
          </c:tx>
          <c:spPr>
            <a:ln w="15875">
              <a:solidFill>
                <a:srgbClr val="008000"/>
              </a:solidFill>
            </a:ln>
          </c:spPr>
          <c:marker>
            <c:symbol val="none"/>
          </c:marker>
          <c:xVal>
            <c:numRef>
              <c:f>'Western United States'!$D$173:$D$300</c:f>
              <c:numCache>
                <c:formatCode>General</c:formatCode>
                <c:ptCount val="128"/>
                <c:pt idx="0">
                  <c:v>1978</c:v>
                </c:pt>
                <c:pt idx="1">
                  <c:v>1979</c:v>
                </c:pt>
                <c:pt idx="2">
                  <c:v>1980</c:v>
                </c:pt>
                <c:pt idx="3">
                  <c:v>1981</c:v>
                </c:pt>
                <c:pt idx="4">
                  <c:v>1982</c:v>
                </c:pt>
                <c:pt idx="5">
                  <c:v>1983</c:v>
                </c:pt>
                <c:pt idx="6">
                  <c:v>1984</c:v>
                </c:pt>
                <c:pt idx="7">
                  <c:v>1985</c:v>
                </c:pt>
                <c:pt idx="8">
                  <c:v>1986</c:v>
                </c:pt>
                <c:pt idx="9">
                  <c:v>1987</c:v>
                </c:pt>
                <c:pt idx="10">
                  <c:v>1988</c:v>
                </c:pt>
                <c:pt idx="11">
                  <c:v>1989</c:v>
                </c:pt>
                <c:pt idx="12">
                  <c:v>1990</c:v>
                </c:pt>
                <c:pt idx="13">
                  <c:v>1991</c:v>
                </c:pt>
                <c:pt idx="14">
                  <c:v>1992</c:v>
                </c:pt>
                <c:pt idx="15">
                  <c:v>1993</c:v>
                </c:pt>
                <c:pt idx="16">
                  <c:v>1994</c:v>
                </c:pt>
                <c:pt idx="17">
                  <c:v>1995</c:v>
                </c:pt>
                <c:pt idx="18">
                  <c:v>1996</c:v>
                </c:pt>
                <c:pt idx="19">
                  <c:v>1997</c:v>
                </c:pt>
                <c:pt idx="20">
                  <c:v>1998</c:v>
                </c:pt>
                <c:pt idx="21">
                  <c:v>1999</c:v>
                </c:pt>
                <c:pt idx="22">
                  <c:v>2000</c:v>
                </c:pt>
                <c:pt idx="23">
                  <c:v>2001</c:v>
                </c:pt>
                <c:pt idx="24">
                  <c:v>2002</c:v>
                </c:pt>
                <c:pt idx="25">
                  <c:v>2003</c:v>
                </c:pt>
                <c:pt idx="26">
                  <c:v>2004</c:v>
                </c:pt>
                <c:pt idx="27">
                  <c:v>2005</c:v>
                </c:pt>
                <c:pt idx="28">
                  <c:v>2006</c:v>
                </c:pt>
                <c:pt idx="29">
                  <c:v>2007</c:v>
                </c:pt>
                <c:pt idx="30">
                  <c:v>2008</c:v>
                </c:pt>
                <c:pt idx="31">
                  <c:v>2009</c:v>
                </c:pt>
                <c:pt idx="32">
                  <c:v>2010</c:v>
                </c:pt>
                <c:pt idx="33">
                  <c:v>2011</c:v>
                </c:pt>
                <c:pt idx="34">
                  <c:v>2012</c:v>
                </c:pt>
                <c:pt idx="35">
                  <c:v>2013</c:v>
                </c:pt>
                <c:pt idx="36">
                  <c:v>2014</c:v>
                </c:pt>
                <c:pt idx="37">
                  <c:v>2015</c:v>
                </c:pt>
                <c:pt idx="38">
                  <c:v>2016</c:v>
                </c:pt>
                <c:pt idx="39">
                  <c:v>2017</c:v>
                </c:pt>
                <c:pt idx="40">
                  <c:v>2018</c:v>
                </c:pt>
                <c:pt idx="41">
                  <c:v>2019</c:v>
                </c:pt>
                <c:pt idx="42">
                  <c:v>2020</c:v>
                </c:pt>
                <c:pt idx="43">
                  <c:v>2021</c:v>
                </c:pt>
                <c:pt idx="44">
                  <c:v>2022</c:v>
                </c:pt>
                <c:pt idx="45">
                  <c:v>2023</c:v>
                </c:pt>
                <c:pt idx="46">
                  <c:v>2024</c:v>
                </c:pt>
                <c:pt idx="47">
                  <c:v>2025</c:v>
                </c:pt>
                <c:pt idx="48">
                  <c:v>2026</c:v>
                </c:pt>
                <c:pt idx="49">
                  <c:v>2027</c:v>
                </c:pt>
                <c:pt idx="50">
                  <c:v>2028</c:v>
                </c:pt>
                <c:pt idx="51">
                  <c:v>2029</c:v>
                </c:pt>
                <c:pt idx="52">
                  <c:v>2030</c:v>
                </c:pt>
                <c:pt idx="53">
                  <c:v>2031</c:v>
                </c:pt>
                <c:pt idx="54">
                  <c:v>2032</c:v>
                </c:pt>
                <c:pt idx="55">
                  <c:v>2033</c:v>
                </c:pt>
                <c:pt idx="56">
                  <c:v>2034</c:v>
                </c:pt>
                <c:pt idx="57">
                  <c:v>2035</c:v>
                </c:pt>
                <c:pt idx="58">
                  <c:v>2036</c:v>
                </c:pt>
                <c:pt idx="59">
                  <c:v>2037</c:v>
                </c:pt>
                <c:pt idx="60">
                  <c:v>2038</c:v>
                </c:pt>
                <c:pt idx="61">
                  <c:v>2039</c:v>
                </c:pt>
                <c:pt idx="62">
                  <c:v>2040</c:v>
                </c:pt>
                <c:pt idx="63">
                  <c:v>2041</c:v>
                </c:pt>
                <c:pt idx="64">
                  <c:v>2042</c:v>
                </c:pt>
                <c:pt idx="65">
                  <c:v>2043</c:v>
                </c:pt>
                <c:pt idx="66">
                  <c:v>2044</c:v>
                </c:pt>
                <c:pt idx="67">
                  <c:v>2045</c:v>
                </c:pt>
                <c:pt idx="68">
                  <c:v>2046</c:v>
                </c:pt>
                <c:pt idx="69">
                  <c:v>2047</c:v>
                </c:pt>
                <c:pt idx="70">
                  <c:v>2048</c:v>
                </c:pt>
                <c:pt idx="71">
                  <c:v>2049</c:v>
                </c:pt>
                <c:pt idx="72">
                  <c:v>2050</c:v>
                </c:pt>
                <c:pt idx="73">
                  <c:v>2051</c:v>
                </c:pt>
                <c:pt idx="74">
                  <c:v>2052</c:v>
                </c:pt>
                <c:pt idx="75">
                  <c:v>2053</c:v>
                </c:pt>
                <c:pt idx="76">
                  <c:v>2054</c:v>
                </c:pt>
                <c:pt idx="77">
                  <c:v>2055</c:v>
                </c:pt>
                <c:pt idx="78">
                  <c:v>2056</c:v>
                </c:pt>
                <c:pt idx="79">
                  <c:v>2057</c:v>
                </c:pt>
                <c:pt idx="80">
                  <c:v>2058</c:v>
                </c:pt>
                <c:pt idx="81">
                  <c:v>2059</c:v>
                </c:pt>
                <c:pt idx="82">
                  <c:v>2060</c:v>
                </c:pt>
                <c:pt idx="83">
                  <c:v>2061</c:v>
                </c:pt>
                <c:pt idx="84">
                  <c:v>2062</c:v>
                </c:pt>
                <c:pt idx="85">
                  <c:v>2063</c:v>
                </c:pt>
                <c:pt idx="86">
                  <c:v>2064</c:v>
                </c:pt>
                <c:pt idx="87">
                  <c:v>2065</c:v>
                </c:pt>
                <c:pt idx="88">
                  <c:v>2066</c:v>
                </c:pt>
                <c:pt idx="89">
                  <c:v>2067</c:v>
                </c:pt>
                <c:pt idx="90">
                  <c:v>2068</c:v>
                </c:pt>
                <c:pt idx="91">
                  <c:v>2069</c:v>
                </c:pt>
                <c:pt idx="92">
                  <c:v>2070</c:v>
                </c:pt>
                <c:pt idx="93">
                  <c:v>2071</c:v>
                </c:pt>
                <c:pt idx="94">
                  <c:v>2072</c:v>
                </c:pt>
                <c:pt idx="95">
                  <c:v>2073</c:v>
                </c:pt>
                <c:pt idx="96">
                  <c:v>2074</c:v>
                </c:pt>
                <c:pt idx="97">
                  <c:v>2075</c:v>
                </c:pt>
                <c:pt idx="98">
                  <c:v>2076</c:v>
                </c:pt>
                <c:pt idx="99">
                  <c:v>2077</c:v>
                </c:pt>
                <c:pt idx="100">
                  <c:v>2078</c:v>
                </c:pt>
                <c:pt idx="101">
                  <c:v>2079</c:v>
                </c:pt>
                <c:pt idx="102">
                  <c:v>2080</c:v>
                </c:pt>
                <c:pt idx="103">
                  <c:v>2081</c:v>
                </c:pt>
                <c:pt idx="104">
                  <c:v>2082</c:v>
                </c:pt>
                <c:pt idx="105">
                  <c:v>2083</c:v>
                </c:pt>
                <c:pt idx="106">
                  <c:v>2084</c:v>
                </c:pt>
                <c:pt idx="107">
                  <c:v>2085</c:v>
                </c:pt>
                <c:pt idx="108">
                  <c:v>2086</c:v>
                </c:pt>
                <c:pt idx="109">
                  <c:v>2087</c:v>
                </c:pt>
                <c:pt idx="110">
                  <c:v>2088</c:v>
                </c:pt>
                <c:pt idx="111">
                  <c:v>2089</c:v>
                </c:pt>
                <c:pt idx="112">
                  <c:v>2090</c:v>
                </c:pt>
                <c:pt idx="113">
                  <c:v>2091</c:v>
                </c:pt>
                <c:pt idx="114">
                  <c:v>2092</c:v>
                </c:pt>
                <c:pt idx="115">
                  <c:v>2093</c:v>
                </c:pt>
                <c:pt idx="116">
                  <c:v>2094</c:v>
                </c:pt>
                <c:pt idx="117">
                  <c:v>2095</c:v>
                </c:pt>
                <c:pt idx="118">
                  <c:v>2096</c:v>
                </c:pt>
                <c:pt idx="119">
                  <c:v>2097</c:v>
                </c:pt>
                <c:pt idx="120">
                  <c:v>2098</c:v>
                </c:pt>
                <c:pt idx="121">
                  <c:v>2099</c:v>
                </c:pt>
                <c:pt idx="122">
                  <c:v>2100</c:v>
                </c:pt>
                <c:pt idx="123">
                  <c:v>2101</c:v>
                </c:pt>
                <c:pt idx="124">
                  <c:v>2102</c:v>
                </c:pt>
                <c:pt idx="125">
                  <c:v>2103</c:v>
                </c:pt>
                <c:pt idx="126">
                  <c:v>2104</c:v>
                </c:pt>
                <c:pt idx="127">
                  <c:v>2105</c:v>
                </c:pt>
              </c:numCache>
            </c:numRef>
          </c:xVal>
          <c:yVal>
            <c:numRef>
              <c:f>'Western United States'!$I$173:$I$300</c:f>
              <c:numCache>
                <c:formatCode>#,##0.0</c:formatCode>
                <c:ptCount val="128"/>
                <c:pt idx="0">
                  <c:v>0.5583296057084226</c:v>
                </c:pt>
                <c:pt idx="1">
                  <c:v>-0.23139520759195875</c:v>
                </c:pt>
                <c:pt idx="2">
                  <c:v>-0.12384897549691232</c:v>
                </c:pt>
                <c:pt idx="3">
                  <c:v>0.25794001834856317</c:v>
                </c:pt>
                <c:pt idx="4">
                  <c:v>0.21686624842732272</c:v>
                </c:pt>
                <c:pt idx="5">
                  <c:v>-0.33473923878227652</c:v>
                </c:pt>
                <c:pt idx="6">
                  <c:v>-7.1388013283467444E-2</c:v>
                </c:pt>
                <c:pt idx="7">
                  <c:v>0.25173573087613477</c:v>
                </c:pt>
                <c:pt idx="8">
                  <c:v>5.7141590085848293E-2</c:v>
                </c:pt>
                <c:pt idx="9">
                  <c:v>-0.26528525690082461</c:v>
                </c:pt>
                <c:pt idx="10">
                  <c:v>3.2932913245531381E-2</c:v>
                </c:pt>
                <c:pt idx="11">
                  <c:v>0.15232077991549886</c:v>
                </c:pt>
                <c:pt idx="12">
                  <c:v>0.28674671460339596</c:v>
                </c:pt>
                <c:pt idx="13">
                  <c:v>0.10168606373645162</c:v>
                </c:pt>
                <c:pt idx="14">
                  <c:v>-0.41652686093311786</c:v>
                </c:pt>
                <c:pt idx="15">
                  <c:v>-0.81369083623485494</c:v>
                </c:pt>
                <c:pt idx="16">
                  <c:v>-0.65275094773278397</c:v>
                </c:pt>
                <c:pt idx="17">
                  <c:v>-0.40332398595182894</c:v>
                </c:pt>
                <c:pt idx="18">
                  <c:v>-0.3154684148648812</c:v>
                </c:pt>
                <c:pt idx="19">
                  <c:v>-0.39823537153461075</c:v>
                </c:pt>
                <c:pt idx="20">
                  <c:v>-5.6304457700207422E-2</c:v>
                </c:pt>
                <c:pt idx="21">
                  <c:v>0.40331314083869074</c:v>
                </c:pt>
                <c:pt idx="22">
                  <c:v>0.37797903293176205</c:v>
                </c:pt>
                <c:pt idx="23">
                  <c:v>0.67566980108131247</c:v>
                </c:pt>
                <c:pt idx="24">
                  <c:v>0.67902077963753982</c:v>
                </c:pt>
                <c:pt idx="25">
                  <c:v>0.39409300063016417</c:v>
                </c:pt>
                <c:pt idx="26">
                  <c:v>0.29455333462829003</c:v>
                </c:pt>
                <c:pt idx="27">
                  <c:v>0.11420545894998213</c:v>
                </c:pt>
                <c:pt idx="28">
                  <c:v>0.298241730677546</c:v>
                </c:pt>
                <c:pt idx="29">
                  <c:v>0.17437942842934717</c:v>
                </c:pt>
                <c:pt idx="30">
                  <c:v>5.2838842539131292E-3</c:v>
                </c:pt>
                <c:pt idx="31">
                  <c:v>-1.2494816901016748</c:v>
                </c:pt>
              </c:numCache>
            </c:numRef>
          </c:yVal>
          <c:smooth val="1"/>
          <c:extLst>
            <c:ext xmlns:c16="http://schemas.microsoft.com/office/drawing/2014/chart" uri="{C3380CC4-5D6E-409C-BE32-E72D297353CC}">
              <c16:uniqueId val="{00000006-A8D7-7D4A-850D-4758F6AC591C}"/>
            </c:ext>
          </c:extLst>
        </c:ser>
        <c:dLbls>
          <c:showLegendKey val="0"/>
          <c:showVal val="0"/>
          <c:showCatName val="0"/>
          <c:showSerName val="0"/>
          <c:showPercent val="0"/>
          <c:showBubbleSize val="0"/>
        </c:dLbls>
        <c:axId val="136046848"/>
        <c:axId val="136220672"/>
      </c:scatterChart>
      <c:valAx>
        <c:axId val="136046848"/>
        <c:scaling>
          <c:orientation val="minMax"/>
          <c:max val="2010"/>
          <c:min val="1910"/>
        </c:scaling>
        <c:delete val="0"/>
        <c:axPos val="b"/>
        <c:numFmt formatCode="General" sourceLinked="1"/>
        <c:majorTickMark val="in"/>
        <c:minorTickMark val="in"/>
        <c:tickLblPos val="nextTo"/>
        <c:spPr>
          <a:ln>
            <a:solidFill>
              <a:srgbClr val="333399"/>
            </a:solidFill>
          </a:ln>
        </c:spPr>
        <c:crossAx val="136220672"/>
        <c:crossesAt val="-100"/>
        <c:crossBetween val="midCat"/>
        <c:majorUnit val="50"/>
        <c:minorUnit val="10"/>
      </c:valAx>
      <c:valAx>
        <c:axId val="136220672"/>
        <c:scaling>
          <c:orientation val="minMax"/>
          <c:max val="30"/>
          <c:min val="-30"/>
        </c:scaling>
        <c:delete val="0"/>
        <c:axPos val="r"/>
        <c:title>
          <c:tx>
            <c:rich>
              <a:bodyPr rot="-5400000" vert="horz"/>
              <a:lstStyle/>
              <a:p>
                <a:pPr>
                  <a:defRPr b="0"/>
                </a:pPr>
                <a:r>
                  <a:rPr lang="en-US" b="0"/>
                  <a:t>Residual</a:t>
                </a:r>
                <a:r>
                  <a:rPr lang="en-US" b="0" baseline="0"/>
                  <a:t>, months</a:t>
                </a:r>
                <a:endParaRPr lang="en-US" b="0"/>
              </a:p>
            </c:rich>
          </c:tx>
          <c:layout>
            <c:manualLayout>
              <c:xMode val="edge"/>
              <c:yMode val="edge"/>
              <c:x val="0.96179653679653765"/>
              <c:y val="0.26076735199766732"/>
            </c:manualLayout>
          </c:layout>
          <c:overlay val="0"/>
        </c:title>
        <c:numFmt formatCode="0" sourceLinked="0"/>
        <c:majorTickMark val="in"/>
        <c:minorTickMark val="in"/>
        <c:tickLblPos val="nextTo"/>
        <c:spPr>
          <a:ln>
            <a:solidFill>
              <a:srgbClr val="333399"/>
            </a:solidFill>
          </a:ln>
        </c:spPr>
        <c:crossAx val="136046848"/>
        <c:crosses val="max"/>
        <c:crossBetween val="midCat"/>
        <c:majorUnit val="30"/>
        <c:minorUnit val="10"/>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673518082966849"/>
          <c:h val="0.77264654418197765"/>
        </c:manualLayout>
      </c:layout>
      <c:scatterChart>
        <c:scatterStyle val="smoothMarker"/>
        <c:varyColors val="0"/>
        <c:ser>
          <c:idx val="5"/>
          <c:order val="0"/>
          <c:tx>
            <c:v>Current long-term fit</c:v>
          </c:tx>
          <c:spPr>
            <a:ln w="15875">
              <a:solidFill>
                <a:srgbClr val="808080"/>
              </a:solidFill>
            </a:ln>
          </c:spPr>
          <c:marker>
            <c:symbol val="none"/>
          </c:marker>
          <c:xVal>
            <c:numLit>
              <c:formatCode>General</c:formatCode>
              <c:ptCount val="2"/>
              <c:pt idx="0">
                <c:v>1995</c:v>
              </c:pt>
              <c:pt idx="1">
                <c:v>2009</c:v>
              </c:pt>
            </c:numLit>
          </c:xVal>
          <c:yVal>
            <c:numRef>
              <c:f>('Western United States'!$F$1,'Western United States'!$F$1)</c:f>
              <c:numCache>
                <c:formatCode>0.0</c:formatCode>
                <c:ptCount val="2"/>
                <c:pt idx="0">
                  <c:v>45.247493295226754</c:v>
                </c:pt>
                <c:pt idx="1">
                  <c:v>45.247493295226754</c:v>
                </c:pt>
              </c:numCache>
            </c:numRef>
          </c:yVal>
          <c:smooth val="1"/>
          <c:extLst>
            <c:ext xmlns:c16="http://schemas.microsoft.com/office/drawing/2014/chart" uri="{C3380CC4-5D6E-409C-BE32-E72D297353CC}">
              <c16:uniqueId val="{00000000-B251-B54C-BFCF-B761C344BCDE}"/>
            </c:ext>
          </c:extLst>
        </c:ser>
        <c:ser>
          <c:idx val="4"/>
          <c:order val="1"/>
          <c:tx>
            <c:v>q early</c:v>
          </c:tx>
          <c:spPr>
            <a:ln w="15875">
              <a:solidFill>
                <a:srgbClr val="808080"/>
              </a:solidFill>
              <a:prstDash val="solid"/>
            </a:ln>
          </c:spPr>
          <c:marker>
            <c:symbol val="none"/>
          </c:marker>
          <c:xVal>
            <c:numRef>
              <c:f>'Western United States'!$D$115:$D$162</c:f>
              <c:numCache>
                <c:formatCode>General</c:formatCode>
                <c:ptCount val="48"/>
                <c:pt idx="0">
                  <c:v>1920</c:v>
                </c:pt>
                <c:pt idx="1">
                  <c:v>1921</c:v>
                </c:pt>
                <c:pt idx="2">
                  <c:v>1922</c:v>
                </c:pt>
                <c:pt idx="3">
                  <c:v>1923</c:v>
                </c:pt>
                <c:pt idx="4">
                  <c:v>1924</c:v>
                </c:pt>
                <c:pt idx="5">
                  <c:v>1925</c:v>
                </c:pt>
                <c:pt idx="6">
                  <c:v>1926</c:v>
                </c:pt>
                <c:pt idx="7">
                  <c:v>1927</c:v>
                </c:pt>
                <c:pt idx="8">
                  <c:v>1928</c:v>
                </c:pt>
                <c:pt idx="9">
                  <c:v>1929</c:v>
                </c:pt>
                <c:pt idx="10">
                  <c:v>1930</c:v>
                </c:pt>
                <c:pt idx="11">
                  <c:v>1931</c:v>
                </c:pt>
                <c:pt idx="12">
                  <c:v>1932</c:v>
                </c:pt>
                <c:pt idx="13">
                  <c:v>1933</c:v>
                </c:pt>
                <c:pt idx="14">
                  <c:v>1934</c:v>
                </c:pt>
                <c:pt idx="15">
                  <c:v>1935</c:v>
                </c:pt>
                <c:pt idx="16">
                  <c:v>1936</c:v>
                </c:pt>
                <c:pt idx="17">
                  <c:v>1937</c:v>
                </c:pt>
                <c:pt idx="18">
                  <c:v>1938</c:v>
                </c:pt>
                <c:pt idx="19">
                  <c:v>1939</c:v>
                </c:pt>
                <c:pt idx="20">
                  <c:v>1940</c:v>
                </c:pt>
                <c:pt idx="21">
                  <c:v>1941</c:v>
                </c:pt>
                <c:pt idx="22">
                  <c:v>1942</c:v>
                </c:pt>
                <c:pt idx="23">
                  <c:v>1943</c:v>
                </c:pt>
                <c:pt idx="24">
                  <c:v>1944</c:v>
                </c:pt>
                <c:pt idx="25">
                  <c:v>1945</c:v>
                </c:pt>
                <c:pt idx="26">
                  <c:v>1946</c:v>
                </c:pt>
                <c:pt idx="27">
                  <c:v>1947</c:v>
                </c:pt>
                <c:pt idx="28">
                  <c:v>1948</c:v>
                </c:pt>
                <c:pt idx="29">
                  <c:v>1949</c:v>
                </c:pt>
                <c:pt idx="30">
                  <c:v>1950</c:v>
                </c:pt>
                <c:pt idx="31">
                  <c:v>1951</c:v>
                </c:pt>
                <c:pt idx="32">
                  <c:v>1952</c:v>
                </c:pt>
                <c:pt idx="33">
                  <c:v>1953</c:v>
                </c:pt>
                <c:pt idx="34">
                  <c:v>1954</c:v>
                </c:pt>
                <c:pt idx="35">
                  <c:v>1955</c:v>
                </c:pt>
                <c:pt idx="36">
                  <c:v>1956</c:v>
                </c:pt>
                <c:pt idx="37">
                  <c:v>1957</c:v>
                </c:pt>
                <c:pt idx="38">
                  <c:v>1958</c:v>
                </c:pt>
                <c:pt idx="39">
                  <c:v>1959</c:v>
                </c:pt>
                <c:pt idx="40">
                  <c:v>1960</c:v>
                </c:pt>
                <c:pt idx="41">
                  <c:v>1961</c:v>
                </c:pt>
                <c:pt idx="42">
                  <c:v>1962</c:v>
                </c:pt>
                <c:pt idx="43">
                  <c:v>1963</c:v>
                </c:pt>
                <c:pt idx="44">
                  <c:v>1964</c:v>
                </c:pt>
                <c:pt idx="45">
                  <c:v>1965</c:v>
                </c:pt>
                <c:pt idx="46">
                  <c:v>1966</c:v>
                </c:pt>
                <c:pt idx="47">
                  <c:v>1967</c:v>
                </c:pt>
              </c:numCache>
            </c:numRef>
          </c:xVal>
          <c:yVal>
            <c:numRef>
              <c:f>'Western United States'!$O$115:$O$162</c:f>
              <c:numCache>
                <c:formatCode>0.0</c:formatCode>
                <c:ptCount val="48"/>
                <c:pt idx="0">
                  <c:v>1.3493769364948724</c:v>
                </c:pt>
                <c:pt idx="1">
                  <c:v>1.389214638422348</c:v>
                </c:pt>
                <c:pt idx="2">
                  <c:v>1.4292607211451387</c:v>
                </c:pt>
                <c:pt idx="3">
                  <c:v>1.4694756832990861</c:v>
                </c:pt>
                <c:pt idx="4">
                  <c:v>1.5098195156432996</c:v>
                </c:pt>
                <c:pt idx="5">
                  <c:v>1.5502518204191709</c:v>
                </c:pt>
                <c:pt idx="6">
                  <c:v>1.5907319326608935</c:v>
                </c:pt>
                <c:pt idx="7">
                  <c:v>1.6312190428505802</c:v>
                </c:pt>
                <c:pt idx="8">
                  <c:v>1.6716723203015855</c:v>
                </c:pt>
                <c:pt idx="9">
                  <c:v>1.7120510366485193</c:v>
                </c:pt>
                <c:pt idx="10">
                  <c:v>1.7523146888216801</c:v>
                </c:pt>
                <c:pt idx="11">
                  <c:v>1.792423120887267</c:v>
                </c:pt>
                <c:pt idx="12">
                  <c:v>1.8323366441427371</c:v>
                </c:pt>
                <c:pt idx="13">
                  <c:v>1.8720161548689267</c:v>
                </c:pt>
                <c:pt idx="14">
                  <c:v>1.9114232491570227</c:v>
                </c:pt>
                <c:pt idx="15">
                  <c:v>1.9505203342489263</c:v>
                </c:pt>
                <c:pt idx="16">
                  <c:v>1.9892707358538684</c:v>
                </c:pt>
                <c:pt idx="17">
                  <c:v>2.0276388009320674</c:v>
                </c:pt>
                <c:pt idx="18">
                  <c:v>2.0655899954675183</c:v>
                </c:pt>
                <c:pt idx="19">
                  <c:v>2.1030909967864146</c:v>
                </c:pt>
                <c:pt idx="20">
                  <c:v>2.140109780014877</c:v>
                </c:pt>
                <c:pt idx="21">
                  <c:v>2.1766156983093348</c:v>
                </c:pt>
                <c:pt idx="22">
                  <c:v>2.2125795565346809</c:v>
                </c:pt>
                <c:pt idx="23">
                  <c:v>2.2479736781088433</c:v>
                </c:pt>
                <c:pt idx="24">
                  <c:v>2.2827719647773721</c:v>
                </c:pt>
                <c:pt idx="25">
                  <c:v>2.3169499491275527</c:v>
                </c:pt>
                <c:pt idx="26">
                  <c:v>2.3504848396981473</c:v>
                </c:pt>
                <c:pt idx="27">
                  <c:v>2.3833555585876582</c:v>
                </c:pt>
                <c:pt idx="28">
                  <c:v>2.4155427715107134</c:v>
                </c:pt>
                <c:pt idx="29">
                  <c:v>2.4470289102983296</c:v>
                </c:pt>
                <c:pt idx="30">
                  <c:v>2.4777981878831472</c:v>
                </c:pt>
                <c:pt idx="31">
                  <c:v>2.5078366058548287</c:v>
                </c:pt>
                <c:pt idx="32">
                  <c:v>2.5371319547133977</c:v>
                </c:pt>
                <c:pt idx="33">
                  <c:v>2.5656738069890412</c:v>
                </c:pt>
                <c:pt idx="34">
                  <c:v>2.5934535034354949</c:v>
                </c:pt>
                <c:pt idx="35">
                  <c:v>2.620464132540401</c:v>
                </c:pt>
                <c:pt idx="36">
                  <c:v>2.6467005036296296</c:v>
                </c:pt>
                <c:pt idx="37">
                  <c:v>2.6721591138733962</c:v>
                </c:pt>
                <c:pt idx="38">
                  <c:v>2.6968381095298408</c:v>
                </c:pt>
                <c:pt idx="39">
                  <c:v>2.7207372417864635</c:v>
                </c:pt>
                <c:pt idx="40">
                  <c:v>2.7438578175812998</c:v>
                </c:pt>
                <c:pt idx="41">
                  <c:v>2.7662026458039426</c:v>
                </c:pt>
                <c:pt idx="42">
                  <c:v>2.7877759792913399</c:v>
                </c:pt>
                <c:pt idx="43">
                  <c:v>2.8085834530448244</c:v>
                </c:pt>
                <c:pt idx="44">
                  <c:v>2.8286320191029852</c:v>
                </c:pt>
                <c:pt idx="45">
                  <c:v>2.8479298785098477</c:v>
                </c:pt>
                <c:pt idx="46">
                  <c:v>2.8664864108195149</c:v>
                </c:pt>
                <c:pt idx="47">
                  <c:v>2.8843121015769322</c:v>
                </c:pt>
              </c:numCache>
            </c:numRef>
          </c:yVal>
          <c:smooth val="1"/>
          <c:extLst>
            <c:ext xmlns:c16="http://schemas.microsoft.com/office/drawing/2014/chart" uri="{C3380CC4-5D6E-409C-BE32-E72D297353CC}">
              <c16:uniqueId val="{00000001-B251-B54C-BFCF-B761C344BCDE}"/>
            </c:ext>
          </c:extLst>
        </c:ser>
        <c:ser>
          <c:idx val="0"/>
          <c:order val="2"/>
          <c:tx>
            <c:strRef>
              <c:f>'Western United States'!$F$12</c:f>
              <c:strCache>
                <c:ptCount val="1"/>
                <c:pt idx="0">
                  <c:v>q Gt</c:v>
                </c:pt>
              </c:strCache>
            </c:strRef>
          </c:tx>
          <c:spPr>
            <a:ln w="15875">
              <a:solidFill>
                <a:srgbClr val="008000"/>
              </a:solidFill>
            </a:ln>
          </c:spPr>
          <c:marker>
            <c:symbol val="none"/>
          </c:marker>
          <c:xVal>
            <c:numRef>
              <c:f>'Western United States'!$D$14:$D$259</c:f>
              <c:numCache>
                <c:formatCode>General</c:formatCode>
                <c:ptCount val="246"/>
                <c:pt idx="0">
                  <c:v>1819</c:v>
                </c:pt>
                <c:pt idx="1">
                  <c:v>1820</c:v>
                </c:pt>
                <c:pt idx="2">
                  <c:v>1821</c:v>
                </c:pt>
                <c:pt idx="3">
                  <c:v>1822</c:v>
                </c:pt>
                <c:pt idx="4">
                  <c:v>1823</c:v>
                </c:pt>
                <c:pt idx="5">
                  <c:v>1824</c:v>
                </c:pt>
                <c:pt idx="6">
                  <c:v>1825</c:v>
                </c:pt>
                <c:pt idx="7">
                  <c:v>1826</c:v>
                </c:pt>
                <c:pt idx="8">
                  <c:v>1827</c:v>
                </c:pt>
                <c:pt idx="9">
                  <c:v>1828</c:v>
                </c:pt>
                <c:pt idx="10">
                  <c:v>1829</c:v>
                </c:pt>
                <c:pt idx="11">
                  <c:v>1830</c:v>
                </c:pt>
                <c:pt idx="12">
                  <c:v>1831</c:v>
                </c:pt>
                <c:pt idx="13">
                  <c:v>1832</c:v>
                </c:pt>
                <c:pt idx="14">
                  <c:v>1833</c:v>
                </c:pt>
                <c:pt idx="15">
                  <c:v>1834</c:v>
                </c:pt>
                <c:pt idx="16">
                  <c:v>1835</c:v>
                </c:pt>
                <c:pt idx="17">
                  <c:v>1836</c:v>
                </c:pt>
                <c:pt idx="18">
                  <c:v>1837</c:v>
                </c:pt>
                <c:pt idx="19">
                  <c:v>1838</c:v>
                </c:pt>
                <c:pt idx="20">
                  <c:v>1839</c:v>
                </c:pt>
                <c:pt idx="21">
                  <c:v>1840</c:v>
                </c:pt>
                <c:pt idx="22">
                  <c:v>1841</c:v>
                </c:pt>
                <c:pt idx="23">
                  <c:v>1842</c:v>
                </c:pt>
                <c:pt idx="24">
                  <c:v>1843</c:v>
                </c:pt>
                <c:pt idx="25">
                  <c:v>1844</c:v>
                </c:pt>
                <c:pt idx="26">
                  <c:v>1845</c:v>
                </c:pt>
                <c:pt idx="27">
                  <c:v>1846</c:v>
                </c:pt>
                <c:pt idx="28">
                  <c:v>1847</c:v>
                </c:pt>
                <c:pt idx="29">
                  <c:v>1848</c:v>
                </c:pt>
                <c:pt idx="30">
                  <c:v>1849</c:v>
                </c:pt>
                <c:pt idx="31">
                  <c:v>1850</c:v>
                </c:pt>
                <c:pt idx="32">
                  <c:v>1851</c:v>
                </c:pt>
                <c:pt idx="33">
                  <c:v>1852</c:v>
                </c:pt>
                <c:pt idx="34">
                  <c:v>1853</c:v>
                </c:pt>
                <c:pt idx="35">
                  <c:v>1854</c:v>
                </c:pt>
                <c:pt idx="36">
                  <c:v>1855</c:v>
                </c:pt>
                <c:pt idx="37">
                  <c:v>1856</c:v>
                </c:pt>
                <c:pt idx="38">
                  <c:v>1857</c:v>
                </c:pt>
                <c:pt idx="39">
                  <c:v>1858</c:v>
                </c:pt>
                <c:pt idx="40">
                  <c:v>1859</c:v>
                </c:pt>
                <c:pt idx="41">
                  <c:v>1860</c:v>
                </c:pt>
                <c:pt idx="42">
                  <c:v>1861</c:v>
                </c:pt>
                <c:pt idx="43">
                  <c:v>1862</c:v>
                </c:pt>
                <c:pt idx="44">
                  <c:v>1863</c:v>
                </c:pt>
                <c:pt idx="45">
                  <c:v>1864</c:v>
                </c:pt>
                <c:pt idx="46">
                  <c:v>1865</c:v>
                </c:pt>
                <c:pt idx="47">
                  <c:v>1866</c:v>
                </c:pt>
                <c:pt idx="48">
                  <c:v>1867</c:v>
                </c:pt>
                <c:pt idx="49">
                  <c:v>1868</c:v>
                </c:pt>
                <c:pt idx="50">
                  <c:v>1869</c:v>
                </c:pt>
                <c:pt idx="51">
                  <c:v>1870</c:v>
                </c:pt>
                <c:pt idx="52">
                  <c:v>1871</c:v>
                </c:pt>
                <c:pt idx="53">
                  <c:v>1872</c:v>
                </c:pt>
                <c:pt idx="54">
                  <c:v>1873</c:v>
                </c:pt>
                <c:pt idx="55">
                  <c:v>1874</c:v>
                </c:pt>
                <c:pt idx="56">
                  <c:v>1875</c:v>
                </c:pt>
                <c:pt idx="57">
                  <c:v>1876</c:v>
                </c:pt>
                <c:pt idx="58">
                  <c:v>1877</c:v>
                </c:pt>
                <c:pt idx="59">
                  <c:v>1878</c:v>
                </c:pt>
                <c:pt idx="60">
                  <c:v>1879</c:v>
                </c:pt>
                <c:pt idx="61">
                  <c:v>1880</c:v>
                </c:pt>
                <c:pt idx="62">
                  <c:v>1881</c:v>
                </c:pt>
                <c:pt idx="63">
                  <c:v>1882</c:v>
                </c:pt>
                <c:pt idx="64">
                  <c:v>1883</c:v>
                </c:pt>
                <c:pt idx="65">
                  <c:v>1884</c:v>
                </c:pt>
                <c:pt idx="66">
                  <c:v>1885</c:v>
                </c:pt>
                <c:pt idx="67">
                  <c:v>1886</c:v>
                </c:pt>
                <c:pt idx="68">
                  <c:v>1887</c:v>
                </c:pt>
                <c:pt idx="69">
                  <c:v>1888</c:v>
                </c:pt>
                <c:pt idx="70">
                  <c:v>1889</c:v>
                </c:pt>
                <c:pt idx="71">
                  <c:v>1890</c:v>
                </c:pt>
                <c:pt idx="72">
                  <c:v>1891</c:v>
                </c:pt>
                <c:pt idx="73">
                  <c:v>1892</c:v>
                </c:pt>
                <c:pt idx="74">
                  <c:v>1893</c:v>
                </c:pt>
                <c:pt idx="75">
                  <c:v>1894</c:v>
                </c:pt>
                <c:pt idx="76">
                  <c:v>1895</c:v>
                </c:pt>
                <c:pt idx="77">
                  <c:v>1896</c:v>
                </c:pt>
                <c:pt idx="78">
                  <c:v>1897</c:v>
                </c:pt>
                <c:pt idx="79">
                  <c:v>1898</c:v>
                </c:pt>
                <c:pt idx="80">
                  <c:v>1899</c:v>
                </c:pt>
                <c:pt idx="81">
                  <c:v>1900</c:v>
                </c:pt>
                <c:pt idx="82">
                  <c:v>1901</c:v>
                </c:pt>
                <c:pt idx="83">
                  <c:v>1902</c:v>
                </c:pt>
                <c:pt idx="84">
                  <c:v>1903</c:v>
                </c:pt>
                <c:pt idx="85">
                  <c:v>1904</c:v>
                </c:pt>
                <c:pt idx="86">
                  <c:v>1905</c:v>
                </c:pt>
                <c:pt idx="87">
                  <c:v>1906</c:v>
                </c:pt>
                <c:pt idx="88">
                  <c:v>1907</c:v>
                </c:pt>
                <c:pt idx="89">
                  <c:v>1908</c:v>
                </c:pt>
                <c:pt idx="90">
                  <c:v>1909</c:v>
                </c:pt>
                <c:pt idx="91">
                  <c:v>1910</c:v>
                </c:pt>
                <c:pt idx="92">
                  <c:v>1911</c:v>
                </c:pt>
                <c:pt idx="93">
                  <c:v>1912</c:v>
                </c:pt>
                <c:pt idx="94">
                  <c:v>1913</c:v>
                </c:pt>
                <c:pt idx="95">
                  <c:v>1914</c:v>
                </c:pt>
                <c:pt idx="96">
                  <c:v>1915</c:v>
                </c:pt>
                <c:pt idx="97">
                  <c:v>1916</c:v>
                </c:pt>
                <c:pt idx="98">
                  <c:v>1917</c:v>
                </c:pt>
                <c:pt idx="99">
                  <c:v>1918</c:v>
                </c:pt>
                <c:pt idx="100">
                  <c:v>1919</c:v>
                </c:pt>
                <c:pt idx="101">
                  <c:v>1920</c:v>
                </c:pt>
                <c:pt idx="102">
                  <c:v>1921</c:v>
                </c:pt>
                <c:pt idx="103">
                  <c:v>1922</c:v>
                </c:pt>
                <c:pt idx="104">
                  <c:v>1923</c:v>
                </c:pt>
                <c:pt idx="105">
                  <c:v>1924</c:v>
                </c:pt>
                <c:pt idx="106">
                  <c:v>1925</c:v>
                </c:pt>
                <c:pt idx="107">
                  <c:v>1926</c:v>
                </c:pt>
                <c:pt idx="108">
                  <c:v>1927</c:v>
                </c:pt>
                <c:pt idx="109">
                  <c:v>1928</c:v>
                </c:pt>
                <c:pt idx="110">
                  <c:v>1929</c:v>
                </c:pt>
                <c:pt idx="111">
                  <c:v>1930</c:v>
                </c:pt>
                <c:pt idx="112">
                  <c:v>1931</c:v>
                </c:pt>
                <c:pt idx="113">
                  <c:v>1932</c:v>
                </c:pt>
                <c:pt idx="114">
                  <c:v>1933</c:v>
                </c:pt>
                <c:pt idx="115">
                  <c:v>1934</c:v>
                </c:pt>
                <c:pt idx="116">
                  <c:v>1935</c:v>
                </c:pt>
                <c:pt idx="117">
                  <c:v>1936</c:v>
                </c:pt>
                <c:pt idx="118">
                  <c:v>1937</c:v>
                </c:pt>
                <c:pt idx="119">
                  <c:v>1938</c:v>
                </c:pt>
                <c:pt idx="120">
                  <c:v>1939</c:v>
                </c:pt>
                <c:pt idx="121">
                  <c:v>1940</c:v>
                </c:pt>
                <c:pt idx="122">
                  <c:v>1941</c:v>
                </c:pt>
                <c:pt idx="123">
                  <c:v>1942</c:v>
                </c:pt>
                <c:pt idx="124">
                  <c:v>1943</c:v>
                </c:pt>
                <c:pt idx="125">
                  <c:v>1944</c:v>
                </c:pt>
                <c:pt idx="126">
                  <c:v>1945</c:v>
                </c:pt>
                <c:pt idx="127">
                  <c:v>1946</c:v>
                </c:pt>
                <c:pt idx="128">
                  <c:v>1947</c:v>
                </c:pt>
                <c:pt idx="129">
                  <c:v>1948</c:v>
                </c:pt>
                <c:pt idx="130">
                  <c:v>1949</c:v>
                </c:pt>
                <c:pt idx="131">
                  <c:v>1950</c:v>
                </c:pt>
                <c:pt idx="132">
                  <c:v>1951</c:v>
                </c:pt>
                <c:pt idx="133">
                  <c:v>1952</c:v>
                </c:pt>
                <c:pt idx="134">
                  <c:v>1953</c:v>
                </c:pt>
                <c:pt idx="135">
                  <c:v>1954</c:v>
                </c:pt>
                <c:pt idx="136">
                  <c:v>1955</c:v>
                </c:pt>
                <c:pt idx="137">
                  <c:v>1956</c:v>
                </c:pt>
                <c:pt idx="138">
                  <c:v>1957</c:v>
                </c:pt>
                <c:pt idx="139">
                  <c:v>1958</c:v>
                </c:pt>
                <c:pt idx="140">
                  <c:v>1959</c:v>
                </c:pt>
                <c:pt idx="141">
                  <c:v>1960</c:v>
                </c:pt>
                <c:pt idx="142">
                  <c:v>1961</c:v>
                </c:pt>
                <c:pt idx="143">
                  <c:v>1962</c:v>
                </c:pt>
                <c:pt idx="144">
                  <c:v>1963</c:v>
                </c:pt>
                <c:pt idx="145">
                  <c:v>1964</c:v>
                </c:pt>
                <c:pt idx="146">
                  <c:v>1965</c:v>
                </c:pt>
                <c:pt idx="147">
                  <c:v>1966</c:v>
                </c:pt>
                <c:pt idx="148">
                  <c:v>1967</c:v>
                </c:pt>
                <c:pt idx="149">
                  <c:v>1968</c:v>
                </c:pt>
                <c:pt idx="150">
                  <c:v>1969</c:v>
                </c:pt>
                <c:pt idx="151">
                  <c:v>1970</c:v>
                </c:pt>
                <c:pt idx="152">
                  <c:v>1971</c:v>
                </c:pt>
                <c:pt idx="153">
                  <c:v>1972</c:v>
                </c:pt>
                <c:pt idx="154">
                  <c:v>1973</c:v>
                </c:pt>
                <c:pt idx="155">
                  <c:v>1974</c:v>
                </c:pt>
                <c:pt idx="156">
                  <c:v>1975</c:v>
                </c:pt>
                <c:pt idx="157">
                  <c:v>1976</c:v>
                </c:pt>
                <c:pt idx="158">
                  <c:v>1977</c:v>
                </c:pt>
                <c:pt idx="159">
                  <c:v>1978</c:v>
                </c:pt>
                <c:pt idx="160">
                  <c:v>1979</c:v>
                </c:pt>
                <c:pt idx="161">
                  <c:v>1980</c:v>
                </c:pt>
                <c:pt idx="162">
                  <c:v>1981</c:v>
                </c:pt>
                <c:pt idx="163">
                  <c:v>1982</c:v>
                </c:pt>
                <c:pt idx="164">
                  <c:v>1983</c:v>
                </c:pt>
                <c:pt idx="165">
                  <c:v>1984</c:v>
                </c:pt>
                <c:pt idx="166">
                  <c:v>1985</c:v>
                </c:pt>
                <c:pt idx="167">
                  <c:v>1986</c:v>
                </c:pt>
                <c:pt idx="168">
                  <c:v>1987</c:v>
                </c:pt>
                <c:pt idx="169">
                  <c:v>1988</c:v>
                </c:pt>
                <c:pt idx="170">
                  <c:v>1989</c:v>
                </c:pt>
                <c:pt idx="171">
                  <c:v>1990</c:v>
                </c:pt>
                <c:pt idx="172">
                  <c:v>1991</c:v>
                </c:pt>
                <c:pt idx="173">
                  <c:v>1992</c:v>
                </c:pt>
                <c:pt idx="174">
                  <c:v>1993</c:v>
                </c:pt>
                <c:pt idx="175">
                  <c:v>1994</c:v>
                </c:pt>
                <c:pt idx="176">
                  <c:v>1995</c:v>
                </c:pt>
                <c:pt idx="177">
                  <c:v>1996</c:v>
                </c:pt>
                <c:pt idx="178">
                  <c:v>1997</c:v>
                </c:pt>
                <c:pt idx="179">
                  <c:v>1998</c:v>
                </c:pt>
                <c:pt idx="180">
                  <c:v>1999</c:v>
                </c:pt>
                <c:pt idx="181">
                  <c:v>2000</c:v>
                </c:pt>
                <c:pt idx="182">
                  <c:v>2001</c:v>
                </c:pt>
                <c:pt idx="183">
                  <c:v>2002</c:v>
                </c:pt>
                <c:pt idx="184">
                  <c:v>2003</c:v>
                </c:pt>
                <c:pt idx="185">
                  <c:v>2004</c:v>
                </c:pt>
                <c:pt idx="186">
                  <c:v>2005</c:v>
                </c:pt>
                <c:pt idx="187">
                  <c:v>2006</c:v>
                </c:pt>
                <c:pt idx="188">
                  <c:v>2007</c:v>
                </c:pt>
                <c:pt idx="189">
                  <c:v>2008</c:v>
                </c:pt>
                <c:pt idx="190">
                  <c:v>2009</c:v>
                </c:pt>
                <c:pt idx="191">
                  <c:v>2010</c:v>
                </c:pt>
                <c:pt idx="192">
                  <c:v>2011</c:v>
                </c:pt>
                <c:pt idx="193">
                  <c:v>2012</c:v>
                </c:pt>
                <c:pt idx="194">
                  <c:v>2013</c:v>
                </c:pt>
                <c:pt idx="195">
                  <c:v>2014</c:v>
                </c:pt>
                <c:pt idx="196">
                  <c:v>2015</c:v>
                </c:pt>
                <c:pt idx="197">
                  <c:v>2016</c:v>
                </c:pt>
                <c:pt idx="198">
                  <c:v>2017</c:v>
                </c:pt>
                <c:pt idx="199">
                  <c:v>2018</c:v>
                </c:pt>
                <c:pt idx="200">
                  <c:v>2019</c:v>
                </c:pt>
                <c:pt idx="201">
                  <c:v>2020</c:v>
                </c:pt>
                <c:pt idx="202">
                  <c:v>2021</c:v>
                </c:pt>
                <c:pt idx="203">
                  <c:v>2022</c:v>
                </c:pt>
                <c:pt idx="204">
                  <c:v>2023</c:v>
                </c:pt>
                <c:pt idx="205">
                  <c:v>2024</c:v>
                </c:pt>
                <c:pt idx="206">
                  <c:v>2025</c:v>
                </c:pt>
                <c:pt idx="207">
                  <c:v>2026</c:v>
                </c:pt>
                <c:pt idx="208">
                  <c:v>2027</c:v>
                </c:pt>
                <c:pt idx="209">
                  <c:v>2028</c:v>
                </c:pt>
                <c:pt idx="210">
                  <c:v>2029</c:v>
                </c:pt>
                <c:pt idx="211">
                  <c:v>2030</c:v>
                </c:pt>
                <c:pt idx="212">
                  <c:v>2031</c:v>
                </c:pt>
                <c:pt idx="213">
                  <c:v>2032</c:v>
                </c:pt>
                <c:pt idx="214">
                  <c:v>2033</c:v>
                </c:pt>
                <c:pt idx="215">
                  <c:v>2034</c:v>
                </c:pt>
                <c:pt idx="216">
                  <c:v>2035</c:v>
                </c:pt>
                <c:pt idx="217">
                  <c:v>2036</c:v>
                </c:pt>
                <c:pt idx="218">
                  <c:v>2037</c:v>
                </c:pt>
                <c:pt idx="219">
                  <c:v>2038</c:v>
                </c:pt>
                <c:pt idx="220">
                  <c:v>2039</c:v>
                </c:pt>
                <c:pt idx="221">
                  <c:v>2040</c:v>
                </c:pt>
                <c:pt idx="222">
                  <c:v>2041</c:v>
                </c:pt>
                <c:pt idx="223">
                  <c:v>2042</c:v>
                </c:pt>
                <c:pt idx="224">
                  <c:v>2043</c:v>
                </c:pt>
                <c:pt idx="225">
                  <c:v>2044</c:v>
                </c:pt>
                <c:pt idx="226">
                  <c:v>2045</c:v>
                </c:pt>
                <c:pt idx="227">
                  <c:v>2046</c:v>
                </c:pt>
                <c:pt idx="228">
                  <c:v>2047</c:v>
                </c:pt>
                <c:pt idx="229">
                  <c:v>2048</c:v>
                </c:pt>
                <c:pt idx="230">
                  <c:v>2049</c:v>
                </c:pt>
                <c:pt idx="231">
                  <c:v>2050</c:v>
                </c:pt>
                <c:pt idx="232">
                  <c:v>2051</c:v>
                </c:pt>
                <c:pt idx="233">
                  <c:v>2052</c:v>
                </c:pt>
                <c:pt idx="234">
                  <c:v>2053</c:v>
                </c:pt>
                <c:pt idx="235">
                  <c:v>2054</c:v>
                </c:pt>
                <c:pt idx="236">
                  <c:v>2055</c:v>
                </c:pt>
                <c:pt idx="237">
                  <c:v>2056</c:v>
                </c:pt>
                <c:pt idx="238">
                  <c:v>2057</c:v>
                </c:pt>
                <c:pt idx="239">
                  <c:v>2058</c:v>
                </c:pt>
                <c:pt idx="240">
                  <c:v>2059</c:v>
                </c:pt>
                <c:pt idx="241">
                  <c:v>2060</c:v>
                </c:pt>
                <c:pt idx="242">
                  <c:v>2061</c:v>
                </c:pt>
                <c:pt idx="243">
                  <c:v>2062</c:v>
                </c:pt>
                <c:pt idx="244">
                  <c:v>2063</c:v>
                </c:pt>
                <c:pt idx="245">
                  <c:v>2064</c:v>
                </c:pt>
              </c:numCache>
            </c:numRef>
          </c:xVal>
          <c:yVal>
            <c:numRef>
              <c:f>'Western United States'!$F$14:$F$259</c:f>
              <c:numCache>
                <c:formatCode>0.0</c:formatCode>
                <c:ptCount val="246"/>
                <c:pt idx="0">
                  <c:v>9.071847407607566E-8</c:v>
                </c:pt>
                <c:pt idx="1">
                  <c:v>6.3502931853252962E-7</c:v>
                </c:pt>
                <c:pt idx="2">
                  <c:v>1.6329325333693617E-6</c:v>
                </c:pt>
                <c:pt idx="3">
                  <c:v>3.0844281185865722E-6</c:v>
                </c:pt>
                <c:pt idx="4">
                  <c:v>4.8987976001080858E-6</c:v>
                </c:pt>
                <c:pt idx="5">
                  <c:v>7.1667594520099776E-6</c:v>
                </c:pt>
                <c:pt idx="6">
                  <c:v>9.8883136742922468E-6</c:v>
                </c:pt>
                <c:pt idx="7">
                  <c:v>1.3063460266954895E-5</c:v>
                </c:pt>
                <c:pt idx="8">
                  <c:v>1.6692199229997922E-5</c:v>
                </c:pt>
                <c:pt idx="9">
                  <c:v>2.0774530563421327E-5</c:v>
                </c:pt>
                <c:pt idx="10">
                  <c:v>2.531045426722511E-5</c:v>
                </c:pt>
                <c:pt idx="11">
                  <c:v>3.029997034140927E-5</c:v>
                </c:pt>
                <c:pt idx="12">
                  <c:v>3.5743078785973811E-5</c:v>
                </c:pt>
                <c:pt idx="13">
                  <c:v>4.1639779600918732E-5</c:v>
                </c:pt>
                <c:pt idx="14">
                  <c:v>4.7990072786244025E-5</c:v>
                </c:pt>
                <c:pt idx="15">
                  <c:v>5.4793958341949704E-5</c:v>
                </c:pt>
                <c:pt idx="16">
                  <c:v>6.2051436268035755E-5</c:v>
                </c:pt>
                <c:pt idx="17">
                  <c:v>6.9762506564502192E-5</c:v>
                </c:pt>
                <c:pt idx="18">
                  <c:v>7.7927169231349001E-5</c:v>
                </c:pt>
                <c:pt idx="19">
                  <c:v>8.6545424268576182E-5</c:v>
                </c:pt>
                <c:pt idx="20">
                  <c:v>9.5707990150259821E-5</c:v>
                </c:pt>
                <c:pt idx="21">
                  <c:v>1.0749413430222357E-4</c:v>
                </c:pt>
                <c:pt idx="22">
                  <c:v>1.233698672655368E-4</c:v>
                </c:pt>
                <c:pt idx="23">
                  <c:v>1.4414439782895814E-4</c:v>
                </c:pt>
                <c:pt idx="24">
                  <c:v>1.7616801917781286E-4</c:v>
                </c:pt>
                <c:pt idx="25">
                  <c:v>2.1944073131210094E-4</c:v>
                </c:pt>
                <c:pt idx="26">
                  <c:v>2.7849845793562618E-4</c:v>
                </c:pt>
                <c:pt idx="27">
                  <c:v>3.5606275327067086E-4</c:v>
                </c:pt>
                <c:pt idx="28">
                  <c:v>4.4669050887267042E-4</c:v>
                </c:pt>
                <c:pt idx="29">
                  <c:v>5.4416750926741374E-4</c:v>
                </c:pt>
                <c:pt idx="30">
                  <c:v>6.483758204386019E-4</c:v>
                </c:pt>
                <c:pt idx="31">
                  <c:v>7.639420845641147E-4</c:v>
                </c:pt>
                <c:pt idx="32">
                  <c:v>9.0460107861907002E-4</c:v>
                </c:pt>
                <c:pt idx="33">
                  <c:v>1.0613626018225288E-3</c:v>
                </c:pt>
                <c:pt idx="34">
                  <c:v>1.2388805118945937E-3</c:v>
                </c:pt>
                <c:pt idx="35">
                  <c:v>1.4328366094692436E-3</c:v>
                </c:pt>
                <c:pt idx="36">
                  <c:v>1.6396747303626961E-3</c:v>
                </c:pt>
                <c:pt idx="37">
                  <c:v>1.8645658275972877E-3</c:v>
                </c:pt>
                <c:pt idx="38">
                  <c:v>2.1121365433508983E-3</c:v>
                </c:pt>
                <c:pt idx="39">
                  <c:v>2.3826590330457559E-3</c:v>
                </c:pt>
                <c:pt idx="40">
                  <c:v>2.6779240793601226E-3</c:v>
                </c:pt>
                <c:pt idx="41">
                  <c:v>2.9970988867019793E-3</c:v>
                </c:pt>
                <c:pt idx="42">
                  <c:v>3.3512883034829792E-3</c:v>
                </c:pt>
                <c:pt idx="43">
                  <c:v>3.7463327850641398E-3</c:v>
                </c:pt>
                <c:pt idx="44">
                  <c:v>4.2009148939966883E-3</c:v>
                </c:pt>
                <c:pt idx="45">
                  <c:v>4.6894701642859861E-3</c:v>
                </c:pt>
                <c:pt idx="46">
                  <c:v>5.2414984293320914E-3</c:v>
                </c:pt>
                <c:pt idx="47">
                  <c:v>5.8795151072159463E-3</c:v>
                </c:pt>
                <c:pt idx="48">
                  <c:v>6.68568119835403E-3</c:v>
                </c:pt>
                <c:pt idx="49">
                  <c:v>7.6276882253888886E-3</c:v>
                </c:pt>
                <c:pt idx="50">
                  <c:v>8.7317628991759148E-3</c:v>
                </c:pt>
                <c:pt idx="51">
                  <c:v>9.8999002378012436E-3</c:v>
                </c:pt>
                <c:pt idx="52">
                  <c:v>1.1563388567608909E-2</c:v>
                </c:pt>
                <c:pt idx="53">
                  <c:v>1.3763307028030039E-2</c:v>
                </c:pt>
                <c:pt idx="54">
                  <c:v>1.6417627974805046E-2</c:v>
                </c:pt>
                <c:pt idx="55">
                  <c:v>1.9522884147854747E-2</c:v>
                </c:pt>
                <c:pt idx="56">
                  <c:v>2.2793666155888393E-2</c:v>
                </c:pt>
                <c:pt idx="57">
                  <c:v>2.6387275297030201E-2</c:v>
                </c:pt>
                <c:pt idx="58">
                  <c:v>3.0082987173559891E-2</c:v>
                </c:pt>
                <c:pt idx="59">
                  <c:v>3.3937854633823906E-2</c:v>
                </c:pt>
                <c:pt idx="60">
                  <c:v>3.8264549784942328E-2</c:v>
                </c:pt>
                <c:pt idx="61">
                  <c:v>4.3672868601883436E-2</c:v>
                </c:pt>
                <c:pt idx="62">
                  <c:v>5.0259374550008021E-2</c:v>
                </c:pt>
                <c:pt idx="63">
                  <c:v>5.9480989086467782E-2</c:v>
                </c:pt>
                <c:pt idx="64">
                  <c:v>7.0162477966410425E-2</c:v>
                </c:pt>
                <c:pt idx="65">
                  <c:v>8.1372863714879243E-2</c:v>
                </c:pt>
                <c:pt idx="66">
                  <c:v>9.2741483347385786E-2</c:v>
                </c:pt>
                <c:pt idx="67">
                  <c:v>0.10325454158680455</c:v>
                </c:pt>
                <c:pt idx="68">
                  <c:v>0.11660214209359787</c:v>
                </c:pt>
                <c:pt idx="69">
                  <c:v>0.13280003813078903</c:v>
                </c:pt>
                <c:pt idx="70">
                  <c:v>0.14760124977761502</c:v>
                </c:pt>
                <c:pt idx="71">
                  <c:v>0.16401688013162091</c:v>
                </c:pt>
                <c:pt idx="72">
                  <c:v>0.18167922272338838</c:v>
                </c:pt>
                <c:pt idx="73">
                  <c:v>0.2003756978597997</c:v>
                </c:pt>
                <c:pt idx="74">
                  <c:v>0.21996399093464802</c:v>
                </c:pt>
                <c:pt idx="75">
                  <c:v>0.23808218387961563</c:v>
                </c:pt>
                <c:pt idx="76">
                  <c:v>0.25727451530910989</c:v>
                </c:pt>
                <c:pt idx="77">
                  <c:v>0.27644963109377874</c:v>
                </c:pt>
                <c:pt idx="78">
                  <c:v>0.29796448337266901</c:v>
                </c:pt>
                <c:pt idx="79">
                  <c:v>0.32170178313783243</c:v>
                </c:pt>
                <c:pt idx="80">
                  <c:v>0.34859409180878309</c:v>
                </c:pt>
                <c:pt idx="81">
                  <c:v>0.3792126137216173</c:v>
                </c:pt>
                <c:pt idx="82">
                  <c:v>0.41243510057063637</c:v>
                </c:pt>
                <c:pt idx="83">
                  <c:v>0.4485456209280842</c:v>
                </c:pt>
                <c:pt idx="84">
                  <c:v>0.488055620149629</c:v>
                </c:pt>
                <c:pt idx="85">
                  <c:v>0.52708168711432335</c:v>
                </c:pt>
                <c:pt idx="86">
                  <c:v>0.56853926138161448</c:v>
                </c:pt>
                <c:pt idx="87">
                  <c:v>0.61262603120710057</c:v>
                </c:pt>
                <c:pt idx="88">
                  <c:v>0.66217961058568831</c:v>
                </c:pt>
                <c:pt idx="89">
                  <c:v>0.70947158747740691</c:v>
                </c:pt>
                <c:pt idx="90">
                  <c:v>0.75281949161893291</c:v>
                </c:pt>
                <c:pt idx="91">
                  <c:v>0.8028283888332779</c:v>
                </c:pt>
                <c:pt idx="92">
                  <c:v>0.85197749626645847</c:v>
                </c:pt>
                <c:pt idx="93">
                  <c:v>0.90499716273436404</c:v>
                </c:pt>
                <c:pt idx="94">
                  <c:v>0.95866062101821314</c:v>
                </c:pt>
                <c:pt idx="95">
                  <c:v>1.0080710756746205</c:v>
                </c:pt>
                <c:pt idx="96">
                  <c:v>1.0566875858327174</c:v>
                </c:pt>
                <c:pt idx="97">
                  <c:v>1.1107821818502435</c:v>
                </c:pt>
                <c:pt idx="98">
                  <c:v>1.1733853207040035</c:v>
                </c:pt>
                <c:pt idx="99">
                  <c:v>1.2379405233536072</c:v>
                </c:pt>
                <c:pt idx="100">
                  <c:v>1.2870687845886297</c:v>
                </c:pt>
                <c:pt idx="101">
                  <c:v>1.3492267406745562</c:v>
                </c:pt>
                <c:pt idx="102">
                  <c:v>1.3909608175933532</c:v>
                </c:pt>
                <c:pt idx="103">
                  <c:v>1.4325580012419543</c:v>
                </c:pt>
                <c:pt idx="104">
                  <c:v>1.4796893538178433</c:v>
                </c:pt>
                <c:pt idx="105">
                  <c:v>1.5235732653418936</c:v>
                </c:pt>
                <c:pt idx="106">
                  <c:v>1.5666818731996865</c:v>
                </c:pt>
                <c:pt idx="107">
                  <c:v>1.6107291569021462</c:v>
                </c:pt>
                <c:pt idx="108">
                  <c:v>1.6539703162439658</c:v>
                </c:pt>
                <c:pt idx="109">
                  <c:v>1.6975631493792804</c:v>
                </c:pt>
                <c:pt idx="110">
                  <c:v>1.7429486938676155</c:v>
                </c:pt>
                <c:pt idx="111">
                  <c:v>1.7827612763947784</c:v>
                </c:pt>
                <c:pt idx="112">
                  <c:v>1.8145542795891301</c:v>
                </c:pt>
                <c:pt idx="113">
                  <c:v>1.843858563875209</c:v>
                </c:pt>
                <c:pt idx="114">
                  <c:v>1.8714436523381042</c:v>
                </c:pt>
                <c:pt idx="115">
                  <c:v>1.89970081863716</c:v>
                </c:pt>
                <c:pt idx="116">
                  <c:v>1.9313884505095029</c:v>
                </c:pt>
                <c:pt idx="117">
                  <c:v>1.9672454227109404</c:v>
                </c:pt>
                <c:pt idx="118">
                  <c:v>2.0041400473338156</c:v>
                </c:pt>
                <c:pt idx="119">
                  <c:v>2.0350921936925426</c:v>
                </c:pt>
                <c:pt idx="120">
                  <c:v>2.0665136448613599</c:v>
                </c:pt>
                <c:pt idx="121">
                  <c:v>2.1007628253401487</c:v>
                </c:pt>
                <c:pt idx="122">
                  <c:v>2.1374361005150173</c:v>
                </c:pt>
                <c:pt idx="123">
                  <c:v>2.1804646239182652</c:v>
                </c:pt>
                <c:pt idx="124">
                  <c:v>2.2262096267523557</c:v>
                </c:pt>
                <c:pt idx="125">
                  <c:v>2.2727147832675327</c:v>
                </c:pt>
                <c:pt idx="126">
                  <c:v>2.3166241912187222</c:v>
                </c:pt>
                <c:pt idx="127">
                  <c:v>2.3536578536965207</c:v>
                </c:pt>
                <c:pt idx="128">
                  <c:v>2.3943044655869494</c:v>
                </c:pt>
                <c:pt idx="129">
                  <c:v>2.4316577972877735</c:v>
                </c:pt>
                <c:pt idx="130">
                  <c:v>2.464653013493983</c:v>
                </c:pt>
                <c:pt idx="131">
                  <c:v>2.4973243647477408</c:v>
                </c:pt>
                <c:pt idx="132">
                  <c:v>2.5287419866897674</c:v>
                </c:pt>
                <c:pt idx="133">
                  <c:v>2.5583788049856806</c:v>
                </c:pt>
                <c:pt idx="134">
                  <c:v>2.5861268646513298</c:v>
                </c:pt>
                <c:pt idx="135">
                  <c:v>2.6091475846328747</c:v>
                </c:pt>
                <c:pt idx="136">
                  <c:v>2.6332968424319261</c:v>
                </c:pt>
                <c:pt idx="137">
                  <c:v>2.6566777147555531</c:v>
                </c:pt>
                <c:pt idx="138">
                  <c:v>2.6790534263864174</c:v>
                </c:pt>
                <c:pt idx="139">
                  <c:v>2.6974710909933424</c:v>
                </c:pt>
                <c:pt idx="140">
                  <c:v>2.7159105280340454</c:v>
                </c:pt>
                <c:pt idx="141">
                  <c:v>2.7352299342732866</c:v>
                </c:pt>
                <c:pt idx="142">
                  <c:v>2.7549893251117967</c:v>
                </c:pt>
                <c:pt idx="143">
                  <c:v>2.7744157791504476</c:v>
                </c:pt>
                <c:pt idx="144">
                  <c:v>2.7959251293538849</c:v>
                </c:pt>
                <c:pt idx="145">
                  <c:v>2.8192288909745473</c:v>
                </c:pt>
                <c:pt idx="146">
                  <c:v>2.8441084324899109</c:v>
                </c:pt>
                <c:pt idx="147">
                  <c:v>2.8695540572835094</c:v>
                </c:pt>
                <c:pt idx="148">
                  <c:v>2.8957798609541623</c:v>
                </c:pt>
                <c:pt idx="149">
                  <c:v>2.9227368555258684</c:v>
                </c:pt>
                <c:pt idx="150">
                  <c:v>2.9529470145779424</c:v>
                </c:pt>
                <c:pt idx="151">
                  <c:v>2.9936823309923226</c:v>
                </c:pt>
                <c:pt idx="152">
                  <c:v>3.0399433096626765</c:v>
                </c:pt>
                <c:pt idx="153">
                  <c:v>3.0983070399595198</c:v>
                </c:pt>
                <c:pt idx="154">
                  <c:v>3.16764951998905</c:v>
                </c:pt>
                <c:pt idx="155">
                  <c:v>3.2510243335886675</c:v>
                </c:pt>
                <c:pt idx="156">
                  <c:v>3.3516619656202211</c:v>
                </c:pt>
                <c:pt idx="157">
                  <c:v>3.4751134795124266</c:v>
                </c:pt>
                <c:pt idx="158">
                  <c:v>3.6238355315432633</c:v>
                </c:pt>
                <c:pt idx="159">
                  <c:v>3.789837638516111</c:v>
                </c:pt>
                <c:pt idx="160">
                  <c:v>3.9907155556627654</c:v>
                </c:pt>
                <c:pt idx="161">
                  <c:v>4.2184298118106041</c:v>
                </c:pt>
                <c:pt idx="162">
                  <c:v>4.4632916739283033</c:v>
                </c:pt>
                <c:pt idx="163">
                  <c:v>4.7117269367398587</c:v>
                </c:pt>
                <c:pt idx="164">
                  <c:v>4.9609269562878753</c:v>
                </c:pt>
                <c:pt idx="165">
                  <c:v>5.2406129190491573</c:v>
                </c:pt>
                <c:pt idx="166">
                  <c:v>5.5353644988002531</c:v>
                </c:pt>
                <c:pt idx="167">
                  <c:v>5.8310042124125534</c:v>
                </c:pt>
                <c:pt idx="168">
                  <c:v>6.1365739701972215</c:v>
                </c:pt>
                <c:pt idx="169">
                  <c:v>6.4728673535972341</c:v>
                </c:pt>
                <c:pt idx="170">
                  <c:v>6.8191524697319856</c:v>
                </c:pt>
                <c:pt idx="171">
                  <c:v>7.1809903610623396</c:v>
                </c:pt>
                <c:pt idx="172">
                  <c:v>7.5481189538008104</c:v>
                </c:pt>
                <c:pt idx="173">
                  <c:v>7.9191302972297368</c:v>
                </c:pt>
                <c:pt idx="174">
                  <c:v>8.3084985238879572</c:v>
                </c:pt>
                <c:pt idx="175">
                  <c:v>8.7323497497272342</c:v>
                </c:pt>
                <c:pt idx="176">
                  <c:v>9.1757163935839507</c:v>
                </c:pt>
                <c:pt idx="177">
                  <c:v>9.6294791858753594</c:v>
                </c:pt>
                <c:pt idx="178">
                  <c:v>10.092653701430317</c:v>
                </c:pt>
                <c:pt idx="179">
                  <c:v>10.588847070797089</c:v>
                </c:pt>
                <c:pt idx="180">
                  <c:v>11.106701868095685</c:v>
                </c:pt>
                <c:pt idx="181">
                  <c:v>11.620253992495098</c:v>
                </c:pt>
                <c:pt idx="182">
                  <c:v>12.163576953592177</c:v>
                </c:pt>
                <c:pt idx="183">
                  <c:v>12.70912881316622</c:v>
                </c:pt>
                <c:pt idx="184">
                  <c:v>13.255712922876571</c:v>
                </c:pt>
                <c:pt idx="185">
                  <c:v>13.824792659525558</c:v>
                </c:pt>
                <c:pt idx="186">
                  <c:v>14.403301698864</c:v>
                </c:pt>
                <c:pt idx="187">
                  <c:v>15.012886109278877</c:v>
                </c:pt>
                <c:pt idx="188">
                  <c:v>15.619315487201163</c:v>
                </c:pt>
                <c:pt idx="189">
                  <c:v>16.234712210292031</c:v>
                </c:pt>
                <c:pt idx="190">
                  <c:v>16.802713588427306</c:v>
                </c:pt>
              </c:numCache>
            </c:numRef>
          </c:yVal>
          <c:smooth val="1"/>
          <c:extLst>
            <c:ext xmlns:c16="http://schemas.microsoft.com/office/drawing/2014/chart" uri="{C3380CC4-5D6E-409C-BE32-E72D297353CC}">
              <c16:uniqueId val="{00000002-B251-B54C-BFCF-B761C344BCDE}"/>
            </c:ext>
          </c:extLst>
        </c:ser>
        <c:ser>
          <c:idx val="2"/>
          <c:order val="3"/>
          <c:tx>
            <c:strRef>
              <c:f>'Western United States'!$J$12</c:f>
              <c:strCache>
                <c:ptCount val="1"/>
                <c:pt idx="0">
                  <c:v>q l</c:v>
                </c:pt>
              </c:strCache>
            </c:strRef>
          </c:tx>
          <c:spPr>
            <a:ln w="15875">
              <a:solidFill>
                <a:srgbClr val="808080"/>
              </a:solidFill>
              <a:prstDash val="dash"/>
            </a:ln>
          </c:spPr>
          <c:marker>
            <c:symbol val="none"/>
          </c:marker>
          <c:xVal>
            <c:numRef>
              <c:f>'Western United States'!$D$14:$D$300</c:f>
              <c:numCache>
                <c:formatCode>General</c:formatCode>
                <c:ptCount val="287"/>
                <c:pt idx="0">
                  <c:v>1819</c:v>
                </c:pt>
                <c:pt idx="1">
                  <c:v>1820</c:v>
                </c:pt>
                <c:pt idx="2">
                  <c:v>1821</c:v>
                </c:pt>
                <c:pt idx="3">
                  <c:v>1822</c:v>
                </c:pt>
                <c:pt idx="4">
                  <c:v>1823</c:v>
                </c:pt>
                <c:pt idx="5">
                  <c:v>1824</c:v>
                </c:pt>
                <c:pt idx="6">
                  <c:v>1825</c:v>
                </c:pt>
                <c:pt idx="7">
                  <c:v>1826</c:v>
                </c:pt>
                <c:pt idx="8">
                  <c:v>1827</c:v>
                </c:pt>
                <c:pt idx="9">
                  <c:v>1828</c:v>
                </c:pt>
                <c:pt idx="10">
                  <c:v>1829</c:v>
                </c:pt>
                <c:pt idx="11">
                  <c:v>1830</c:v>
                </c:pt>
                <c:pt idx="12">
                  <c:v>1831</c:v>
                </c:pt>
                <c:pt idx="13">
                  <c:v>1832</c:v>
                </c:pt>
                <c:pt idx="14">
                  <c:v>1833</c:v>
                </c:pt>
                <c:pt idx="15">
                  <c:v>1834</c:v>
                </c:pt>
                <c:pt idx="16">
                  <c:v>1835</c:v>
                </c:pt>
                <c:pt idx="17">
                  <c:v>1836</c:v>
                </c:pt>
                <c:pt idx="18">
                  <c:v>1837</c:v>
                </c:pt>
                <c:pt idx="19">
                  <c:v>1838</c:v>
                </c:pt>
                <c:pt idx="20">
                  <c:v>1839</c:v>
                </c:pt>
                <c:pt idx="21">
                  <c:v>1840</c:v>
                </c:pt>
                <c:pt idx="22">
                  <c:v>1841</c:v>
                </c:pt>
                <c:pt idx="23">
                  <c:v>1842</c:v>
                </c:pt>
                <c:pt idx="24">
                  <c:v>1843</c:v>
                </c:pt>
                <c:pt idx="25">
                  <c:v>1844</c:v>
                </c:pt>
                <c:pt idx="26">
                  <c:v>1845</c:v>
                </c:pt>
                <c:pt idx="27">
                  <c:v>1846</c:v>
                </c:pt>
                <c:pt idx="28">
                  <c:v>1847</c:v>
                </c:pt>
                <c:pt idx="29">
                  <c:v>1848</c:v>
                </c:pt>
                <c:pt idx="30">
                  <c:v>1849</c:v>
                </c:pt>
                <c:pt idx="31">
                  <c:v>1850</c:v>
                </c:pt>
                <c:pt idx="32">
                  <c:v>1851</c:v>
                </c:pt>
                <c:pt idx="33">
                  <c:v>1852</c:v>
                </c:pt>
                <c:pt idx="34">
                  <c:v>1853</c:v>
                </c:pt>
                <c:pt idx="35">
                  <c:v>1854</c:v>
                </c:pt>
                <c:pt idx="36">
                  <c:v>1855</c:v>
                </c:pt>
                <c:pt idx="37">
                  <c:v>1856</c:v>
                </c:pt>
                <c:pt idx="38">
                  <c:v>1857</c:v>
                </c:pt>
                <c:pt idx="39">
                  <c:v>1858</c:v>
                </c:pt>
                <c:pt idx="40">
                  <c:v>1859</c:v>
                </c:pt>
                <c:pt idx="41">
                  <c:v>1860</c:v>
                </c:pt>
                <c:pt idx="42">
                  <c:v>1861</c:v>
                </c:pt>
                <c:pt idx="43">
                  <c:v>1862</c:v>
                </c:pt>
                <c:pt idx="44">
                  <c:v>1863</c:v>
                </c:pt>
                <c:pt idx="45">
                  <c:v>1864</c:v>
                </c:pt>
                <c:pt idx="46">
                  <c:v>1865</c:v>
                </c:pt>
                <c:pt idx="47">
                  <c:v>1866</c:v>
                </c:pt>
                <c:pt idx="48">
                  <c:v>1867</c:v>
                </c:pt>
                <c:pt idx="49">
                  <c:v>1868</c:v>
                </c:pt>
                <c:pt idx="50">
                  <c:v>1869</c:v>
                </c:pt>
                <c:pt idx="51">
                  <c:v>1870</c:v>
                </c:pt>
                <c:pt idx="52">
                  <c:v>1871</c:v>
                </c:pt>
                <c:pt idx="53">
                  <c:v>1872</c:v>
                </c:pt>
                <c:pt idx="54">
                  <c:v>1873</c:v>
                </c:pt>
                <c:pt idx="55">
                  <c:v>1874</c:v>
                </c:pt>
                <c:pt idx="56">
                  <c:v>1875</c:v>
                </c:pt>
                <c:pt idx="57">
                  <c:v>1876</c:v>
                </c:pt>
                <c:pt idx="58">
                  <c:v>1877</c:v>
                </c:pt>
                <c:pt idx="59">
                  <c:v>1878</c:v>
                </c:pt>
                <c:pt idx="60">
                  <c:v>1879</c:v>
                </c:pt>
                <c:pt idx="61">
                  <c:v>1880</c:v>
                </c:pt>
                <c:pt idx="62">
                  <c:v>1881</c:v>
                </c:pt>
                <c:pt idx="63">
                  <c:v>1882</c:v>
                </c:pt>
                <c:pt idx="64">
                  <c:v>1883</c:v>
                </c:pt>
                <c:pt idx="65">
                  <c:v>1884</c:v>
                </c:pt>
                <c:pt idx="66">
                  <c:v>1885</c:v>
                </c:pt>
                <c:pt idx="67">
                  <c:v>1886</c:v>
                </c:pt>
                <c:pt idx="68">
                  <c:v>1887</c:v>
                </c:pt>
                <c:pt idx="69">
                  <c:v>1888</c:v>
                </c:pt>
                <c:pt idx="70">
                  <c:v>1889</c:v>
                </c:pt>
                <c:pt idx="71">
                  <c:v>1890</c:v>
                </c:pt>
                <c:pt idx="72">
                  <c:v>1891</c:v>
                </c:pt>
                <c:pt idx="73">
                  <c:v>1892</c:v>
                </c:pt>
                <c:pt idx="74">
                  <c:v>1893</c:v>
                </c:pt>
                <c:pt idx="75">
                  <c:v>1894</c:v>
                </c:pt>
                <c:pt idx="76">
                  <c:v>1895</c:v>
                </c:pt>
                <c:pt idx="77">
                  <c:v>1896</c:v>
                </c:pt>
                <c:pt idx="78">
                  <c:v>1897</c:v>
                </c:pt>
                <c:pt idx="79">
                  <c:v>1898</c:v>
                </c:pt>
                <c:pt idx="80">
                  <c:v>1899</c:v>
                </c:pt>
                <c:pt idx="81">
                  <c:v>1900</c:v>
                </c:pt>
                <c:pt idx="82">
                  <c:v>1901</c:v>
                </c:pt>
                <c:pt idx="83">
                  <c:v>1902</c:v>
                </c:pt>
                <c:pt idx="84">
                  <c:v>1903</c:v>
                </c:pt>
                <c:pt idx="85">
                  <c:v>1904</c:v>
                </c:pt>
                <c:pt idx="86">
                  <c:v>1905</c:v>
                </c:pt>
                <c:pt idx="87">
                  <c:v>1906</c:v>
                </c:pt>
                <c:pt idx="88">
                  <c:v>1907</c:v>
                </c:pt>
                <c:pt idx="89">
                  <c:v>1908</c:v>
                </c:pt>
                <c:pt idx="90">
                  <c:v>1909</c:v>
                </c:pt>
                <c:pt idx="91">
                  <c:v>1910</c:v>
                </c:pt>
                <c:pt idx="92">
                  <c:v>1911</c:v>
                </c:pt>
                <c:pt idx="93">
                  <c:v>1912</c:v>
                </c:pt>
                <c:pt idx="94">
                  <c:v>1913</c:v>
                </c:pt>
                <c:pt idx="95">
                  <c:v>1914</c:v>
                </c:pt>
                <c:pt idx="96">
                  <c:v>1915</c:v>
                </c:pt>
                <c:pt idx="97">
                  <c:v>1916</c:v>
                </c:pt>
                <c:pt idx="98">
                  <c:v>1917</c:v>
                </c:pt>
                <c:pt idx="99">
                  <c:v>1918</c:v>
                </c:pt>
                <c:pt idx="100">
                  <c:v>1919</c:v>
                </c:pt>
                <c:pt idx="101">
                  <c:v>1920</c:v>
                </c:pt>
                <c:pt idx="102">
                  <c:v>1921</c:v>
                </c:pt>
                <c:pt idx="103">
                  <c:v>1922</c:v>
                </c:pt>
                <c:pt idx="104">
                  <c:v>1923</c:v>
                </c:pt>
                <c:pt idx="105">
                  <c:v>1924</c:v>
                </c:pt>
                <c:pt idx="106">
                  <c:v>1925</c:v>
                </c:pt>
                <c:pt idx="107">
                  <c:v>1926</c:v>
                </c:pt>
                <c:pt idx="108">
                  <c:v>1927</c:v>
                </c:pt>
                <c:pt idx="109">
                  <c:v>1928</c:v>
                </c:pt>
                <c:pt idx="110">
                  <c:v>1929</c:v>
                </c:pt>
                <c:pt idx="111">
                  <c:v>1930</c:v>
                </c:pt>
                <c:pt idx="112">
                  <c:v>1931</c:v>
                </c:pt>
                <c:pt idx="113">
                  <c:v>1932</c:v>
                </c:pt>
                <c:pt idx="114">
                  <c:v>1933</c:v>
                </c:pt>
                <c:pt idx="115">
                  <c:v>1934</c:v>
                </c:pt>
                <c:pt idx="116">
                  <c:v>1935</c:v>
                </c:pt>
                <c:pt idx="117">
                  <c:v>1936</c:v>
                </c:pt>
                <c:pt idx="118">
                  <c:v>1937</c:v>
                </c:pt>
                <c:pt idx="119">
                  <c:v>1938</c:v>
                </c:pt>
                <c:pt idx="120">
                  <c:v>1939</c:v>
                </c:pt>
                <c:pt idx="121">
                  <c:v>1940</c:v>
                </c:pt>
                <c:pt idx="122">
                  <c:v>1941</c:v>
                </c:pt>
                <c:pt idx="123">
                  <c:v>1942</c:v>
                </c:pt>
                <c:pt idx="124">
                  <c:v>1943</c:v>
                </c:pt>
                <c:pt idx="125">
                  <c:v>1944</c:v>
                </c:pt>
                <c:pt idx="126">
                  <c:v>1945</c:v>
                </c:pt>
                <c:pt idx="127">
                  <c:v>1946</c:v>
                </c:pt>
                <c:pt idx="128">
                  <c:v>1947</c:v>
                </c:pt>
                <c:pt idx="129">
                  <c:v>1948</c:v>
                </c:pt>
                <c:pt idx="130">
                  <c:v>1949</c:v>
                </c:pt>
                <c:pt idx="131">
                  <c:v>1950</c:v>
                </c:pt>
                <c:pt idx="132">
                  <c:v>1951</c:v>
                </c:pt>
                <c:pt idx="133">
                  <c:v>1952</c:v>
                </c:pt>
                <c:pt idx="134">
                  <c:v>1953</c:v>
                </c:pt>
                <c:pt idx="135">
                  <c:v>1954</c:v>
                </c:pt>
                <c:pt idx="136">
                  <c:v>1955</c:v>
                </c:pt>
                <c:pt idx="137">
                  <c:v>1956</c:v>
                </c:pt>
                <c:pt idx="138">
                  <c:v>1957</c:v>
                </c:pt>
                <c:pt idx="139">
                  <c:v>1958</c:v>
                </c:pt>
                <c:pt idx="140">
                  <c:v>1959</c:v>
                </c:pt>
                <c:pt idx="141">
                  <c:v>1960</c:v>
                </c:pt>
                <c:pt idx="142">
                  <c:v>1961</c:v>
                </c:pt>
                <c:pt idx="143">
                  <c:v>1962</c:v>
                </c:pt>
                <c:pt idx="144">
                  <c:v>1963</c:v>
                </c:pt>
                <c:pt idx="145">
                  <c:v>1964</c:v>
                </c:pt>
                <c:pt idx="146">
                  <c:v>1965</c:v>
                </c:pt>
                <c:pt idx="147">
                  <c:v>1966</c:v>
                </c:pt>
                <c:pt idx="148">
                  <c:v>1967</c:v>
                </c:pt>
                <c:pt idx="149">
                  <c:v>1968</c:v>
                </c:pt>
                <c:pt idx="150">
                  <c:v>1969</c:v>
                </c:pt>
                <c:pt idx="151">
                  <c:v>1970</c:v>
                </c:pt>
                <c:pt idx="152">
                  <c:v>1971</c:v>
                </c:pt>
                <c:pt idx="153">
                  <c:v>1972</c:v>
                </c:pt>
                <c:pt idx="154">
                  <c:v>1973</c:v>
                </c:pt>
                <c:pt idx="155">
                  <c:v>1974</c:v>
                </c:pt>
                <c:pt idx="156">
                  <c:v>1975</c:v>
                </c:pt>
                <c:pt idx="157">
                  <c:v>1976</c:v>
                </c:pt>
                <c:pt idx="158">
                  <c:v>1977</c:v>
                </c:pt>
                <c:pt idx="159">
                  <c:v>1978</c:v>
                </c:pt>
                <c:pt idx="160">
                  <c:v>1979</c:v>
                </c:pt>
                <c:pt idx="161">
                  <c:v>1980</c:v>
                </c:pt>
                <c:pt idx="162">
                  <c:v>1981</c:v>
                </c:pt>
                <c:pt idx="163">
                  <c:v>1982</c:v>
                </c:pt>
                <c:pt idx="164">
                  <c:v>1983</c:v>
                </c:pt>
                <c:pt idx="165">
                  <c:v>1984</c:v>
                </c:pt>
                <c:pt idx="166">
                  <c:v>1985</c:v>
                </c:pt>
                <c:pt idx="167">
                  <c:v>1986</c:v>
                </c:pt>
                <c:pt idx="168">
                  <c:v>1987</c:v>
                </c:pt>
                <c:pt idx="169">
                  <c:v>1988</c:v>
                </c:pt>
                <c:pt idx="170">
                  <c:v>1989</c:v>
                </c:pt>
                <c:pt idx="171">
                  <c:v>1990</c:v>
                </c:pt>
                <c:pt idx="172">
                  <c:v>1991</c:v>
                </c:pt>
                <c:pt idx="173">
                  <c:v>1992</c:v>
                </c:pt>
                <c:pt idx="174">
                  <c:v>1993</c:v>
                </c:pt>
                <c:pt idx="175">
                  <c:v>1994</c:v>
                </c:pt>
                <c:pt idx="176">
                  <c:v>1995</c:v>
                </c:pt>
                <c:pt idx="177">
                  <c:v>1996</c:v>
                </c:pt>
                <c:pt idx="178">
                  <c:v>1997</c:v>
                </c:pt>
                <c:pt idx="179">
                  <c:v>1998</c:v>
                </c:pt>
                <c:pt idx="180">
                  <c:v>1999</c:v>
                </c:pt>
                <c:pt idx="181">
                  <c:v>2000</c:v>
                </c:pt>
                <c:pt idx="182">
                  <c:v>2001</c:v>
                </c:pt>
                <c:pt idx="183">
                  <c:v>2002</c:v>
                </c:pt>
                <c:pt idx="184">
                  <c:v>2003</c:v>
                </c:pt>
                <c:pt idx="185">
                  <c:v>2004</c:v>
                </c:pt>
                <c:pt idx="186">
                  <c:v>2005</c:v>
                </c:pt>
                <c:pt idx="187">
                  <c:v>2006</c:v>
                </c:pt>
                <c:pt idx="188">
                  <c:v>2007</c:v>
                </c:pt>
                <c:pt idx="189">
                  <c:v>2008</c:v>
                </c:pt>
                <c:pt idx="190">
                  <c:v>2009</c:v>
                </c:pt>
                <c:pt idx="191">
                  <c:v>2010</c:v>
                </c:pt>
                <c:pt idx="192">
                  <c:v>2011</c:v>
                </c:pt>
                <c:pt idx="193">
                  <c:v>2012</c:v>
                </c:pt>
                <c:pt idx="194">
                  <c:v>2013</c:v>
                </c:pt>
                <c:pt idx="195">
                  <c:v>2014</c:v>
                </c:pt>
                <c:pt idx="196">
                  <c:v>2015</c:v>
                </c:pt>
                <c:pt idx="197">
                  <c:v>2016</c:v>
                </c:pt>
                <c:pt idx="198">
                  <c:v>2017</c:v>
                </c:pt>
                <c:pt idx="199">
                  <c:v>2018</c:v>
                </c:pt>
                <c:pt idx="200">
                  <c:v>2019</c:v>
                </c:pt>
                <c:pt idx="201">
                  <c:v>2020</c:v>
                </c:pt>
                <c:pt idx="202">
                  <c:v>2021</c:v>
                </c:pt>
                <c:pt idx="203">
                  <c:v>2022</c:v>
                </c:pt>
                <c:pt idx="204">
                  <c:v>2023</c:v>
                </c:pt>
                <c:pt idx="205">
                  <c:v>2024</c:v>
                </c:pt>
                <c:pt idx="206">
                  <c:v>2025</c:v>
                </c:pt>
                <c:pt idx="207">
                  <c:v>2026</c:v>
                </c:pt>
                <c:pt idx="208">
                  <c:v>2027</c:v>
                </c:pt>
                <c:pt idx="209">
                  <c:v>2028</c:v>
                </c:pt>
                <c:pt idx="210">
                  <c:v>2029</c:v>
                </c:pt>
                <c:pt idx="211">
                  <c:v>2030</c:v>
                </c:pt>
                <c:pt idx="212">
                  <c:v>2031</c:v>
                </c:pt>
                <c:pt idx="213">
                  <c:v>2032</c:v>
                </c:pt>
                <c:pt idx="214">
                  <c:v>2033</c:v>
                </c:pt>
                <c:pt idx="215">
                  <c:v>2034</c:v>
                </c:pt>
                <c:pt idx="216">
                  <c:v>2035</c:v>
                </c:pt>
                <c:pt idx="217">
                  <c:v>2036</c:v>
                </c:pt>
                <c:pt idx="218">
                  <c:v>2037</c:v>
                </c:pt>
                <c:pt idx="219">
                  <c:v>2038</c:v>
                </c:pt>
                <c:pt idx="220">
                  <c:v>2039</c:v>
                </c:pt>
                <c:pt idx="221">
                  <c:v>2040</c:v>
                </c:pt>
                <c:pt idx="222">
                  <c:v>2041</c:v>
                </c:pt>
                <c:pt idx="223">
                  <c:v>2042</c:v>
                </c:pt>
                <c:pt idx="224">
                  <c:v>2043</c:v>
                </c:pt>
                <c:pt idx="225">
                  <c:v>2044</c:v>
                </c:pt>
                <c:pt idx="226">
                  <c:v>2045</c:v>
                </c:pt>
                <c:pt idx="227">
                  <c:v>2046</c:v>
                </c:pt>
                <c:pt idx="228">
                  <c:v>2047</c:v>
                </c:pt>
                <c:pt idx="229">
                  <c:v>2048</c:v>
                </c:pt>
                <c:pt idx="230">
                  <c:v>2049</c:v>
                </c:pt>
                <c:pt idx="231">
                  <c:v>2050</c:v>
                </c:pt>
                <c:pt idx="232">
                  <c:v>2051</c:v>
                </c:pt>
                <c:pt idx="233">
                  <c:v>2052</c:v>
                </c:pt>
                <c:pt idx="234">
                  <c:v>2053</c:v>
                </c:pt>
                <c:pt idx="235">
                  <c:v>2054</c:v>
                </c:pt>
                <c:pt idx="236">
                  <c:v>2055</c:v>
                </c:pt>
                <c:pt idx="237">
                  <c:v>2056</c:v>
                </c:pt>
                <c:pt idx="238">
                  <c:v>2057</c:v>
                </c:pt>
                <c:pt idx="239">
                  <c:v>2058</c:v>
                </c:pt>
                <c:pt idx="240">
                  <c:v>2059</c:v>
                </c:pt>
                <c:pt idx="241">
                  <c:v>2060</c:v>
                </c:pt>
                <c:pt idx="242">
                  <c:v>2061</c:v>
                </c:pt>
                <c:pt idx="243">
                  <c:v>2062</c:v>
                </c:pt>
                <c:pt idx="244">
                  <c:v>2063</c:v>
                </c:pt>
                <c:pt idx="245">
                  <c:v>2064</c:v>
                </c:pt>
                <c:pt idx="246">
                  <c:v>2065</c:v>
                </c:pt>
                <c:pt idx="247">
                  <c:v>2066</c:v>
                </c:pt>
                <c:pt idx="248">
                  <c:v>2067</c:v>
                </c:pt>
                <c:pt idx="249">
                  <c:v>2068</c:v>
                </c:pt>
                <c:pt idx="250">
                  <c:v>2069</c:v>
                </c:pt>
                <c:pt idx="251">
                  <c:v>2070</c:v>
                </c:pt>
                <c:pt idx="252">
                  <c:v>2071</c:v>
                </c:pt>
                <c:pt idx="253">
                  <c:v>2072</c:v>
                </c:pt>
                <c:pt idx="254">
                  <c:v>2073</c:v>
                </c:pt>
                <c:pt idx="255">
                  <c:v>2074</c:v>
                </c:pt>
                <c:pt idx="256">
                  <c:v>2075</c:v>
                </c:pt>
                <c:pt idx="257">
                  <c:v>2076</c:v>
                </c:pt>
                <c:pt idx="258">
                  <c:v>2077</c:v>
                </c:pt>
                <c:pt idx="259">
                  <c:v>2078</c:v>
                </c:pt>
                <c:pt idx="260">
                  <c:v>2079</c:v>
                </c:pt>
                <c:pt idx="261">
                  <c:v>2080</c:v>
                </c:pt>
                <c:pt idx="262">
                  <c:v>2081</c:v>
                </c:pt>
                <c:pt idx="263">
                  <c:v>2082</c:v>
                </c:pt>
                <c:pt idx="264">
                  <c:v>2083</c:v>
                </c:pt>
                <c:pt idx="265">
                  <c:v>2084</c:v>
                </c:pt>
                <c:pt idx="266">
                  <c:v>2085</c:v>
                </c:pt>
                <c:pt idx="267">
                  <c:v>2086</c:v>
                </c:pt>
                <c:pt idx="268">
                  <c:v>2087</c:v>
                </c:pt>
                <c:pt idx="269">
                  <c:v>2088</c:v>
                </c:pt>
                <c:pt idx="270">
                  <c:v>2089</c:v>
                </c:pt>
                <c:pt idx="271">
                  <c:v>2090</c:v>
                </c:pt>
                <c:pt idx="272">
                  <c:v>2091</c:v>
                </c:pt>
                <c:pt idx="273">
                  <c:v>2092</c:v>
                </c:pt>
                <c:pt idx="274">
                  <c:v>2093</c:v>
                </c:pt>
                <c:pt idx="275">
                  <c:v>2094</c:v>
                </c:pt>
                <c:pt idx="276">
                  <c:v>2095</c:v>
                </c:pt>
                <c:pt idx="277">
                  <c:v>2096</c:v>
                </c:pt>
                <c:pt idx="278">
                  <c:v>2097</c:v>
                </c:pt>
                <c:pt idx="279">
                  <c:v>2098</c:v>
                </c:pt>
                <c:pt idx="280">
                  <c:v>2099</c:v>
                </c:pt>
                <c:pt idx="281">
                  <c:v>2100</c:v>
                </c:pt>
                <c:pt idx="282">
                  <c:v>2101</c:v>
                </c:pt>
                <c:pt idx="283">
                  <c:v>2102</c:v>
                </c:pt>
                <c:pt idx="284">
                  <c:v>2103</c:v>
                </c:pt>
                <c:pt idx="285">
                  <c:v>2104</c:v>
                </c:pt>
                <c:pt idx="286">
                  <c:v>2105</c:v>
                </c:pt>
              </c:numCache>
            </c:numRef>
          </c:xVal>
          <c:yVal>
            <c:numRef>
              <c:f>'Western United States'!$J$14:$J$300</c:f>
              <c:numCache>
                <c:formatCode>0.0</c:formatCode>
                <c:ptCount val="287"/>
                <c:pt idx="159">
                  <c:v>3.7800769664867206</c:v>
                </c:pt>
                <c:pt idx="160">
                  <c:v>3.9949615701181811</c:v>
                </c:pt>
                <c:pt idx="161">
                  <c:v>4.2208182695766805</c:v>
                </c:pt>
                <c:pt idx="162">
                  <c:v>4.4580639604857852</c:v>
                </c:pt>
                <c:pt idx="163">
                  <c:v>4.7071148764654582</c:v>
                </c:pt>
                <c:pt idx="164">
                  <c:v>4.9683843689697404</c:v>
                </c:pt>
                <c:pt idx="165">
                  <c:v>5.2422804524412472</c:v>
                </c:pt>
                <c:pt idx="166">
                  <c:v>5.5292031106383632</c:v>
                </c:pt>
                <c:pt idx="167">
                  <c:v>5.8295413629755046</c:v>
                </c:pt>
                <c:pt idx="168">
                  <c:v>6.1436700932434114</c:v>
                </c:pt>
                <c:pt idx="169">
                  <c:v>6.4719466471612535</c:v>
                </c:pt>
                <c:pt idx="170">
                  <c:v>6.8147072098571684</c:v>
                </c:pt>
                <c:pt idx="171">
                  <c:v>7.1722629795638859</c:v>
                </c:pt>
                <c:pt idx="172">
                  <c:v>7.5448961595149946</c:v>
                </c:pt>
                <c:pt idx="173">
                  <c:v>7.9328557961750459</c:v>
                </c:pt>
                <c:pt idx="174">
                  <c:v>8.3363534984462468</c:v>
                </c:pt>
                <c:pt idx="175">
                  <c:v>8.7555590792491937</c:v>
                </c:pt>
                <c:pt idx="176">
                  <c:v>9.1905961677279091</c:v>
                </c:pt>
                <c:pt idx="177">
                  <c:v>9.6415378471017199</c:v>
                </c:pt>
                <c:pt idx="178">
                  <c:v>10.108402379669947</c:v>
                </c:pt>
                <c:pt idx="179">
                  <c:v>10.591149086434369</c:v>
                </c:pt>
                <c:pt idx="180">
                  <c:v>11.089674453981614</c:v>
                </c:pt>
                <c:pt idx="181">
                  <c:v>11.603808545390226</c:v>
                </c:pt>
                <c:pt idx="182">
                  <c:v>12.13331179471758</c:v>
                </c:pt>
                <c:pt idx="183">
                  <c:v>12.67787226580765</c:v>
                </c:pt>
                <c:pt idx="184">
                  <c:v>13.237103455489251</c:v>
                </c:pt>
                <c:pt idx="185">
                  <c:v>13.810542718487207</c:v>
                </c:pt>
                <c:pt idx="186">
                  <c:v>14.397650386376323</c:v>
                </c:pt>
                <c:pt idx="187">
                  <c:v>14.997809645565953</c:v>
                </c:pt>
                <c:pt idx="188">
                  <c:v>15.610327229585112</c:v>
                </c:pt>
                <c:pt idx="189">
                  <c:v>16.234434968909845</c:v>
                </c:pt>
                <c:pt idx="190">
                  <c:v>16.869292227399239</c:v>
                </c:pt>
                <c:pt idx="191">
                  <c:v>17.513989238351087</c:v>
                </c:pt>
                <c:pt idx="192">
                  <c:v>18.167551335620569</c:v>
                </c:pt>
                <c:pt idx="193">
                  <c:v>18.828944056627204</c:v>
                </c:pt>
                <c:pt idx="194">
                  <c:v>19.497079074949063</c:v>
                </c:pt>
                <c:pt idx="195">
                  <c:v>20.170820901171425</c:v>
                </c:pt>
                <c:pt idx="196">
                  <c:v>20.848994272358176</c:v>
                </c:pt>
                <c:pt idx="197">
                  <c:v>21.530392133594525</c:v>
                </c:pt>
                <c:pt idx="198">
                  <c:v>22.213784100129949</c:v>
                </c:pt>
                <c:pt idx="199">
                  <c:v>22.897925276297066</c:v>
                </c:pt>
                <c:pt idx="200">
                  <c:v>23.581565298075628</c:v>
                </c:pt>
                <c:pt idx="201">
                  <c:v>24.263457460278932</c:v>
                </c:pt>
                <c:pt idx="202">
                  <c:v>24.942367787099236</c:v>
                </c:pt>
                <c:pt idx="203">
                  <c:v>25.617083906249327</c:v>
                </c:pt>
                <c:pt idx="204">
                  <c:v>26.286423592118641</c:v>
                </c:pt>
                <c:pt idx="205">
                  <c:v>26.949242852016479</c:v>
                </c:pt>
                <c:pt idx="206">
                  <c:v>27.604443441358288</c:v>
                </c:pt>
                <c:pt idx="207">
                  <c:v>28.25097970810388</c:v>
                </c:pt>
                <c:pt idx="208">
                  <c:v>28.887864683327244</c:v>
                </c:pt>
                <c:pt idx="209">
                  <c:v>29.514175352873931</c:v>
                </c:pt>
                <c:pt idx="210">
                  <c:v>30.12905706399955</c:v>
                </c:pt>
                <c:pt idx="211">
                  <c:v>30.731727040040091</c:v>
                </c:pt>
                <c:pt idx="212">
                  <c:v>31.321476994929078</c:v>
                </c:pt>
                <c:pt idx="213">
                  <c:v>31.897674857192186</c:v>
                </c:pt>
                <c:pt idx="214">
                  <c:v>32.459765629437996</c:v>
                </c:pt>
                <c:pt idx="215">
                  <c:v>33.007271423936544</c:v>
                </c:pt>
                <c:pt idx="216">
                  <c:v>33.539790727348063</c:v>
                </c:pt>
                <c:pt idx="217">
                  <c:v>34.056996957848909</c:v>
                </c:pt>
                <c:pt idx="218">
                  <c:v>34.558636385716134</c:v>
                </c:pt>
                <c:pt idx="219">
                  <c:v>35.044525493885004</c:v>
                </c:pt>
                <c:pt idx="220">
                  <c:v>35.514547858175192</c:v>
                </c:pt>
                <c:pt idx="221">
                  <c:v>35.968650627948499</c:v>
                </c:pt>
                <c:pt idx="222">
                  <c:v>36.406840687124848</c:v>
                </c:pt>
                <c:pt idx="223">
                  <c:v>36.829180572989905</c:v>
                </c:pt>
                <c:pt idx="224">
                  <c:v>37.23578422634759</c:v>
                </c:pt>
                <c:pt idx="225">
                  <c:v>37.626812641580784</c:v>
                </c:pt>
                <c:pt idx="226">
                  <c:v>38.002469479358737</c:v>
                </c:pt>
                <c:pt idx="227">
                  <c:v>38.362996698330718</c:v>
                </c:pt>
                <c:pt idx="228">
                  <c:v>38.708670255413224</c:v>
                </c:pt>
                <c:pt idx="229">
                  <c:v>39.039795917425792</c:v>
                </c:pt>
                <c:pt idx="230">
                  <c:v>39.356705220043814</c:v>
                </c:pt>
                <c:pt idx="231">
                  <c:v>39.659751603468195</c:v>
                </c:pt>
                <c:pt idx="232">
                  <c:v>39.949306747984238</c:v>
                </c:pt>
                <c:pt idx="233">
                  <c:v>40.225757126789048</c:v>
                </c:pt>
                <c:pt idx="234">
                  <c:v>40.48950078817137</c:v>
                </c:pt>
                <c:pt idx="235">
                  <c:v>40.740944374373683</c:v>
                </c:pt>
                <c:pt idx="236">
                  <c:v>40.980500380269383</c:v>
                </c:pt>
                <c:pt idx="237">
                  <c:v>41.208584651351842</c:v>
                </c:pt>
                <c:pt idx="238">
                  <c:v>41.425614117441619</c:v>
                </c:pt>
                <c:pt idx="239">
                  <c:v>41.632004755948948</c:v>
                </c:pt>
                <c:pt idx="240">
                  <c:v>41.828169776446956</c:v>
                </c:pt>
                <c:pt idx="241">
                  <c:v>42.014518016677677</c:v>
                </c:pt>
                <c:pt idx="242">
                  <c:v>42.1914525388841</c:v>
                </c:pt>
                <c:pt idx="243">
                  <c:v>42.359369414493898</c:v>
                </c:pt>
                <c:pt idx="244">
                  <c:v>42.518656684627622</c:v>
                </c:pt>
                <c:pt idx="245">
                  <c:v>42.669693483624073</c:v>
                </c:pt>
                <c:pt idx="246">
                  <c:v>42.812849312725263</c:v>
                </c:pt>
                <c:pt idx="247">
                  <c:v>42.948483451205426</c:v>
                </c:pt>
                <c:pt idx="248">
                  <c:v>43.076944492526074</c:v>
                </c:pt>
                <c:pt idx="249">
                  <c:v>43.198569993520714</c:v>
                </c:pt>
                <c:pt idx="250">
                  <c:v>43.313686225130148</c:v>
                </c:pt>
                <c:pt idx="251">
                  <c:v>43.422608013795745</c:v>
                </c:pt>
                <c:pt idx="252">
                  <c:v>43.525638663253972</c:v>
                </c:pt>
                <c:pt idx="253">
                  <c:v>43.623069947140358</c:v>
                </c:pt>
                <c:pt idx="254">
                  <c:v>43.715182163490759</c:v>
                </c:pt>
                <c:pt idx="255">
                  <c:v>43.802244242908159</c:v>
                </c:pt>
                <c:pt idx="256">
                  <c:v>43.884513902835295</c:v>
                </c:pt>
                <c:pt idx="257">
                  <c:v>43.962237841027267</c:v>
                </c:pt>
                <c:pt idx="258">
                  <c:v>44.035651961948794</c:v>
                </c:pt>
                <c:pt idx="259">
                  <c:v>44.104981630422145</c:v>
                </c:pt>
                <c:pt idx="260">
                  <c:v>44.170441947422134</c:v>
                </c:pt>
                <c:pt idx="261">
                  <c:v>44.232238043449144</c:v>
                </c:pt>
                <c:pt idx="262">
                  <c:v>44.290565385411988</c:v>
                </c:pt>
                <c:pt idx="263">
                  <c:v>44.345610093415942</c:v>
                </c:pt>
                <c:pt idx="264">
                  <c:v>44.397549264280229</c:v>
                </c:pt>
                <c:pt idx="265">
                  <c:v>44.44655129900233</c:v>
                </c:pt>
                <c:pt idx="266">
                  <c:v>44.492776231746738</c:v>
                </c:pt>
                <c:pt idx="267">
                  <c:v>44.536376058262874</c:v>
                </c:pt>
                <c:pt idx="268">
                  <c:v>44.577495061933298</c:v>
                </c:pt>
                <c:pt idx="269">
                  <c:v>44.61627013592156</c:v>
                </c:pt>
                <c:pt idx="270">
                  <c:v>44.65283110012895</c:v>
                </c:pt>
                <c:pt idx="271">
                  <c:v>44.687301011884699</c:v>
                </c:pt>
                <c:pt idx="272">
                  <c:v>44.71979646948634</c:v>
                </c:pt>
                <c:pt idx="273">
                  <c:v>44.750427907876741</c:v>
                </c:pt>
                <c:pt idx="274">
                  <c:v>44.779299885895085</c:v>
                </c:pt>
                <c:pt idx="275">
                  <c:v>44.806511364671337</c:v>
                </c:pt>
                <c:pt idx="276">
                  <c:v>44.832155976850082</c:v>
                </c:pt>
                <c:pt idx="277">
                  <c:v>44.856322286430263</c:v>
                </c:pt>
                <c:pt idx="278">
                  <c:v>44.879094039095591</c:v>
                </c:pt>
                <c:pt idx="279">
                  <c:v>44.900550402985687</c:v>
                </c:pt>
                <c:pt idx="280">
                  <c:v>44.920766199923023</c:v>
                </c:pt>
                <c:pt idx="281">
                  <c:v>44.939812127165638</c:v>
                </c:pt>
                <c:pt idx="282">
                  <c:v>44.957754969802423</c:v>
                </c:pt>
                <c:pt idx="283">
                  <c:v>44.974657803946172</c:v>
                </c:pt>
                <c:pt idx="284">
                  <c:v>44.990580190912027</c:v>
                </c:pt>
                <c:pt idx="285">
                  <c:v>45.005578362594797</c:v>
                </c:pt>
                <c:pt idx="286">
                  <c:v>45.019705398279399</c:v>
                </c:pt>
              </c:numCache>
            </c:numRef>
          </c:yVal>
          <c:smooth val="1"/>
          <c:extLst>
            <c:ext xmlns:c16="http://schemas.microsoft.com/office/drawing/2014/chart" uri="{C3380CC4-5D6E-409C-BE32-E72D297353CC}">
              <c16:uniqueId val="{00000003-B251-B54C-BFCF-B761C344BCDE}"/>
            </c:ext>
          </c:extLst>
        </c:ser>
        <c:ser>
          <c:idx val="3"/>
          <c:order val="4"/>
          <c:tx>
            <c:strRef>
              <c:f>'Western United States'!$H$12</c:f>
              <c:strCache>
                <c:ptCount val="1"/>
                <c:pt idx="0">
                  <c:v>Q historical</c:v>
                </c:pt>
              </c:strCache>
            </c:strRef>
          </c:tx>
          <c:spPr>
            <a:ln w="15875">
              <a:solidFill>
                <a:srgbClr val="333399"/>
              </a:solidFill>
            </a:ln>
          </c:spPr>
          <c:marker>
            <c:symbol val="none"/>
          </c:marker>
          <c:xVal>
            <c:numRef>
              <c:f>'Western United States'!$D$180:$D$300</c:f>
              <c:numCache>
                <c:formatCode>General</c:formatCode>
                <c:ptCount val="121"/>
                <c:pt idx="0">
                  <c:v>1985</c:v>
                </c:pt>
                <c:pt idx="1">
                  <c:v>1986</c:v>
                </c:pt>
                <c:pt idx="2">
                  <c:v>1987</c:v>
                </c:pt>
                <c:pt idx="3">
                  <c:v>1988</c:v>
                </c:pt>
                <c:pt idx="4">
                  <c:v>1989</c:v>
                </c:pt>
                <c:pt idx="5">
                  <c:v>1990</c:v>
                </c:pt>
                <c:pt idx="6">
                  <c:v>1991</c:v>
                </c:pt>
                <c:pt idx="7">
                  <c:v>1992</c:v>
                </c:pt>
                <c:pt idx="8">
                  <c:v>1993</c:v>
                </c:pt>
                <c:pt idx="9">
                  <c:v>1994</c:v>
                </c:pt>
                <c:pt idx="10">
                  <c:v>1995</c:v>
                </c:pt>
                <c:pt idx="11">
                  <c:v>1996</c:v>
                </c:pt>
                <c:pt idx="12">
                  <c:v>1997</c:v>
                </c:pt>
                <c:pt idx="13">
                  <c:v>1998</c:v>
                </c:pt>
                <c:pt idx="14">
                  <c:v>1999</c:v>
                </c:pt>
                <c:pt idx="15">
                  <c:v>2000</c:v>
                </c:pt>
                <c:pt idx="16">
                  <c:v>2001</c:v>
                </c:pt>
                <c:pt idx="17">
                  <c:v>2002</c:v>
                </c:pt>
                <c:pt idx="18">
                  <c:v>2003</c:v>
                </c:pt>
                <c:pt idx="19">
                  <c:v>2004</c:v>
                </c:pt>
                <c:pt idx="20">
                  <c:v>2005</c:v>
                </c:pt>
                <c:pt idx="21">
                  <c:v>2006</c:v>
                </c:pt>
                <c:pt idx="22">
                  <c:v>2007</c:v>
                </c:pt>
                <c:pt idx="23">
                  <c:v>2008</c:v>
                </c:pt>
                <c:pt idx="24">
                  <c:v>2009</c:v>
                </c:pt>
                <c:pt idx="25">
                  <c:v>2010</c:v>
                </c:pt>
                <c:pt idx="26">
                  <c:v>2011</c:v>
                </c:pt>
                <c:pt idx="27">
                  <c:v>2012</c:v>
                </c:pt>
                <c:pt idx="28">
                  <c:v>2013</c:v>
                </c:pt>
                <c:pt idx="29">
                  <c:v>2014</c:v>
                </c:pt>
                <c:pt idx="30">
                  <c:v>2015</c:v>
                </c:pt>
                <c:pt idx="31">
                  <c:v>2016</c:v>
                </c:pt>
                <c:pt idx="32">
                  <c:v>2017</c:v>
                </c:pt>
                <c:pt idx="33">
                  <c:v>2018</c:v>
                </c:pt>
                <c:pt idx="34">
                  <c:v>2019</c:v>
                </c:pt>
                <c:pt idx="35">
                  <c:v>2020</c:v>
                </c:pt>
                <c:pt idx="36">
                  <c:v>2021</c:v>
                </c:pt>
                <c:pt idx="37">
                  <c:v>2022</c:v>
                </c:pt>
                <c:pt idx="38">
                  <c:v>2023</c:v>
                </c:pt>
                <c:pt idx="39">
                  <c:v>2024</c:v>
                </c:pt>
                <c:pt idx="40">
                  <c:v>2025</c:v>
                </c:pt>
                <c:pt idx="41">
                  <c:v>2026</c:v>
                </c:pt>
                <c:pt idx="42">
                  <c:v>2027</c:v>
                </c:pt>
                <c:pt idx="43">
                  <c:v>2028</c:v>
                </c:pt>
                <c:pt idx="44">
                  <c:v>2029</c:v>
                </c:pt>
                <c:pt idx="45">
                  <c:v>2030</c:v>
                </c:pt>
                <c:pt idx="46">
                  <c:v>2031</c:v>
                </c:pt>
                <c:pt idx="47">
                  <c:v>2032</c:v>
                </c:pt>
                <c:pt idx="48">
                  <c:v>2033</c:v>
                </c:pt>
                <c:pt idx="49">
                  <c:v>2034</c:v>
                </c:pt>
                <c:pt idx="50">
                  <c:v>2035</c:v>
                </c:pt>
                <c:pt idx="51">
                  <c:v>2036</c:v>
                </c:pt>
                <c:pt idx="52">
                  <c:v>2037</c:v>
                </c:pt>
                <c:pt idx="53">
                  <c:v>2038</c:v>
                </c:pt>
                <c:pt idx="54">
                  <c:v>2039</c:v>
                </c:pt>
                <c:pt idx="55">
                  <c:v>2040</c:v>
                </c:pt>
                <c:pt idx="56">
                  <c:v>2041</c:v>
                </c:pt>
                <c:pt idx="57">
                  <c:v>2042</c:v>
                </c:pt>
                <c:pt idx="58">
                  <c:v>2043</c:v>
                </c:pt>
                <c:pt idx="59">
                  <c:v>2044</c:v>
                </c:pt>
                <c:pt idx="60">
                  <c:v>2045</c:v>
                </c:pt>
                <c:pt idx="61">
                  <c:v>2046</c:v>
                </c:pt>
                <c:pt idx="62">
                  <c:v>2047</c:v>
                </c:pt>
                <c:pt idx="63">
                  <c:v>2048</c:v>
                </c:pt>
                <c:pt idx="64">
                  <c:v>2049</c:v>
                </c:pt>
                <c:pt idx="65">
                  <c:v>2050</c:v>
                </c:pt>
                <c:pt idx="66">
                  <c:v>2051</c:v>
                </c:pt>
                <c:pt idx="67">
                  <c:v>2052</c:v>
                </c:pt>
                <c:pt idx="68">
                  <c:v>2053</c:v>
                </c:pt>
                <c:pt idx="69">
                  <c:v>2054</c:v>
                </c:pt>
                <c:pt idx="70">
                  <c:v>2055</c:v>
                </c:pt>
                <c:pt idx="71">
                  <c:v>2056</c:v>
                </c:pt>
                <c:pt idx="72">
                  <c:v>2057</c:v>
                </c:pt>
                <c:pt idx="73">
                  <c:v>2058</c:v>
                </c:pt>
                <c:pt idx="74">
                  <c:v>2059</c:v>
                </c:pt>
                <c:pt idx="75">
                  <c:v>2060</c:v>
                </c:pt>
                <c:pt idx="76">
                  <c:v>2061</c:v>
                </c:pt>
                <c:pt idx="77">
                  <c:v>2062</c:v>
                </c:pt>
                <c:pt idx="78">
                  <c:v>2063</c:v>
                </c:pt>
                <c:pt idx="79">
                  <c:v>2064</c:v>
                </c:pt>
                <c:pt idx="80">
                  <c:v>2065</c:v>
                </c:pt>
                <c:pt idx="81">
                  <c:v>2066</c:v>
                </c:pt>
                <c:pt idx="82">
                  <c:v>2067</c:v>
                </c:pt>
                <c:pt idx="83">
                  <c:v>2068</c:v>
                </c:pt>
                <c:pt idx="84">
                  <c:v>2069</c:v>
                </c:pt>
                <c:pt idx="85">
                  <c:v>2070</c:v>
                </c:pt>
                <c:pt idx="86">
                  <c:v>2071</c:v>
                </c:pt>
                <c:pt idx="87">
                  <c:v>2072</c:v>
                </c:pt>
                <c:pt idx="88">
                  <c:v>2073</c:v>
                </c:pt>
                <c:pt idx="89">
                  <c:v>2074</c:v>
                </c:pt>
                <c:pt idx="90">
                  <c:v>2075</c:v>
                </c:pt>
                <c:pt idx="91">
                  <c:v>2076</c:v>
                </c:pt>
                <c:pt idx="92">
                  <c:v>2077</c:v>
                </c:pt>
                <c:pt idx="93">
                  <c:v>2078</c:v>
                </c:pt>
                <c:pt idx="94">
                  <c:v>2079</c:v>
                </c:pt>
                <c:pt idx="95">
                  <c:v>2080</c:v>
                </c:pt>
                <c:pt idx="96">
                  <c:v>2081</c:v>
                </c:pt>
                <c:pt idx="97">
                  <c:v>2082</c:v>
                </c:pt>
                <c:pt idx="98">
                  <c:v>2083</c:v>
                </c:pt>
                <c:pt idx="99">
                  <c:v>2084</c:v>
                </c:pt>
                <c:pt idx="100">
                  <c:v>2085</c:v>
                </c:pt>
                <c:pt idx="101">
                  <c:v>2086</c:v>
                </c:pt>
                <c:pt idx="102">
                  <c:v>2087</c:v>
                </c:pt>
                <c:pt idx="103">
                  <c:v>2088</c:v>
                </c:pt>
                <c:pt idx="104">
                  <c:v>2089</c:v>
                </c:pt>
                <c:pt idx="105">
                  <c:v>2090</c:v>
                </c:pt>
                <c:pt idx="106">
                  <c:v>2091</c:v>
                </c:pt>
                <c:pt idx="107">
                  <c:v>2092</c:v>
                </c:pt>
                <c:pt idx="108">
                  <c:v>2093</c:v>
                </c:pt>
                <c:pt idx="109">
                  <c:v>2094</c:v>
                </c:pt>
                <c:pt idx="110">
                  <c:v>2095</c:v>
                </c:pt>
                <c:pt idx="111">
                  <c:v>2096</c:v>
                </c:pt>
                <c:pt idx="112">
                  <c:v>2097</c:v>
                </c:pt>
                <c:pt idx="113">
                  <c:v>2098</c:v>
                </c:pt>
                <c:pt idx="114">
                  <c:v>2099</c:v>
                </c:pt>
                <c:pt idx="115">
                  <c:v>2100</c:v>
                </c:pt>
                <c:pt idx="116">
                  <c:v>2101</c:v>
                </c:pt>
                <c:pt idx="117">
                  <c:v>2102</c:v>
                </c:pt>
                <c:pt idx="118">
                  <c:v>2103</c:v>
                </c:pt>
                <c:pt idx="119">
                  <c:v>2104</c:v>
                </c:pt>
                <c:pt idx="120">
                  <c:v>2105</c:v>
                </c:pt>
              </c:numCache>
            </c:numRef>
          </c:xVal>
          <c:yVal>
            <c:numRef>
              <c:f>'Western United States'!$H$180:$H$300</c:f>
              <c:numCache>
                <c:formatCode>0.0</c:formatCode>
                <c:ptCount val="121"/>
                <c:pt idx="0">
                  <c:v>136.10330765829471</c:v>
                </c:pt>
                <c:pt idx="1">
                  <c:v>76.565546675707765</c:v>
                </c:pt>
                <c:pt idx="2">
                  <c:v>49.303449534933918</c:v>
                </c:pt>
                <c:pt idx="3">
                  <c:v>51.224709283077203</c:v>
                </c:pt>
                <c:pt idx="4">
                  <c:v>53.33413613001867</c:v>
                </c:pt>
                <c:pt idx="5">
                  <c:v>54.901896368631455</c:v>
                </c:pt>
                <c:pt idx="6">
                  <c:v>51.62219761688776</c:v>
                </c:pt>
                <c:pt idx="7">
                  <c:v>45.61526895647885</c:v>
                </c:pt>
                <c:pt idx="8">
                  <c:v>41.618998248050694</c:v>
                </c:pt>
                <c:pt idx="9">
                  <c:v>41.147023949917028</c:v>
                </c:pt>
                <c:pt idx="10">
                  <c:v>42.23651282574653</c:v>
                </c:pt>
                <c:pt idx="11">
                  <c:v>43.383010725440627</c:v>
                </c:pt>
                <c:pt idx="12">
                  <c:v>43.984795711578236</c:v>
                </c:pt>
                <c:pt idx="13">
                  <c:v>45.230800781224268</c:v>
                </c:pt>
                <c:pt idx="14">
                  <c:v>46.90236278113278</c:v>
                </c:pt>
                <c:pt idx="15">
                  <c:v>47.692184643861985</c:v>
                </c:pt>
                <c:pt idx="16">
                  <c:v>48.465584223404896</c:v>
                </c:pt>
                <c:pt idx="17">
                  <c:v>48.700066109074839</c:v>
                </c:pt>
                <c:pt idx="18">
                  <c:v>48.270627265292831</c:v>
                </c:pt>
                <c:pt idx="19">
                  <c:v>47.747064279472959</c:v>
                </c:pt>
                <c:pt idx="20">
                  <c:v>47.148414117571555</c:v>
                </c:pt>
                <c:pt idx="21">
                  <c:v>46.837705689244636</c:v>
                </c:pt>
                <c:pt idx="22">
                  <c:v>46.489456335220034</c:v>
                </c:pt>
                <c:pt idx="23">
                  <c:v>46.121798323441034</c:v>
                </c:pt>
                <c:pt idx="24">
                  <c:v>45.247493295226754</c:v>
                </c:pt>
              </c:numCache>
            </c:numRef>
          </c:yVal>
          <c:smooth val="1"/>
          <c:extLst>
            <c:ext xmlns:c16="http://schemas.microsoft.com/office/drawing/2014/chart" uri="{C3380CC4-5D6E-409C-BE32-E72D297353CC}">
              <c16:uniqueId val="{00000004-B251-B54C-BFCF-B761C344BCDE}"/>
            </c:ext>
          </c:extLst>
        </c:ser>
        <c:dLbls>
          <c:showLegendKey val="0"/>
          <c:showVal val="0"/>
          <c:showCatName val="0"/>
          <c:showSerName val="0"/>
          <c:showPercent val="0"/>
          <c:showBubbleSize val="0"/>
        </c:dLbls>
        <c:axId val="136244224"/>
        <c:axId val="136356608"/>
      </c:scatterChart>
      <c:valAx>
        <c:axId val="136244224"/>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6356608"/>
        <c:crossesAt val="-1000"/>
        <c:crossBetween val="midCat"/>
        <c:majorUnit val="60"/>
        <c:minorUnit val="10"/>
      </c:valAx>
      <c:valAx>
        <c:axId val="136356608"/>
        <c:scaling>
          <c:orientation val="minMax"/>
          <c:max val="60"/>
          <c:min val="0"/>
        </c:scaling>
        <c:delete val="0"/>
        <c:axPos val="r"/>
        <c:title>
          <c:tx>
            <c:rich>
              <a:bodyPr rot="-5400000" vert="horz"/>
              <a:lstStyle/>
              <a:p>
                <a:pPr>
                  <a:defRPr sz="1200" b="0">
                    <a:solidFill>
                      <a:srgbClr val="333399"/>
                    </a:solidFill>
                  </a:defRPr>
                </a:pPr>
                <a:r>
                  <a:rPr lang="en-US" sz="1200" b="0">
                    <a:solidFill>
                      <a:srgbClr val="333399"/>
                    </a:solidFill>
                  </a:rPr>
                  <a:t>Cumulatrive production, Gt</a:t>
                </a:r>
              </a:p>
            </c:rich>
          </c:tx>
          <c:layout>
            <c:manualLayout>
              <c:xMode val="edge"/>
              <c:yMode val="edge"/>
              <c:x val="0.96179653679653765"/>
              <c:y val="0.13136920384951881"/>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6244224"/>
        <c:crosses val="max"/>
        <c:crossBetween val="midCat"/>
        <c:majorUnit val="3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482598766063326E-2"/>
          <c:y val="7.5578547780783975E-2"/>
          <c:w val="0.86644288782084067"/>
          <c:h val="0.77264654418197765"/>
        </c:manualLayout>
      </c:layout>
      <c:scatterChart>
        <c:scatterStyle val="smoothMarker"/>
        <c:varyColors val="0"/>
        <c:ser>
          <c:idx val="3"/>
          <c:order val="0"/>
          <c:tx>
            <c:v>early logit early</c:v>
          </c:tx>
          <c:spPr>
            <a:ln w="15875">
              <a:solidFill>
                <a:srgbClr val="008000"/>
              </a:solidFill>
              <a:prstDash val="lgDash"/>
            </a:ln>
          </c:spPr>
          <c:marker>
            <c:symbol val="none"/>
          </c:marker>
          <c:xVal>
            <c:numRef>
              <c:f>'Eastern United States'!$D$14:$D$69</c:f>
              <c:numCache>
                <c:formatCode>General</c:formatCode>
                <c:ptCount val="56"/>
                <c:pt idx="0">
                  <c:v>1800</c:v>
                </c:pt>
                <c:pt idx="1">
                  <c:v>1801</c:v>
                </c:pt>
                <c:pt idx="2">
                  <c:v>1802</c:v>
                </c:pt>
                <c:pt idx="3">
                  <c:v>1803</c:v>
                </c:pt>
                <c:pt idx="4">
                  <c:v>1804</c:v>
                </c:pt>
                <c:pt idx="5">
                  <c:v>1805</c:v>
                </c:pt>
                <c:pt idx="6">
                  <c:v>1806</c:v>
                </c:pt>
                <c:pt idx="7">
                  <c:v>1807</c:v>
                </c:pt>
                <c:pt idx="8">
                  <c:v>1808</c:v>
                </c:pt>
                <c:pt idx="9">
                  <c:v>1809</c:v>
                </c:pt>
                <c:pt idx="10">
                  <c:v>1810</c:v>
                </c:pt>
                <c:pt idx="11">
                  <c:v>1811</c:v>
                </c:pt>
                <c:pt idx="12">
                  <c:v>1812</c:v>
                </c:pt>
                <c:pt idx="13">
                  <c:v>1813</c:v>
                </c:pt>
                <c:pt idx="14">
                  <c:v>1814</c:v>
                </c:pt>
                <c:pt idx="15">
                  <c:v>1815</c:v>
                </c:pt>
                <c:pt idx="16">
                  <c:v>1816</c:v>
                </c:pt>
                <c:pt idx="17">
                  <c:v>1817</c:v>
                </c:pt>
                <c:pt idx="18">
                  <c:v>1818</c:v>
                </c:pt>
                <c:pt idx="19">
                  <c:v>1819</c:v>
                </c:pt>
                <c:pt idx="20">
                  <c:v>1820</c:v>
                </c:pt>
                <c:pt idx="21">
                  <c:v>1821</c:v>
                </c:pt>
                <c:pt idx="22">
                  <c:v>1822</c:v>
                </c:pt>
                <c:pt idx="23">
                  <c:v>1823</c:v>
                </c:pt>
                <c:pt idx="24">
                  <c:v>1824</c:v>
                </c:pt>
                <c:pt idx="25">
                  <c:v>1825</c:v>
                </c:pt>
                <c:pt idx="26">
                  <c:v>1826</c:v>
                </c:pt>
                <c:pt idx="27">
                  <c:v>1827</c:v>
                </c:pt>
                <c:pt idx="28">
                  <c:v>1828</c:v>
                </c:pt>
                <c:pt idx="29">
                  <c:v>1829</c:v>
                </c:pt>
                <c:pt idx="30">
                  <c:v>1830</c:v>
                </c:pt>
                <c:pt idx="31">
                  <c:v>1831</c:v>
                </c:pt>
                <c:pt idx="32">
                  <c:v>1832</c:v>
                </c:pt>
                <c:pt idx="33">
                  <c:v>1833</c:v>
                </c:pt>
                <c:pt idx="34">
                  <c:v>1834</c:v>
                </c:pt>
                <c:pt idx="35">
                  <c:v>1835</c:v>
                </c:pt>
                <c:pt idx="36">
                  <c:v>1836</c:v>
                </c:pt>
                <c:pt idx="37">
                  <c:v>1837</c:v>
                </c:pt>
                <c:pt idx="38">
                  <c:v>1838</c:v>
                </c:pt>
                <c:pt idx="39">
                  <c:v>1839</c:v>
                </c:pt>
                <c:pt idx="40">
                  <c:v>1840</c:v>
                </c:pt>
                <c:pt idx="41">
                  <c:v>1841</c:v>
                </c:pt>
                <c:pt idx="42">
                  <c:v>1842</c:v>
                </c:pt>
                <c:pt idx="43">
                  <c:v>1843</c:v>
                </c:pt>
                <c:pt idx="44">
                  <c:v>1844</c:v>
                </c:pt>
                <c:pt idx="45">
                  <c:v>1845</c:v>
                </c:pt>
                <c:pt idx="46">
                  <c:v>1846</c:v>
                </c:pt>
                <c:pt idx="47">
                  <c:v>1847</c:v>
                </c:pt>
                <c:pt idx="48">
                  <c:v>1848</c:v>
                </c:pt>
                <c:pt idx="49">
                  <c:v>1849</c:v>
                </c:pt>
                <c:pt idx="50">
                  <c:v>1850</c:v>
                </c:pt>
                <c:pt idx="51">
                  <c:v>1851</c:v>
                </c:pt>
                <c:pt idx="52">
                  <c:v>1852</c:v>
                </c:pt>
                <c:pt idx="53">
                  <c:v>1853</c:v>
                </c:pt>
                <c:pt idx="54">
                  <c:v>1854</c:v>
                </c:pt>
                <c:pt idx="55">
                  <c:v>1855</c:v>
                </c:pt>
              </c:numCache>
            </c:numRef>
          </c:xVal>
          <c:yVal>
            <c:numRef>
              <c:f>'Eastern United States'!$M$14:$M$69</c:f>
              <c:numCache>
                <c:formatCode>0.0</c:formatCode>
                <c:ptCount val="56"/>
                <c:pt idx="0">
                  <c:v>-12.320916379556667</c:v>
                </c:pt>
                <c:pt idx="1">
                  <c:v>-11.599646421118035</c:v>
                </c:pt>
                <c:pt idx="2">
                  <c:v>-11.163834171139158</c:v>
                </c:pt>
                <c:pt idx="3">
                  <c:v>-10.848804418048202</c:v>
                </c:pt>
                <c:pt idx="4">
                  <c:v>-10.585679620775531</c:v>
                </c:pt>
                <c:pt idx="5">
                  <c:v>-10.371319590141145</c:v>
                </c:pt>
                <c:pt idx="6">
                  <c:v>-10.188845200309983</c:v>
                </c:pt>
                <c:pt idx="7">
                  <c:v>-10.029571779980271</c:v>
                </c:pt>
                <c:pt idx="8">
                  <c:v>-9.8878655796160828</c:v>
                </c:pt>
                <c:pt idx="9">
                  <c:v>-9.7598700981163464</c:v>
                </c:pt>
                <c:pt idx="10">
                  <c:v>-9.6425857258022756</c:v>
                </c:pt>
                <c:pt idx="11">
                  <c:v>-9.5308852130218042</c:v>
                </c:pt>
                <c:pt idx="12">
                  <c:v>-9.4227352037584939</c:v>
                </c:pt>
                <c:pt idx="13">
                  <c:v>-9.3181127870884595</c:v>
                </c:pt>
                <c:pt idx="14">
                  <c:v>-9.2161750700392382</c:v>
                </c:pt>
                <c:pt idx="15">
                  <c:v>-9.1170488778724348</c:v>
                </c:pt>
                <c:pt idx="16">
                  <c:v>-9.0182084429786702</c:v>
                </c:pt>
                <c:pt idx="17">
                  <c:v>-8.9206201741054763</c:v>
                </c:pt>
                <c:pt idx="18">
                  <c:v>-8.8244822608821565</c:v>
                </c:pt>
                <c:pt idx="19">
                  <c:v>-8.7410515541438265</c:v>
                </c:pt>
                <c:pt idx="20">
                  <c:v>-8.6637645592907759</c:v>
                </c:pt>
                <c:pt idx="21">
                  <c:v>-8.5900605502976841</c:v>
                </c:pt>
                <c:pt idx="22">
                  <c:v>-8.5211182279087936</c:v>
                </c:pt>
                <c:pt idx="23">
                  <c:v>-8.4562500991072191</c:v>
                </c:pt>
                <c:pt idx="24">
                  <c:v>-8.3888853700839103</c:v>
                </c:pt>
                <c:pt idx="25">
                  <c:v>-8.3231794410035889</c:v>
                </c:pt>
                <c:pt idx="26">
                  <c:v>-8.2539281178547537</c:v>
                </c:pt>
                <c:pt idx="27">
                  <c:v>-8.184644278197073</c:v>
                </c:pt>
                <c:pt idx="28">
                  <c:v>-8.113399899908293</c:v>
                </c:pt>
                <c:pt idx="29">
                  <c:v>-8.0433532000500545</c:v>
                </c:pt>
                <c:pt idx="30">
                  <c:v>-7.9728040229590018</c:v>
                </c:pt>
                <c:pt idx="31">
                  <c:v>-7.9027812928398999</c:v>
                </c:pt>
                <c:pt idx="32">
                  <c:v>-7.8296646034253738</c:v>
                </c:pt>
                <c:pt idx="33">
                  <c:v>-7.7602059074841074</c:v>
                </c:pt>
                <c:pt idx="34">
                  <c:v>-7.6906964229561456</c:v>
                </c:pt>
                <c:pt idx="35">
                  <c:v>-7.6155686055051595</c:v>
                </c:pt>
                <c:pt idx="36">
                  <c:v>-7.5446891198127641</c:v>
                </c:pt>
                <c:pt idx="37">
                  <c:v>-7.4795069487419292</c:v>
                </c:pt>
                <c:pt idx="38">
                  <c:v>-7.4136241142706005</c:v>
                </c:pt>
                <c:pt idx="39">
                  <c:v>-7.3443472145626973</c:v>
                </c:pt>
                <c:pt idx="40">
                  <c:v>-7.2797292258203665</c:v>
                </c:pt>
                <c:pt idx="41">
                  <c:v>-7.2132299219278098</c:v>
                </c:pt>
                <c:pt idx="42">
                  <c:v>-7.1463726422800242</c:v>
                </c:pt>
                <c:pt idx="43">
                  <c:v>-7.0774082904445699</c:v>
                </c:pt>
                <c:pt idx="44">
                  <c:v>-7.0039281669874285</c:v>
                </c:pt>
                <c:pt idx="45">
                  <c:v>-6.9249964009840959</c:v>
                </c:pt>
                <c:pt idx="46">
                  <c:v>-6.8454600367838818</c:v>
                </c:pt>
                <c:pt idx="47">
                  <c:v>-6.7598791233955868</c:v>
                </c:pt>
                <c:pt idx="48">
                  <c:v>-6.6667749461392916</c:v>
                </c:pt>
                <c:pt idx="49">
                  <c:v>-6.5715151320248077</c:v>
                </c:pt>
                <c:pt idx="50">
                  <c:v>-6.4690491217716151</c:v>
                </c:pt>
                <c:pt idx="51">
                  <c:v>-6.3626139111171058</c:v>
                </c:pt>
                <c:pt idx="52">
                  <c:v>-6.2529061982885104</c:v>
                </c:pt>
                <c:pt idx="53">
                  <c:v>-6.1372773859155831</c:v>
                </c:pt>
                <c:pt idx="54">
                  <c:v>-6.0126706166344484</c:v>
                </c:pt>
                <c:pt idx="55">
                  <c:v>-5.898697377626978</c:v>
                </c:pt>
              </c:numCache>
            </c:numRef>
          </c:yVal>
          <c:smooth val="1"/>
          <c:extLst>
            <c:ext xmlns:c16="http://schemas.microsoft.com/office/drawing/2014/chart" uri="{C3380CC4-5D6E-409C-BE32-E72D297353CC}">
              <c16:uniqueId val="{00000000-CBBE-9D4C-AB9A-81F0AA7D5DCA}"/>
            </c:ext>
          </c:extLst>
        </c:ser>
        <c:ser>
          <c:idx val="0"/>
          <c:order val="1"/>
          <c:tx>
            <c:strRef>
              <c:f>'Eastern United States'!$M$12</c:f>
              <c:strCache>
                <c:ptCount val="1"/>
                <c:pt idx="0">
                  <c:v>logit early</c:v>
                </c:pt>
              </c:strCache>
            </c:strRef>
          </c:tx>
          <c:spPr>
            <a:ln w="15875">
              <a:solidFill>
                <a:srgbClr val="008000"/>
              </a:solidFill>
            </a:ln>
          </c:spPr>
          <c:marker>
            <c:symbol val="none"/>
          </c:marker>
          <c:xVal>
            <c:numRef>
              <c:f>'Eastern United States'!$D$70:$D$145</c:f>
              <c:numCache>
                <c:formatCode>General</c:formatCode>
                <c:ptCount val="76"/>
                <c:pt idx="0">
                  <c:v>1856</c:v>
                </c:pt>
                <c:pt idx="1">
                  <c:v>1857</c:v>
                </c:pt>
                <c:pt idx="2">
                  <c:v>1858</c:v>
                </c:pt>
                <c:pt idx="3">
                  <c:v>1859</c:v>
                </c:pt>
                <c:pt idx="4">
                  <c:v>1860</c:v>
                </c:pt>
                <c:pt idx="5">
                  <c:v>1861</c:v>
                </c:pt>
                <c:pt idx="6">
                  <c:v>1862</c:v>
                </c:pt>
                <c:pt idx="7">
                  <c:v>1863</c:v>
                </c:pt>
                <c:pt idx="8">
                  <c:v>1864</c:v>
                </c:pt>
                <c:pt idx="9">
                  <c:v>1865</c:v>
                </c:pt>
                <c:pt idx="10">
                  <c:v>1866</c:v>
                </c:pt>
                <c:pt idx="11">
                  <c:v>1867</c:v>
                </c:pt>
                <c:pt idx="12">
                  <c:v>1868</c:v>
                </c:pt>
                <c:pt idx="13">
                  <c:v>1869</c:v>
                </c:pt>
                <c:pt idx="14">
                  <c:v>1870</c:v>
                </c:pt>
                <c:pt idx="15">
                  <c:v>1871</c:v>
                </c:pt>
                <c:pt idx="16">
                  <c:v>1872</c:v>
                </c:pt>
                <c:pt idx="17">
                  <c:v>1873</c:v>
                </c:pt>
                <c:pt idx="18">
                  <c:v>1874</c:v>
                </c:pt>
                <c:pt idx="19">
                  <c:v>1875</c:v>
                </c:pt>
                <c:pt idx="20">
                  <c:v>1876</c:v>
                </c:pt>
                <c:pt idx="21">
                  <c:v>1877</c:v>
                </c:pt>
                <c:pt idx="22">
                  <c:v>1878</c:v>
                </c:pt>
                <c:pt idx="23">
                  <c:v>1879</c:v>
                </c:pt>
                <c:pt idx="24">
                  <c:v>1880</c:v>
                </c:pt>
                <c:pt idx="25">
                  <c:v>1881</c:v>
                </c:pt>
                <c:pt idx="26">
                  <c:v>1882</c:v>
                </c:pt>
                <c:pt idx="27">
                  <c:v>1883</c:v>
                </c:pt>
                <c:pt idx="28">
                  <c:v>1884</c:v>
                </c:pt>
                <c:pt idx="29">
                  <c:v>1885</c:v>
                </c:pt>
                <c:pt idx="30">
                  <c:v>1886</c:v>
                </c:pt>
                <c:pt idx="31">
                  <c:v>1887</c:v>
                </c:pt>
                <c:pt idx="32">
                  <c:v>1888</c:v>
                </c:pt>
                <c:pt idx="33">
                  <c:v>1889</c:v>
                </c:pt>
                <c:pt idx="34">
                  <c:v>1890</c:v>
                </c:pt>
                <c:pt idx="35">
                  <c:v>1891</c:v>
                </c:pt>
                <c:pt idx="36">
                  <c:v>1892</c:v>
                </c:pt>
                <c:pt idx="37">
                  <c:v>1893</c:v>
                </c:pt>
                <c:pt idx="38">
                  <c:v>1894</c:v>
                </c:pt>
                <c:pt idx="39">
                  <c:v>1895</c:v>
                </c:pt>
                <c:pt idx="40">
                  <c:v>1896</c:v>
                </c:pt>
                <c:pt idx="41">
                  <c:v>1897</c:v>
                </c:pt>
                <c:pt idx="42">
                  <c:v>1898</c:v>
                </c:pt>
                <c:pt idx="43">
                  <c:v>1899</c:v>
                </c:pt>
                <c:pt idx="44">
                  <c:v>1900</c:v>
                </c:pt>
                <c:pt idx="45">
                  <c:v>1901</c:v>
                </c:pt>
                <c:pt idx="46">
                  <c:v>1902</c:v>
                </c:pt>
                <c:pt idx="47">
                  <c:v>1903</c:v>
                </c:pt>
                <c:pt idx="48">
                  <c:v>1904</c:v>
                </c:pt>
                <c:pt idx="49">
                  <c:v>1905</c:v>
                </c:pt>
                <c:pt idx="50">
                  <c:v>1906</c:v>
                </c:pt>
                <c:pt idx="51">
                  <c:v>1907</c:v>
                </c:pt>
                <c:pt idx="52">
                  <c:v>1908</c:v>
                </c:pt>
                <c:pt idx="53">
                  <c:v>1909</c:v>
                </c:pt>
                <c:pt idx="54">
                  <c:v>1910</c:v>
                </c:pt>
                <c:pt idx="55">
                  <c:v>1911</c:v>
                </c:pt>
                <c:pt idx="56">
                  <c:v>1912</c:v>
                </c:pt>
                <c:pt idx="57">
                  <c:v>1913</c:v>
                </c:pt>
                <c:pt idx="58">
                  <c:v>1914</c:v>
                </c:pt>
                <c:pt idx="59">
                  <c:v>1915</c:v>
                </c:pt>
                <c:pt idx="60">
                  <c:v>1916</c:v>
                </c:pt>
                <c:pt idx="61">
                  <c:v>1917</c:v>
                </c:pt>
                <c:pt idx="62">
                  <c:v>1918</c:v>
                </c:pt>
                <c:pt idx="63">
                  <c:v>1919</c:v>
                </c:pt>
                <c:pt idx="64">
                  <c:v>1920</c:v>
                </c:pt>
                <c:pt idx="65">
                  <c:v>1921</c:v>
                </c:pt>
                <c:pt idx="66">
                  <c:v>1922</c:v>
                </c:pt>
                <c:pt idx="67">
                  <c:v>1923</c:v>
                </c:pt>
                <c:pt idx="68">
                  <c:v>1924</c:v>
                </c:pt>
                <c:pt idx="69">
                  <c:v>1925</c:v>
                </c:pt>
                <c:pt idx="70">
                  <c:v>1926</c:v>
                </c:pt>
                <c:pt idx="71">
                  <c:v>1927</c:v>
                </c:pt>
                <c:pt idx="72">
                  <c:v>1928</c:v>
                </c:pt>
                <c:pt idx="73">
                  <c:v>1929</c:v>
                </c:pt>
                <c:pt idx="74">
                  <c:v>1930</c:v>
                </c:pt>
                <c:pt idx="75">
                  <c:v>1931</c:v>
                </c:pt>
              </c:numCache>
            </c:numRef>
          </c:xVal>
          <c:yVal>
            <c:numRef>
              <c:f>'Eastern United States'!$M$70:$M$145</c:f>
              <c:numCache>
                <c:formatCode>0.0</c:formatCode>
                <c:ptCount val="76"/>
                <c:pt idx="0">
                  <c:v>-5.7896790411095056</c:v>
                </c:pt>
                <c:pt idx="1">
                  <c:v>-5.6818653875274272</c:v>
                </c:pt>
                <c:pt idx="2">
                  <c:v>-5.5841154340124781</c:v>
                </c:pt>
                <c:pt idx="3">
                  <c:v>-5.4922842822813775</c:v>
                </c:pt>
                <c:pt idx="4">
                  <c:v>-5.4093255643076263</c:v>
                </c:pt>
                <c:pt idx="5">
                  <c:v>-5.335235780296312</c:v>
                </c:pt>
                <c:pt idx="6">
                  <c:v>-5.2610035505068682</c:v>
                </c:pt>
                <c:pt idx="7">
                  <c:v>-5.1806099457742265</c:v>
                </c:pt>
                <c:pt idx="8">
                  <c:v>-5.1050786643673352</c:v>
                </c:pt>
                <c:pt idx="9">
                  <c:v>-5.025244923948808</c:v>
                </c:pt>
                <c:pt idx="10">
                  <c:v>-4.947937061411964</c:v>
                </c:pt>
                <c:pt idx="11">
                  <c:v>-4.8729245379076298</c:v>
                </c:pt>
                <c:pt idx="12">
                  <c:v>-4.7926091698900439</c:v>
                </c:pt>
                <c:pt idx="13">
                  <c:v>-4.7022475841776457</c:v>
                </c:pt>
                <c:pt idx="14">
                  <c:v>-4.616570833714416</c:v>
                </c:pt>
                <c:pt idx="15">
                  <c:v>-4.5203423459997962</c:v>
                </c:pt>
                <c:pt idx="16">
                  <c:v>-4.4178682857590434</c:v>
                </c:pt>
                <c:pt idx="17">
                  <c:v>-4.315940488780079</c:v>
                </c:pt>
                <c:pt idx="18">
                  <c:v>-4.2303755335930999</c:v>
                </c:pt>
                <c:pt idx="19">
                  <c:v>-4.1478888916625527</c:v>
                </c:pt>
                <c:pt idx="20">
                  <c:v>-4.0738541113067939</c:v>
                </c:pt>
                <c:pt idx="21">
                  <c:v>-4.0000861129341247</c:v>
                </c:pt>
                <c:pt idx="22">
                  <c:v>-3.9267880850212515</c:v>
                </c:pt>
                <c:pt idx="23">
                  <c:v>-3.8513009778219311</c:v>
                </c:pt>
                <c:pt idx="24">
                  <c:v>-3.7630346300477826</c:v>
                </c:pt>
                <c:pt idx="25">
                  <c:v>-3.6775233473173969</c:v>
                </c:pt>
                <c:pt idx="26">
                  <c:v>-3.5889049299438329</c:v>
                </c:pt>
                <c:pt idx="27">
                  <c:v>-3.4984464420025674</c:v>
                </c:pt>
                <c:pt idx="28">
                  <c:v>-3.4100983150973461</c:v>
                </c:pt>
                <c:pt idx="29">
                  <c:v>-3.3294218533917017</c:v>
                </c:pt>
                <c:pt idx="30">
                  <c:v>-3.2531569318296314</c:v>
                </c:pt>
                <c:pt idx="31">
                  <c:v>-3.1705188333832042</c:v>
                </c:pt>
                <c:pt idx="32">
                  <c:v>-3.0864452549467778</c:v>
                </c:pt>
                <c:pt idx="33">
                  <c:v>-3.0078927660345065</c:v>
                </c:pt>
                <c:pt idx="34">
                  <c:v>-2.9230625158922368</c:v>
                </c:pt>
                <c:pt idx="35">
                  <c:v>-2.8399045298425007</c:v>
                </c:pt>
                <c:pt idx="36">
                  <c:v>-2.7559524562358089</c:v>
                </c:pt>
                <c:pt idx="37">
                  <c:v>-2.6768120079565034</c:v>
                </c:pt>
                <c:pt idx="38">
                  <c:v>-2.6093758414080757</c:v>
                </c:pt>
                <c:pt idx="39">
                  <c:v>-2.535983969198945</c:v>
                </c:pt>
                <c:pt idx="40">
                  <c:v>-2.4656079211482083</c:v>
                </c:pt>
                <c:pt idx="41">
                  <c:v>-2.3950385374730687</c:v>
                </c:pt>
                <c:pt idx="42">
                  <c:v>-2.3201581608695494</c:v>
                </c:pt>
                <c:pt idx="43">
                  <c:v>-2.2381890297460951</c:v>
                </c:pt>
                <c:pt idx="44">
                  <c:v>-2.1541429864625492</c:v>
                </c:pt>
                <c:pt idx="45">
                  <c:v>-2.0711855684305251</c:v>
                </c:pt>
                <c:pt idx="46">
                  <c:v>-1.9804450959212088</c:v>
                </c:pt>
                <c:pt idx="47">
                  <c:v>-1.8888267083600752</c:v>
                </c:pt>
                <c:pt idx="48">
                  <c:v>-1.8040954467013077</c:v>
                </c:pt>
                <c:pt idx="49">
                  <c:v>-1.7131009640150172</c:v>
                </c:pt>
                <c:pt idx="50">
                  <c:v>-1.6199867299971289</c:v>
                </c:pt>
                <c:pt idx="51">
                  <c:v>-1.5189589051578858</c:v>
                </c:pt>
                <c:pt idx="52">
                  <c:v>-1.4394313447495048</c:v>
                </c:pt>
                <c:pt idx="53">
                  <c:v>-1.3529981253350332</c:v>
                </c:pt>
                <c:pt idx="54">
                  <c:v>-1.2614017593970424</c:v>
                </c:pt>
                <c:pt idx="55">
                  <c:v>-1.1768832165089984</c:v>
                </c:pt>
                <c:pt idx="56">
                  <c:v>-1.0869119111115022</c:v>
                </c:pt>
                <c:pt idx="57">
                  <c:v>-0.99482086680169546</c:v>
                </c:pt>
                <c:pt idx="58">
                  <c:v>-0.91710695462440905</c:v>
                </c:pt>
                <c:pt idx="59">
                  <c:v>-0.83763321680644764</c:v>
                </c:pt>
                <c:pt idx="60">
                  <c:v>-0.75017656999732951</c:v>
                </c:pt>
                <c:pt idx="61">
                  <c:v>-0.65762922330810414</c:v>
                </c:pt>
                <c:pt idx="62">
                  <c:v>-0.56286387386511105</c:v>
                </c:pt>
                <c:pt idx="63">
                  <c:v>-0.4883190207619077</c:v>
                </c:pt>
                <c:pt idx="64">
                  <c:v>-0.39981502851814921</c:v>
                </c:pt>
                <c:pt idx="65">
                  <c:v>-0.33517858127915529</c:v>
                </c:pt>
                <c:pt idx="66">
                  <c:v>-0.26999922694757833</c:v>
                </c:pt>
                <c:pt idx="67">
                  <c:v>-0.18227782525072359</c:v>
                </c:pt>
                <c:pt idx="68">
                  <c:v>-0.10851679293432531</c:v>
                </c:pt>
                <c:pt idx="69">
                  <c:v>-2.8525057738787239E-2</c:v>
                </c:pt>
                <c:pt idx="70">
                  <c:v>6.0528274002960021E-2</c:v>
                </c:pt>
                <c:pt idx="71">
                  <c:v>0.14032253592251895</c:v>
                </c:pt>
                <c:pt idx="72">
                  <c:v>0.21748101755784569</c:v>
                </c:pt>
                <c:pt idx="73">
                  <c:v>0.30090085924379439</c:v>
                </c:pt>
                <c:pt idx="74">
                  <c:v>0.37474067971230968</c:v>
                </c:pt>
                <c:pt idx="75">
                  <c:v>0.4360465522747532</c:v>
                </c:pt>
              </c:numCache>
            </c:numRef>
          </c:yVal>
          <c:smooth val="1"/>
          <c:extLst>
            <c:ext xmlns:c16="http://schemas.microsoft.com/office/drawing/2014/chart" uri="{C3380CC4-5D6E-409C-BE32-E72D297353CC}">
              <c16:uniqueId val="{00000001-CBBE-9D4C-AB9A-81F0AA7D5DCA}"/>
            </c:ext>
          </c:extLst>
        </c:ser>
        <c:ser>
          <c:idx val="4"/>
          <c:order val="2"/>
          <c:tx>
            <c:v>late logit early</c:v>
          </c:tx>
          <c:spPr>
            <a:ln w="15875">
              <a:solidFill>
                <a:srgbClr val="008000"/>
              </a:solidFill>
              <a:prstDash val="lgDash"/>
            </a:ln>
          </c:spPr>
          <c:marker>
            <c:symbol val="none"/>
          </c:marker>
          <c:xVal>
            <c:numRef>
              <c:f>'Eastern United States'!$D$146:$D$153</c:f>
              <c:numCache>
                <c:formatCode>General</c:formatCode>
                <c:ptCount val="8"/>
                <c:pt idx="0">
                  <c:v>1932</c:v>
                </c:pt>
                <c:pt idx="1">
                  <c:v>1933</c:v>
                </c:pt>
                <c:pt idx="2">
                  <c:v>1934</c:v>
                </c:pt>
                <c:pt idx="3">
                  <c:v>1935</c:v>
                </c:pt>
                <c:pt idx="4">
                  <c:v>1936</c:v>
                </c:pt>
                <c:pt idx="5">
                  <c:v>1937</c:v>
                </c:pt>
                <c:pt idx="6">
                  <c:v>1938</c:v>
                </c:pt>
                <c:pt idx="7">
                  <c:v>1939</c:v>
                </c:pt>
              </c:numCache>
            </c:numRef>
          </c:xVal>
          <c:yVal>
            <c:numRef>
              <c:f>'Eastern United States'!$M$146:$M$153</c:f>
              <c:numCache>
                <c:formatCode>0.0</c:formatCode>
                <c:ptCount val="8"/>
                <c:pt idx="0">
                  <c:v>0.48562641145800906</c:v>
                </c:pt>
                <c:pt idx="1">
                  <c:v>0.5406183047307358</c:v>
                </c:pt>
                <c:pt idx="2">
                  <c:v>0.60089858626322556</c:v>
                </c:pt>
                <c:pt idx="3">
                  <c:v>0.66405817346208795</c:v>
                </c:pt>
                <c:pt idx="4">
                  <c:v>0.74034214385456631</c:v>
                </c:pt>
                <c:pt idx="5">
                  <c:v>0.81978619561439681</c:v>
                </c:pt>
                <c:pt idx="6">
                  <c:v>0.88346152194314942</c:v>
                </c:pt>
                <c:pt idx="7">
                  <c:v>0.95825770029749668</c:v>
                </c:pt>
              </c:numCache>
            </c:numRef>
          </c:yVal>
          <c:smooth val="1"/>
          <c:extLst>
            <c:ext xmlns:c16="http://schemas.microsoft.com/office/drawing/2014/chart" uri="{C3380CC4-5D6E-409C-BE32-E72D297353CC}">
              <c16:uniqueId val="{00000002-CBBE-9D4C-AB9A-81F0AA7D5DCA}"/>
            </c:ext>
          </c:extLst>
        </c:ser>
        <c:ser>
          <c:idx val="1"/>
          <c:order val="3"/>
          <c:tx>
            <c:strRef>
              <c:f>'Eastern United States'!$G$8</c:f>
              <c:strCache>
                <c:ptCount val="1"/>
                <c:pt idx="0">
                  <c:v>trend early</c:v>
                </c:pt>
              </c:strCache>
            </c:strRef>
          </c:tx>
          <c:spPr>
            <a:ln w="15875">
              <a:solidFill>
                <a:srgbClr val="808080"/>
              </a:solidFill>
              <a:prstDash val="dash"/>
            </a:ln>
          </c:spPr>
          <c:marker>
            <c:symbol val="none"/>
          </c:marker>
          <c:xVal>
            <c:numRef>
              <c:f>'Eastern United States'!$E$8:$E$9</c:f>
              <c:numCache>
                <c:formatCode>General</c:formatCode>
                <c:ptCount val="2"/>
                <c:pt idx="0">
                  <c:v>1856</c:v>
                </c:pt>
                <c:pt idx="1">
                  <c:v>1931</c:v>
                </c:pt>
              </c:numCache>
            </c:numRef>
          </c:xVal>
          <c:yVal>
            <c:numRef>
              <c:f>'Eastern United States'!$F$8:$F$9</c:f>
              <c:numCache>
                <c:formatCode>0.00</c:formatCode>
                <c:ptCount val="2"/>
                <c:pt idx="0">
                  <c:v>-5.7615116747749493</c:v>
                </c:pt>
                <c:pt idx="1">
                  <c:v>0.47472441292902284</c:v>
                </c:pt>
              </c:numCache>
            </c:numRef>
          </c:yVal>
          <c:smooth val="1"/>
          <c:extLst>
            <c:ext xmlns:c16="http://schemas.microsoft.com/office/drawing/2014/chart" uri="{C3380CC4-5D6E-409C-BE32-E72D297353CC}">
              <c16:uniqueId val="{00000003-CBBE-9D4C-AB9A-81F0AA7D5DCA}"/>
            </c:ext>
          </c:extLst>
        </c:ser>
        <c:dLbls>
          <c:showLegendKey val="0"/>
          <c:showVal val="0"/>
          <c:showCatName val="0"/>
          <c:showSerName val="0"/>
          <c:showPercent val="0"/>
          <c:showBubbleSize val="0"/>
        </c:dLbls>
        <c:axId val="136384512"/>
        <c:axId val="136386048"/>
      </c:scatterChart>
      <c:valAx>
        <c:axId val="136384512"/>
        <c:scaling>
          <c:orientation val="minMax"/>
          <c:max val="1950"/>
          <c:min val="1840"/>
        </c:scaling>
        <c:delete val="0"/>
        <c:axPos val="b"/>
        <c:numFmt formatCode="General" sourceLinked="1"/>
        <c:majorTickMark val="in"/>
        <c:minorTickMark val="in"/>
        <c:tickLblPos val="nextTo"/>
        <c:spPr>
          <a:ln>
            <a:solidFill>
              <a:srgbClr val="333399"/>
            </a:solidFill>
          </a:ln>
        </c:spPr>
        <c:crossAx val="136386048"/>
        <c:crossesAt val="-100"/>
        <c:crossBetween val="midCat"/>
        <c:majorUnit val="50"/>
        <c:minorUnit val="10"/>
      </c:valAx>
      <c:valAx>
        <c:axId val="136386048"/>
        <c:scaling>
          <c:orientation val="minMax"/>
          <c:max val="2"/>
          <c:min val="-10"/>
        </c:scaling>
        <c:delete val="0"/>
        <c:axPos val="r"/>
        <c:title>
          <c:tx>
            <c:rich>
              <a:bodyPr rot="-5400000" vert="horz"/>
              <a:lstStyle/>
              <a:p>
                <a:pPr>
                  <a:defRPr b="0"/>
                </a:pPr>
                <a:r>
                  <a:rPr lang="en-US" b="0"/>
                  <a:t>logit (</a:t>
                </a:r>
                <a:r>
                  <a:rPr lang="en-US" b="0" i="1"/>
                  <a:t>q</a:t>
                </a:r>
                <a:r>
                  <a:rPr lang="en-US" b="0"/>
                  <a:t>/</a:t>
                </a:r>
                <a:r>
                  <a:rPr lang="en-US" b="0" i="1"/>
                  <a:t>Q</a:t>
                </a:r>
                <a:r>
                  <a:rPr lang="en-US" b="0"/>
                  <a:t>)</a:t>
                </a:r>
              </a:p>
            </c:rich>
          </c:tx>
          <c:layout>
            <c:manualLayout>
              <c:xMode val="edge"/>
              <c:yMode val="edge"/>
              <c:x val="0.96179653679653765"/>
              <c:y val="0.28854512977544688"/>
            </c:manualLayout>
          </c:layout>
          <c:overlay val="0"/>
        </c:title>
        <c:numFmt formatCode="0" sourceLinked="0"/>
        <c:majorTickMark val="in"/>
        <c:minorTickMark val="in"/>
        <c:tickLblPos val="nextTo"/>
        <c:spPr>
          <a:ln>
            <a:solidFill>
              <a:srgbClr val="333399"/>
            </a:solidFill>
          </a:ln>
        </c:spPr>
        <c:crossAx val="136384512"/>
        <c:crosses val="max"/>
        <c:crossBetween val="midCat"/>
        <c:majorUnit val="6"/>
        <c:minorUnit val="1"/>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482598766063326E-2"/>
          <c:y val="5.7060002916302532E-2"/>
          <c:w val="0.85024167433621856"/>
          <c:h val="0.77264654418197765"/>
        </c:manualLayout>
      </c:layout>
      <c:scatterChart>
        <c:scatterStyle val="smoothMarker"/>
        <c:varyColors val="0"/>
        <c:ser>
          <c:idx val="0"/>
          <c:order val="0"/>
          <c:tx>
            <c:strRef>
              <c:f>'Eastern United States'!$E$12</c:f>
              <c:strCache>
                <c:ptCount val="1"/>
                <c:pt idx="0">
                  <c:v>p Mt</c:v>
                </c:pt>
              </c:strCache>
            </c:strRef>
          </c:tx>
          <c:spPr>
            <a:ln w="15875">
              <a:solidFill>
                <a:srgbClr val="008000"/>
              </a:solidFill>
            </a:ln>
          </c:spPr>
          <c:marker>
            <c:symbol val="none"/>
          </c:marker>
          <c:xVal>
            <c:numRef>
              <c:f>'Eastern United States'!$D$13:$D$265</c:f>
              <c:numCache>
                <c:formatCode>General</c:formatCode>
                <c:ptCount val="253"/>
                <c:pt idx="0">
                  <c:v>1799</c:v>
                </c:pt>
                <c:pt idx="1">
                  <c:v>1800</c:v>
                </c:pt>
                <c:pt idx="2">
                  <c:v>1801</c:v>
                </c:pt>
                <c:pt idx="3">
                  <c:v>1802</c:v>
                </c:pt>
                <c:pt idx="4">
                  <c:v>1803</c:v>
                </c:pt>
                <c:pt idx="5">
                  <c:v>1804</c:v>
                </c:pt>
                <c:pt idx="6">
                  <c:v>1805</c:v>
                </c:pt>
                <c:pt idx="7">
                  <c:v>1806</c:v>
                </c:pt>
                <c:pt idx="8">
                  <c:v>1807</c:v>
                </c:pt>
                <c:pt idx="9">
                  <c:v>1808</c:v>
                </c:pt>
                <c:pt idx="10">
                  <c:v>1809</c:v>
                </c:pt>
                <c:pt idx="11">
                  <c:v>1810</c:v>
                </c:pt>
                <c:pt idx="12">
                  <c:v>1811</c:v>
                </c:pt>
                <c:pt idx="13">
                  <c:v>1812</c:v>
                </c:pt>
                <c:pt idx="14">
                  <c:v>1813</c:v>
                </c:pt>
                <c:pt idx="15">
                  <c:v>1814</c:v>
                </c:pt>
                <c:pt idx="16">
                  <c:v>1815</c:v>
                </c:pt>
                <c:pt idx="17">
                  <c:v>1816</c:v>
                </c:pt>
                <c:pt idx="18">
                  <c:v>1817</c:v>
                </c:pt>
                <c:pt idx="19">
                  <c:v>1818</c:v>
                </c:pt>
                <c:pt idx="20">
                  <c:v>1819</c:v>
                </c:pt>
                <c:pt idx="21">
                  <c:v>1820</c:v>
                </c:pt>
                <c:pt idx="22">
                  <c:v>1821</c:v>
                </c:pt>
                <c:pt idx="23">
                  <c:v>1822</c:v>
                </c:pt>
                <c:pt idx="24">
                  <c:v>1823</c:v>
                </c:pt>
                <c:pt idx="25">
                  <c:v>1824</c:v>
                </c:pt>
                <c:pt idx="26">
                  <c:v>1825</c:v>
                </c:pt>
                <c:pt idx="27">
                  <c:v>1826</c:v>
                </c:pt>
                <c:pt idx="28">
                  <c:v>1827</c:v>
                </c:pt>
                <c:pt idx="29">
                  <c:v>1828</c:v>
                </c:pt>
                <c:pt idx="30">
                  <c:v>1829</c:v>
                </c:pt>
                <c:pt idx="31">
                  <c:v>1830</c:v>
                </c:pt>
                <c:pt idx="32">
                  <c:v>1831</c:v>
                </c:pt>
                <c:pt idx="33">
                  <c:v>1832</c:v>
                </c:pt>
                <c:pt idx="34">
                  <c:v>1833</c:v>
                </c:pt>
                <c:pt idx="35">
                  <c:v>1834</c:v>
                </c:pt>
                <c:pt idx="36">
                  <c:v>1835</c:v>
                </c:pt>
                <c:pt idx="37">
                  <c:v>1836</c:v>
                </c:pt>
                <c:pt idx="38">
                  <c:v>1837</c:v>
                </c:pt>
                <c:pt idx="39">
                  <c:v>1838</c:v>
                </c:pt>
                <c:pt idx="40">
                  <c:v>1839</c:v>
                </c:pt>
                <c:pt idx="41">
                  <c:v>1840</c:v>
                </c:pt>
                <c:pt idx="42">
                  <c:v>1841</c:v>
                </c:pt>
                <c:pt idx="43">
                  <c:v>1842</c:v>
                </c:pt>
                <c:pt idx="44">
                  <c:v>1843</c:v>
                </c:pt>
                <c:pt idx="45">
                  <c:v>1844</c:v>
                </c:pt>
                <c:pt idx="46">
                  <c:v>1845</c:v>
                </c:pt>
                <c:pt idx="47">
                  <c:v>1846</c:v>
                </c:pt>
                <c:pt idx="48">
                  <c:v>1847</c:v>
                </c:pt>
                <c:pt idx="49">
                  <c:v>1848</c:v>
                </c:pt>
                <c:pt idx="50">
                  <c:v>1849</c:v>
                </c:pt>
                <c:pt idx="51">
                  <c:v>1850</c:v>
                </c:pt>
                <c:pt idx="52">
                  <c:v>1851</c:v>
                </c:pt>
                <c:pt idx="53">
                  <c:v>1852</c:v>
                </c:pt>
                <c:pt idx="54">
                  <c:v>1853</c:v>
                </c:pt>
                <c:pt idx="55">
                  <c:v>1854</c:v>
                </c:pt>
                <c:pt idx="56">
                  <c:v>1855</c:v>
                </c:pt>
                <c:pt idx="57">
                  <c:v>1856</c:v>
                </c:pt>
                <c:pt idx="58">
                  <c:v>1857</c:v>
                </c:pt>
                <c:pt idx="59">
                  <c:v>1858</c:v>
                </c:pt>
                <c:pt idx="60">
                  <c:v>1859</c:v>
                </c:pt>
                <c:pt idx="61">
                  <c:v>1860</c:v>
                </c:pt>
                <c:pt idx="62">
                  <c:v>1861</c:v>
                </c:pt>
                <c:pt idx="63">
                  <c:v>1862</c:v>
                </c:pt>
                <c:pt idx="64">
                  <c:v>1863</c:v>
                </c:pt>
                <c:pt idx="65">
                  <c:v>1864</c:v>
                </c:pt>
                <c:pt idx="66">
                  <c:v>1865</c:v>
                </c:pt>
                <c:pt idx="67">
                  <c:v>1866</c:v>
                </c:pt>
                <c:pt idx="68">
                  <c:v>1867</c:v>
                </c:pt>
                <c:pt idx="69">
                  <c:v>1868</c:v>
                </c:pt>
                <c:pt idx="70">
                  <c:v>1869</c:v>
                </c:pt>
                <c:pt idx="71">
                  <c:v>1870</c:v>
                </c:pt>
                <c:pt idx="72">
                  <c:v>1871</c:v>
                </c:pt>
                <c:pt idx="73">
                  <c:v>1872</c:v>
                </c:pt>
                <c:pt idx="74">
                  <c:v>1873</c:v>
                </c:pt>
                <c:pt idx="75">
                  <c:v>1874</c:v>
                </c:pt>
                <c:pt idx="76">
                  <c:v>1875</c:v>
                </c:pt>
                <c:pt idx="77">
                  <c:v>1876</c:v>
                </c:pt>
                <c:pt idx="78">
                  <c:v>1877</c:v>
                </c:pt>
                <c:pt idx="79">
                  <c:v>1878</c:v>
                </c:pt>
                <c:pt idx="80">
                  <c:v>1879</c:v>
                </c:pt>
                <c:pt idx="81">
                  <c:v>1880</c:v>
                </c:pt>
                <c:pt idx="82">
                  <c:v>1881</c:v>
                </c:pt>
                <c:pt idx="83">
                  <c:v>1882</c:v>
                </c:pt>
                <c:pt idx="84">
                  <c:v>1883</c:v>
                </c:pt>
                <c:pt idx="85">
                  <c:v>1884</c:v>
                </c:pt>
                <c:pt idx="86">
                  <c:v>1885</c:v>
                </c:pt>
                <c:pt idx="87">
                  <c:v>1886</c:v>
                </c:pt>
                <c:pt idx="88">
                  <c:v>1887</c:v>
                </c:pt>
                <c:pt idx="89">
                  <c:v>1888</c:v>
                </c:pt>
                <c:pt idx="90">
                  <c:v>1889</c:v>
                </c:pt>
                <c:pt idx="91">
                  <c:v>1890</c:v>
                </c:pt>
                <c:pt idx="92">
                  <c:v>1891</c:v>
                </c:pt>
                <c:pt idx="93">
                  <c:v>1892</c:v>
                </c:pt>
                <c:pt idx="94">
                  <c:v>1893</c:v>
                </c:pt>
                <c:pt idx="95">
                  <c:v>1894</c:v>
                </c:pt>
                <c:pt idx="96">
                  <c:v>1895</c:v>
                </c:pt>
                <c:pt idx="97">
                  <c:v>1896</c:v>
                </c:pt>
                <c:pt idx="98">
                  <c:v>1897</c:v>
                </c:pt>
                <c:pt idx="99">
                  <c:v>1898</c:v>
                </c:pt>
                <c:pt idx="100">
                  <c:v>1899</c:v>
                </c:pt>
                <c:pt idx="101">
                  <c:v>1900</c:v>
                </c:pt>
                <c:pt idx="102">
                  <c:v>1901</c:v>
                </c:pt>
                <c:pt idx="103">
                  <c:v>1902</c:v>
                </c:pt>
                <c:pt idx="104">
                  <c:v>1903</c:v>
                </c:pt>
                <c:pt idx="105">
                  <c:v>1904</c:v>
                </c:pt>
                <c:pt idx="106">
                  <c:v>1905</c:v>
                </c:pt>
                <c:pt idx="107">
                  <c:v>1906</c:v>
                </c:pt>
                <c:pt idx="108">
                  <c:v>1907</c:v>
                </c:pt>
                <c:pt idx="109">
                  <c:v>1908</c:v>
                </c:pt>
                <c:pt idx="110">
                  <c:v>1909</c:v>
                </c:pt>
                <c:pt idx="111">
                  <c:v>1910</c:v>
                </c:pt>
                <c:pt idx="112">
                  <c:v>1911</c:v>
                </c:pt>
                <c:pt idx="113">
                  <c:v>1912</c:v>
                </c:pt>
                <c:pt idx="114">
                  <c:v>1913</c:v>
                </c:pt>
                <c:pt idx="115">
                  <c:v>1914</c:v>
                </c:pt>
                <c:pt idx="116">
                  <c:v>1915</c:v>
                </c:pt>
                <c:pt idx="117">
                  <c:v>1916</c:v>
                </c:pt>
                <c:pt idx="118">
                  <c:v>1917</c:v>
                </c:pt>
                <c:pt idx="119">
                  <c:v>1918</c:v>
                </c:pt>
                <c:pt idx="120">
                  <c:v>1919</c:v>
                </c:pt>
                <c:pt idx="121">
                  <c:v>1920</c:v>
                </c:pt>
                <c:pt idx="122">
                  <c:v>1921</c:v>
                </c:pt>
                <c:pt idx="123">
                  <c:v>1922</c:v>
                </c:pt>
                <c:pt idx="124">
                  <c:v>1923</c:v>
                </c:pt>
                <c:pt idx="125">
                  <c:v>1924</c:v>
                </c:pt>
                <c:pt idx="126">
                  <c:v>1925</c:v>
                </c:pt>
                <c:pt idx="127">
                  <c:v>1926</c:v>
                </c:pt>
                <c:pt idx="128">
                  <c:v>1927</c:v>
                </c:pt>
                <c:pt idx="129">
                  <c:v>1928</c:v>
                </c:pt>
                <c:pt idx="130">
                  <c:v>1929</c:v>
                </c:pt>
                <c:pt idx="131">
                  <c:v>1930</c:v>
                </c:pt>
                <c:pt idx="132">
                  <c:v>1931</c:v>
                </c:pt>
                <c:pt idx="133">
                  <c:v>1932</c:v>
                </c:pt>
                <c:pt idx="134">
                  <c:v>1933</c:v>
                </c:pt>
                <c:pt idx="135">
                  <c:v>1934</c:v>
                </c:pt>
                <c:pt idx="136">
                  <c:v>1935</c:v>
                </c:pt>
                <c:pt idx="137">
                  <c:v>1936</c:v>
                </c:pt>
                <c:pt idx="138">
                  <c:v>1937</c:v>
                </c:pt>
                <c:pt idx="139">
                  <c:v>1938</c:v>
                </c:pt>
                <c:pt idx="140">
                  <c:v>1939</c:v>
                </c:pt>
                <c:pt idx="141">
                  <c:v>1940</c:v>
                </c:pt>
                <c:pt idx="142">
                  <c:v>1941</c:v>
                </c:pt>
                <c:pt idx="143">
                  <c:v>1942</c:v>
                </c:pt>
                <c:pt idx="144">
                  <c:v>1943</c:v>
                </c:pt>
                <c:pt idx="145">
                  <c:v>1944</c:v>
                </c:pt>
                <c:pt idx="146">
                  <c:v>1945</c:v>
                </c:pt>
                <c:pt idx="147">
                  <c:v>1946</c:v>
                </c:pt>
                <c:pt idx="148">
                  <c:v>1947</c:v>
                </c:pt>
                <c:pt idx="149">
                  <c:v>1948</c:v>
                </c:pt>
                <c:pt idx="150">
                  <c:v>1949</c:v>
                </c:pt>
                <c:pt idx="151">
                  <c:v>1950</c:v>
                </c:pt>
                <c:pt idx="152">
                  <c:v>1951</c:v>
                </c:pt>
                <c:pt idx="153">
                  <c:v>1952</c:v>
                </c:pt>
                <c:pt idx="154">
                  <c:v>1953</c:v>
                </c:pt>
                <c:pt idx="155">
                  <c:v>1954</c:v>
                </c:pt>
                <c:pt idx="156">
                  <c:v>1955</c:v>
                </c:pt>
                <c:pt idx="157">
                  <c:v>1956</c:v>
                </c:pt>
                <c:pt idx="158">
                  <c:v>1957</c:v>
                </c:pt>
                <c:pt idx="159">
                  <c:v>1958</c:v>
                </c:pt>
                <c:pt idx="160">
                  <c:v>1959</c:v>
                </c:pt>
                <c:pt idx="161">
                  <c:v>1960</c:v>
                </c:pt>
                <c:pt idx="162">
                  <c:v>1961</c:v>
                </c:pt>
                <c:pt idx="163">
                  <c:v>1962</c:v>
                </c:pt>
                <c:pt idx="164">
                  <c:v>1963</c:v>
                </c:pt>
                <c:pt idx="165">
                  <c:v>1964</c:v>
                </c:pt>
                <c:pt idx="166">
                  <c:v>1965</c:v>
                </c:pt>
                <c:pt idx="167">
                  <c:v>1966</c:v>
                </c:pt>
                <c:pt idx="168">
                  <c:v>1967</c:v>
                </c:pt>
                <c:pt idx="169">
                  <c:v>1968</c:v>
                </c:pt>
                <c:pt idx="170">
                  <c:v>1969</c:v>
                </c:pt>
                <c:pt idx="171">
                  <c:v>1970</c:v>
                </c:pt>
                <c:pt idx="172">
                  <c:v>1971</c:v>
                </c:pt>
                <c:pt idx="173">
                  <c:v>1972</c:v>
                </c:pt>
                <c:pt idx="174">
                  <c:v>1973</c:v>
                </c:pt>
                <c:pt idx="175">
                  <c:v>1974</c:v>
                </c:pt>
                <c:pt idx="176">
                  <c:v>1975</c:v>
                </c:pt>
                <c:pt idx="177">
                  <c:v>1976</c:v>
                </c:pt>
                <c:pt idx="178">
                  <c:v>1977</c:v>
                </c:pt>
                <c:pt idx="179">
                  <c:v>1978</c:v>
                </c:pt>
                <c:pt idx="180">
                  <c:v>1979</c:v>
                </c:pt>
                <c:pt idx="181">
                  <c:v>1980</c:v>
                </c:pt>
                <c:pt idx="182">
                  <c:v>1981</c:v>
                </c:pt>
                <c:pt idx="183">
                  <c:v>1982</c:v>
                </c:pt>
                <c:pt idx="184">
                  <c:v>1983</c:v>
                </c:pt>
                <c:pt idx="185">
                  <c:v>1984</c:v>
                </c:pt>
                <c:pt idx="186">
                  <c:v>1985</c:v>
                </c:pt>
                <c:pt idx="187">
                  <c:v>1986</c:v>
                </c:pt>
                <c:pt idx="188">
                  <c:v>1987</c:v>
                </c:pt>
                <c:pt idx="189">
                  <c:v>1988</c:v>
                </c:pt>
                <c:pt idx="190">
                  <c:v>1989</c:v>
                </c:pt>
                <c:pt idx="191">
                  <c:v>1990</c:v>
                </c:pt>
                <c:pt idx="192">
                  <c:v>1991</c:v>
                </c:pt>
                <c:pt idx="193">
                  <c:v>1992</c:v>
                </c:pt>
                <c:pt idx="194">
                  <c:v>1993</c:v>
                </c:pt>
                <c:pt idx="195">
                  <c:v>1994</c:v>
                </c:pt>
                <c:pt idx="196">
                  <c:v>1995</c:v>
                </c:pt>
                <c:pt idx="197">
                  <c:v>1996</c:v>
                </c:pt>
                <c:pt idx="198">
                  <c:v>1997</c:v>
                </c:pt>
                <c:pt idx="199">
                  <c:v>1998</c:v>
                </c:pt>
                <c:pt idx="200">
                  <c:v>1999</c:v>
                </c:pt>
                <c:pt idx="201">
                  <c:v>2000</c:v>
                </c:pt>
                <c:pt idx="202">
                  <c:v>2001</c:v>
                </c:pt>
                <c:pt idx="203">
                  <c:v>2002</c:v>
                </c:pt>
                <c:pt idx="204">
                  <c:v>2003</c:v>
                </c:pt>
                <c:pt idx="205">
                  <c:v>2004</c:v>
                </c:pt>
                <c:pt idx="206">
                  <c:v>2005</c:v>
                </c:pt>
                <c:pt idx="207">
                  <c:v>2006</c:v>
                </c:pt>
                <c:pt idx="208">
                  <c:v>2007</c:v>
                </c:pt>
                <c:pt idx="209">
                  <c:v>2008</c:v>
                </c:pt>
                <c:pt idx="210">
                  <c:v>2009</c:v>
                </c:pt>
                <c:pt idx="211">
                  <c:v>2010</c:v>
                </c:pt>
                <c:pt idx="212">
                  <c:v>2011</c:v>
                </c:pt>
                <c:pt idx="213">
                  <c:v>2012</c:v>
                </c:pt>
                <c:pt idx="214">
                  <c:v>2013</c:v>
                </c:pt>
                <c:pt idx="215">
                  <c:v>2014</c:v>
                </c:pt>
                <c:pt idx="216">
                  <c:v>2015</c:v>
                </c:pt>
                <c:pt idx="217">
                  <c:v>2016</c:v>
                </c:pt>
                <c:pt idx="218">
                  <c:v>2017</c:v>
                </c:pt>
                <c:pt idx="219">
                  <c:v>2018</c:v>
                </c:pt>
                <c:pt idx="220">
                  <c:v>2019</c:v>
                </c:pt>
                <c:pt idx="221">
                  <c:v>2020</c:v>
                </c:pt>
                <c:pt idx="222">
                  <c:v>2021</c:v>
                </c:pt>
                <c:pt idx="223">
                  <c:v>2022</c:v>
                </c:pt>
                <c:pt idx="224">
                  <c:v>2023</c:v>
                </c:pt>
                <c:pt idx="225">
                  <c:v>2024</c:v>
                </c:pt>
                <c:pt idx="226">
                  <c:v>2025</c:v>
                </c:pt>
                <c:pt idx="227">
                  <c:v>2026</c:v>
                </c:pt>
                <c:pt idx="228">
                  <c:v>2027</c:v>
                </c:pt>
                <c:pt idx="229">
                  <c:v>2028</c:v>
                </c:pt>
                <c:pt idx="230">
                  <c:v>2029</c:v>
                </c:pt>
                <c:pt idx="231">
                  <c:v>2030</c:v>
                </c:pt>
                <c:pt idx="232">
                  <c:v>2031</c:v>
                </c:pt>
                <c:pt idx="233">
                  <c:v>2032</c:v>
                </c:pt>
                <c:pt idx="234">
                  <c:v>2033</c:v>
                </c:pt>
                <c:pt idx="235">
                  <c:v>2034</c:v>
                </c:pt>
                <c:pt idx="236">
                  <c:v>2035</c:v>
                </c:pt>
                <c:pt idx="237">
                  <c:v>2036</c:v>
                </c:pt>
                <c:pt idx="238">
                  <c:v>2037</c:v>
                </c:pt>
                <c:pt idx="239">
                  <c:v>2038</c:v>
                </c:pt>
                <c:pt idx="240">
                  <c:v>2039</c:v>
                </c:pt>
                <c:pt idx="241">
                  <c:v>2040</c:v>
                </c:pt>
                <c:pt idx="242">
                  <c:v>2041</c:v>
                </c:pt>
                <c:pt idx="243">
                  <c:v>2042</c:v>
                </c:pt>
                <c:pt idx="244">
                  <c:v>2043</c:v>
                </c:pt>
                <c:pt idx="245">
                  <c:v>2044</c:v>
                </c:pt>
                <c:pt idx="246">
                  <c:v>2045</c:v>
                </c:pt>
                <c:pt idx="247">
                  <c:v>2046</c:v>
                </c:pt>
                <c:pt idx="248">
                  <c:v>2047</c:v>
                </c:pt>
                <c:pt idx="249">
                  <c:v>2048</c:v>
                </c:pt>
                <c:pt idx="250">
                  <c:v>2049</c:v>
                </c:pt>
                <c:pt idx="251">
                  <c:v>2050</c:v>
                </c:pt>
                <c:pt idx="252">
                  <c:v>2051</c:v>
                </c:pt>
              </c:numCache>
            </c:numRef>
          </c:xVal>
          <c:yVal>
            <c:numRef>
              <c:f>'Eastern United States'!$E$13:$E$265</c:f>
              <c:numCache>
                <c:formatCode>#,##0.0</c:formatCode>
                <c:ptCount val="253"/>
                <c:pt idx="1">
                  <c:v>9.5435834728031591E-2</c:v>
                </c:pt>
                <c:pt idx="2">
                  <c:v>0.10087894317259613</c:v>
                </c:pt>
                <c:pt idx="3">
                  <c:v>0.10722923635792143</c:v>
                </c:pt>
                <c:pt idx="4">
                  <c:v>0.11240018938025774</c:v>
                </c:pt>
                <c:pt idx="5">
                  <c:v>0.12519149422498441</c:v>
                </c:pt>
                <c:pt idx="6">
                  <c:v>0.1293645440324839</c:v>
                </c:pt>
                <c:pt idx="7">
                  <c:v>0.13421798239555394</c:v>
                </c:pt>
                <c:pt idx="8">
                  <c:v>0.13893534304750987</c:v>
                </c:pt>
                <c:pt idx="9">
                  <c:v>0.14365270369946581</c:v>
                </c:pt>
                <c:pt idx="10">
                  <c:v>0.14846078282549782</c:v>
                </c:pt>
                <c:pt idx="11">
                  <c:v>0.15376781355894825</c:v>
                </c:pt>
                <c:pt idx="12">
                  <c:v>0.16420043807769694</c:v>
                </c:pt>
                <c:pt idx="13">
                  <c:v>0.17744533529280399</c:v>
                </c:pt>
                <c:pt idx="14">
                  <c:v>0.19091702869310123</c:v>
                </c:pt>
                <c:pt idx="15">
                  <c:v>0.20624845081195803</c:v>
                </c:pt>
                <c:pt idx="16">
                  <c:v>0.22176130987896694</c:v>
                </c:pt>
                <c:pt idx="17">
                  <c:v>0.2441234137387196</c:v>
                </c:pt>
                <c:pt idx="18">
                  <c:v>0.26589584751697776</c:v>
                </c:pt>
                <c:pt idx="19">
                  <c:v>0.28857546603599665</c:v>
                </c:pt>
                <c:pt idx="20">
                  <c:v>0.27392443247271042</c:v>
                </c:pt>
                <c:pt idx="21">
                  <c:v>0.27496769492458534</c:v>
                </c:pt>
                <c:pt idx="22">
                  <c:v>0.28276948369512783</c:v>
                </c:pt>
                <c:pt idx="23">
                  <c:v>0.28403954233219286</c:v>
                </c:pt>
                <c:pt idx="24">
                  <c:v>0.28573234905845246</c:v>
                </c:pt>
                <c:pt idx="25">
                  <c:v>0.31700663581143879</c:v>
                </c:pt>
                <c:pt idx="26">
                  <c:v>0.3304601855169208</c:v>
                </c:pt>
                <c:pt idx="27">
                  <c:v>0.37259982390999868</c:v>
                </c:pt>
                <c:pt idx="28">
                  <c:v>0.39949694428881438</c:v>
                </c:pt>
                <c:pt idx="29">
                  <c:v>0.44069220336676035</c:v>
                </c:pt>
                <c:pt idx="30">
                  <c:v>0.46497753887692583</c:v>
                </c:pt>
                <c:pt idx="31">
                  <c:v>0.50239800224856623</c:v>
                </c:pt>
                <c:pt idx="32">
                  <c:v>0.53493055423698777</c:v>
                </c:pt>
                <c:pt idx="33">
                  <c:v>0.59998749355116399</c:v>
                </c:pt>
                <c:pt idx="34">
                  <c:v>0.61203762846268894</c:v>
                </c:pt>
                <c:pt idx="35">
                  <c:v>0.65651780348692967</c:v>
                </c:pt>
                <c:pt idx="36">
                  <c:v>0.76277544498749639</c:v>
                </c:pt>
                <c:pt idx="37">
                  <c:v>0.77406808064048616</c:v>
                </c:pt>
                <c:pt idx="38">
                  <c:v>0.76188186801784696</c:v>
                </c:pt>
                <c:pt idx="39">
                  <c:v>0.8221688299651031</c:v>
                </c:pt>
                <c:pt idx="40">
                  <c:v>0.92491022341048101</c:v>
                </c:pt>
                <c:pt idx="41">
                  <c:v>0.92233926185516502</c:v>
                </c:pt>
                <c:pt idx="42">
                  <c:v>1.013424238566508</c:v>
                </c:pt>
                <c:pt idx="43">
                  <c:v>1.0890281076767687</c:v>
                </c:pt>
                <c:pt idx="44">
                  <c:v>1.2021730957291912</c:v>
                </c:pt>
                <c:pt idx="45">
                  <c:v>1.3753174681660485</c:v>
                </c:pt>
                <c:pt idx="46">
                  <c:v>1.5941730653203585</c:v>
                </c:pt>
                <c:pt idx="47">
                  <c:v>1.7385787323546558</c:v>
                </c:pt>
                <c:pt idx="48">
                  <c:v>2.0314297600738578</c:v>
                </c:pt>
                <c:pt idx="49">
                  <c:v>2.4161786020321245</c:v>
                </c:pt>
                <c:pt idx="50">
                  <c:v>2.7156602430215475</c:v>
                </c:pt>
                <c:pt idx="51">
                  <c:v>3.2239349880207619</c:v>
                </c:pt>
                <c:pt idx="52">
                  <c:v>3.7164483053339987</c:v>
                </c:pt>
                <c:pt idx="53">
                  <c:v>4.2664372190828743</c:v>
                </c:pt>
                <c:pt idx="54">
                  <c:v>5.0310732999736709</c:v>
                </c:pt>
                <c:pt idx="55">
                  <c:v>6.1110413536444623</c:v>
                </c:pt>
                <c:pt idx="56">
                  <c:v>6.2934000014932261</c:v>
                </c:pt>
                <c:pt idx="57">
                  <c:v>6.7254167971840912</c:v>
                </c:pt>
                <c:pt idx="58">
                  <c:v>7.407737656252479</c:v>
                </c:pt>
                <c:pt idx="59">
                  <c:v>7.4374896870104692</c:v>
                </c:pt>
                <c:pt idx="60">
                  <c:v>7.6760683876136584</c:v>
                </c:pt>
                <c:pt idx="61">
                  <c:v>7.5618411281655087</c:v>
                </c:pt>
                <c:pt idx="62">
                  <c:v>7.2995903489369081</c:v>
                </c:pt>
                <c:pt idx="63">
                  <c:v>7.8710296458810713</c:v>
                </c:pt>
                <c:pt idx="64">
                  <c:v>9.2025083186345977</c:v>
                </c:pt>
                <c:pt idx="65">
                  <c:v>9.338525248371079</c:v>
                </c:pt>
                <c:pt idx="66">
                  <c:v>10.658080792076786</c:v>
                </c:pt>
                <c:pt idx="67">
                  <c:v>11.152867514350369</c:v>
                </c:pt>
                <c:pt idx="68">
                  <c:v>11.665413285109086</c:v>
                </c:pt>
                <c:pt idx="69">
                  <c:v>13.483259098557195</c:v>
                </c:pt>
                <c:pt idx="70">
                  <c:v>16.499084999862699</c:v>
                </c:pt>
                <c:pt idx="71">
                  <c:v>17.05546230855601</c:v>
                </c:pt>
                <c:pt idx="72">
                  <c:v>20.944048011264623</c:v>
                </c:pt>
                <c:pt idx="73">
                  <c:v>24.581448774212433</c:v>
                </c:pt>
                <c:pt idx="74">
                  <c:v>27.015322014613094</c:v>
                </c:pt>
                <c:pt idx="75">
                  <c:v>24.84308629655628</c:v>
                </c:pt>
                <c:pt idx="76">
                  <c:v>25.98542148678489</c:v>
                </c:pt>
                <c:pt idx="77">
                  <c:v>25.158942622116431</c:v>
                </c:pt>
                <c:pt idx="78">
                  <c:v>26.92429509772516</c:v>
                </c:pt>
                <c:pt idx="79">
                  <c:v>28.717919078594957</c:v>
                </c:pt>
                <c:pt idx="80">
                  <c:v>31.768479269254712</c:v>
                </c:pt>
                <c:pt idx="81">
                  <c:v>40.181346773988921</c:v>
                </c:pt>
                <c:pt idx="82">
                  <c:v>42.292908162214175</c:v>
                </c:pt>
                <c:pt idx="83">
                  <c:v>47.612353718841909</c:v>
                </c:pt>
                <c:pt idx="84">
                  <c:v>52.898285149591729</c:v>
                </c:pt>
                <c:pt idx="85">
                  <c:v>56.199188412572852</c:v>
                </c:pt>
                <c:pt idx="86">
                  <c:v>55.541530277866791</c:v>
                </c:pt>
                <c:pt idx="87">
                  <c:v>56.481849034099085</c:v>
                </c:pt>
                <c:pt idx="88">
                  <c:v>65.873331191712069</c:v>
                </c:pt>
                <c:pt idx="89">
                  <c:v>72.355585283797922</c:v>
                </c:pt>
                <c:pt idx="90">
                  <c:v>72.809979605489119</c:v>
                </c:pt>
                <c:pt idx="91">
                  <c:v>84.669151221899369</c:v>
                </c:pt>
                <c:pt idx="92">
                  <c:v>89.501050297669551</c:v>
                </c:pt>
                <c:pt idx="93">
                  <c:v>97.327041849910813</c:v>
                </c:pt>
                <c:pt idx="94">
                  <c:v>98.576860288224751</c:v>
                </c:pt>
                <c:pt idx="95">
                  <c:v>89.53435395668761</c:v>
                </c:pt>
                <c:pt idx="96">
                  <c:v>103.54619694503543</c:v>
                </c:pt>
                <c:pt idx="97">
                  <c:v>105.57085094228054</c:v>
                </c:pt>
                <c:pt idx="98">
                  <c:v>112.34278726578611</c:v>
                </c:pt>
                <c:pt idx="99">
                  <c:v>126.64861798433331</c:v>
                </c:pt>
                <c:pt idx="100">
                  <c:v>147.85756212553056</c:v>
                </c:pt>
                <c:pt idx="101">
                  <c:v>162.10845192180781</c:v>
                </c:pt>
                <c:pt idx="102">
                  <c:v>170.94765633857102</c:v>
                </c:pt>
                <c:pt idx="103">
                  <c:v>200.01906539451181</c:v>
                </c:pt>
                <c:pt idx="104">
                  <c:v>216.39024188185095</c:v>
                </c:pt>
                <c:pt idx="105">
                  <c:v>213.5651225423787</c:v>
                </c:pt>
                <c:pt idx="106">
                  <c:v>244.2613629719539</c:v>
                </c:pt>
                <c:pt idx="107">
                  <c:v>266.44402206124511</c:v>
                </c:pt>
                <c:pt idx="108">
                  <c:v>308.48101159372123</c:v>
                </c:pt>
                <c:pt idx="109">
                  <c:v>257.31870337064765</c:v>
                </c:pt>
                <c:pt idx="110">
                  <c:v>294.32991665485133</c:v>
                </c:pt>
                <c:pt idx="111">
                  <c:v>328.68912866366219</c:v>
                </c:pt>
                <c:pt idx="112">
                  <c:v>318.5910185390369</c:v>
                </c:pt>
                <c:pt idx="113">
                  <c:v>355.13347948865737</c:v>
                </c:pt>
                <c:pt idx="114">
                  <c:v>380.25870658988339</c:v>
                </c:pt>
                <c:pt idx="115">
                  <c:v>333.71592821632214</c:v>
                </c:pt>
                <c:pt idx="116">
                  <c:v>352.96215912000395</c:v>
                </c:pt>
                <c:pt idx="117">
                  <c:v>401.42586852347546</c:v>
                </c:pt>
                <c:pt idx="118">
                  <c:v>438.68395308399766</c:v>
                </c:pt>
                <c:pt idx="119">
                  <c:v>462.73081240543564</c:v>
                </c:pt>
                <c:pt idx="120">
                  <c:v>372.63418262487028</c:v>
                </c:pt>
                <c:pt idx="121">
                  <c:v>451.05028814409974</c:v>
                </c:pt>
                <c:pt idx="122">
                  <c:v>334.51941357655124</c:v>
                </c:pt>
                <c:pt idx="123">
                  <c:v>340.98111267678092</c:v>
                </c:pt>
                <c:pt idx="124">
                  <c:v>463.50827789293027</c:v>
                </c:pt>
                <c:pt idx="125">
                  <c:v>392.68534131251909</c:v>
                </c:pt>
                <c:pt idx="126">
                  <c:v>427.59949455657858</c:v>
                </c:pt>
                <c:pt idx="127">
                  <c:v>476.55173745790557</c:v>
                </c:pt>
                <c:pt idx="128">
                  <c:v>425.97035586979507</c:v>
                </c:pt>
                <c:pt idx="129">
                  <c:v>409.65678107757054</c:v>
                </c:pt>
                <c:pt idx="130">
                  <c:v>439.03112905554781</c:v>
                </c:pt>
                <c:pt idx="131">
                  <c:v>384.12502816468424</c:v>
                </c:pt>
                <c:pt idx="132">
                  <c:v>314.99888175872928</c:v>
                </c:pt>
                <c:pt idx="133">
                  <c:v>251.76147108569538</c:v>
                </c:pt>
                <c:pt idx="134">
                  <c:v>275.77651362390543</c:v>
                </c:pt>
                <c:pt idx="135">
                  <c:v>297.72125081434569</c:v>
                </c:pt>
                <c:pt idx="136">
                  <c:v>306.36937944508617</c:v>
                </c:pt>
                <c:pt idx="137">
                  <c:v>361.81540494218461</c:v>
                </c:pt>
                <c:pt idx="138">
                  <c:v>366.54760078620626</c:v>
                </c:pt>
                <c:pt idx="139">
                  <c:v>285.78389892416141</c:v>
                </c:pt>
                <c:pt idx="140">
                  <c:v>326.15798435380293</c:v>
                </c:pt>
                <c:pt idx="141">
                  <c:v>383.55194686335932</c:v>
                </c:pt>
                <c:pt idx="142">
                  <c:v>429.67552877598621</c:v>
                </c:pt>
                <c:pt idx="143">
                  <c:v>485.34040261276101</c:v>
                </c:pt>
                <c:pt idx="144">
                  <c:v>489.16619752363789</c:v>
                </c:pt>
                <c:pt idx="145">
                  <c:v>514.29042762883387</c:v>
                </c:pt>
                <c:pt idx="146">
                  <c:v>479.38907929739014</c:v>
                </c:pt>
                <c:pt idx="147">
                  <c:v>448.22518876269174</c:v>
                </c:pt>
                <c:pt idx="148">
                  <c:v>534.98197074653979</c:v>
                </c:pt>
                <c:pt idx="149">
                  <c:v>506.47343353485144</c:v>
                </c:pt>
                <c:pt idx="150">
                  <c:v>364.23195186122149</c:v>
                </c:pt>
                <c:pt idx="151">
                  <c:v>435.7181094331691</c:v>
                </c:pt>
                <c:pt idx="152">
                  <c:v>452.71512273606265</c:v>
                </c:pt>
                <c:pt idx="153">
                  <c:v>393.87421326557921</c:v>
                </c:pt>
                <c:pt idx="154">
                  <c:v>387.09845043683714</c:v>
                </c:pt>
                <c:pt idx="155">
                  <c:v>332.32898608288792</c:v>
                </c:pt>
                <c:pt idx="156">
                  <c:v>397.35870985484127</c:v>
                </c:pt>
                <c:pt idx="157">
                  <c:v>431.00437752017621</c:v>
                </c:pt>
                <c:pt idx="158">
                  <c:v>424.59783888092375</c:v>
                </c:pt>
                <c:pt idx="159">
                  <c:v>353.9326834993646</c:v>
                </c:pt>
                <c:pt idx="160">
                  <c:v>355.34607732546993</c:v>
                </c:pt>
                <c:pt idx="161">
                  <c:v>357.62673976374242</c:v>
                </c:pt>
                <c:pt idx="162">
                  <c:v>345.81519443903738</c:v>
                </c:pt>
                <c:pt idx="163">
                  <c:v>363.54067708876181</c:v>
                </c:pt>
                <c:pt idx="164">
                  <c:v>394.82312850441497</c:v>
                </c:pt>
                <c:pt idx="165">
                  <c:v>418.49339276034465</c:v>
                </c:pt>
                <c:pt idx="166">
                  <c:v>439.6788780113306</c:v>
                </c:pt>
                <c:pt idx="167">
                  <c:v>458.88307178849504</c:v>
                </c:pt>
                <c:pt idx="168">
                  <c:v>475.10807087700118</c:v>
                </c:pt>
                <c:pt idx="169">
                  <c:v>467.68094940439283</c:v>
                </c:pt>
                <c:pt idx="170">
                  <c:v>478.27142406803392</c:v>
                </c:pt>
                <c:pt idx="171">
                  <c:v>506.23539370198421</c:v>
                </c:pt>
                <c:pt idx="172">
                  <c:v>454.67917769980966</c:v>
                </c:pt>
                <c:pt idx="173">
                  <c:v>481.76136376574055</c:v>
                </c:pt>
                <c:pt idx="174">
                  <c:v>467.47320409875863</c:v>
                </c:pt>
                <c:pt idx="175">
                  <c:v>464.02590208386778</c:v>
                </c:pt>
                <c:pt idx="176">
                  <c:v>487.61542689786972</c:v>
                </c:pt>
                <c:pt idx="177">
                  <c:v>492.2411618910088</c:v>
                </c:pt>
                <c:pt idx="178">
                  <c:v>478.4546753856676</c:v>
                </c:pt>
                <c:pt idx="179">
                  <c:v>437.39095809513191</c:v>
                </c:pt>
                <c:pt idx="180">
                  <c:v>503.36868992118025</c:v>
                </c:pt>
                <c:pt idx="181">
                  <c:v>519.4830124713136</c:v>
                </c:pt>
                <c:pt idx="182">
                  <c:v>497.53549203808859</c:v>
                </c:pt>
                <c:pt idx="183">
                  <c:v>507.72408386157269</c:v>
                </c:pt>
                <c:pt idx="184">
                  <c:v>456.5915231333334</c:v>
                </c:pt>
                <c:pt idx="185">
                  <c:v>529.30443487874584</c:v>
                </c:pt>
                <c:pt idx="186">
                  <c:v>502.59996425147813</c:v>
                </c:pt>
                <c:pt idx="187">
                  <c:v>508.14596921807873</c:v>
                </c:pt>
                <c:pt idx="188">
                  <c:v>524.68711493126204</c:v>
                </c:pt>
                <c:pt idx="189">
                  <c:v>522.54792795331116</c:v>
                </c:pt>
                <c:pt idx="190">
                  <c:v>540.38001660347697</c:v>
                </c:pt>
                <c:pt idx="191">
                  <c:v>568.54333917702434</c:v>
                </c:pt>
                <c:pt idx="192">
                  <c:v>533.28757009669073</c:v>
                </c:pt>
                <c:pt idx="193">
                  <c:v>530.78666043987153</c:v>
                </c:pt>
                <c:pt idx="194">
                  <c:v>464.38490865162225</c:v>
                </c:pt>
                <c:pt idx="195">
                  <c:v>509.51393032518189</c:v>
                </c:pt>
                <c:pt idx="196">
                  <c:v>489.4572006160401</c:v>
                </c:pt>
                <c:pt idx="197">
                  <c:v>507.02539648259619</c:v>
                </c:pt>
                <c:pt idx="198">
                  <c:v>521.33851552335068</c:v>
                </c:pt>
                <c:pt idx="199">
                  <c:v>512.85319752366502</c:v>
                </c:pt>
                <c:pt idx="200">
                  <c:v>476.11457057444142</c:v>
                </c:pt>
                <c:pt idx="201">
                  <c:v>456.26405030716779</c:v>
                </c:pt>
                <c:pt idx="202">
                  <c:v>477.93916221362184</c:v>
                </c:pt>
                <c:pt idx="203">
                  <c:v>445.92480684970928</c:v>
                </c:pt>
                <c:pt idx="204">
                  <c:v>424.52114366857035</c:v>
                </c:pt>
                <c:pt idx="205">
                  <c:v>438.25212407554812</c:v>
                </c:pt>
                <c:pt idx="206">
                  <c:v>446.42312977810235</c:v>
                </c:pt>
                <c:pt idx="207">
                  <c:v>443.84932692017827</c:v>
                </c:pt>
                <c:pt idx="208">
                  <c:v>432.35780099180874</c:v>
                </c:pt>
                <c:pt idx="209">
                  <c:v>445.81176618790204</c:v>
                </c:pt>
                <c:pt idx="210">
                  <c:v>403.61032959528995</c:v>
                </c:pt>
              </c:numCache>
            </c:numRef>
          </c:yVal>
          <c:smooth val="1"/>
          <c:extLst>
            <c:ext xmlns:c16="http://schemas.microsoft.com/office/drawing/2014/chart" uri="{C3380CC4-5D6E-409C-BE32-E72D297353CC}">
              <c16:uniqueId val="{00000000-E107-964D-AD51-A1EB4C1FB48A}"/>
            </c:ext>
          </c:extLst>
        </c:ser>
        <c:dLbls>
          <c:showLegendKey val="0"/>
          <c:showVal val="0"/>
          <c:showCatName val="0"/>
          <c:showSerName val="0"/>
          <c:showPercent val="0"/>
          <c:showBubbleSize val="0"/>
        </c:dLbls>
        <c:axId val="136417280"/>
        <c:axId val="136418816"/>
      </c:scatterChart>
      <c:valAx>
        <c:axId val="136417280"/>
        <c:scaling>
          <c:orientation val="minMax"/>
          <c:max val="2020"/>
          <c:min val="188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6418816"/>
        <c:crossesAt val="-1000"/>
        <c:crossBetween val="midCat"/>
        <c:majorUnit val="70"/>
        <c:minorUnit val="10"/>
      </c:valAx>
      <c:valAx>
        <c:axId val="136418816"/>
        <c:scaling>
          <c:orientation val="minMax"/>
          <c:max val="60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179653679653765"/>
              <c:y val="0.17303587051618549"/>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6417280"/>
        <c:crosses val="max"/>
        <c:crossBetween val="midCat"/>
        <c:majorUnit val="300"/>
        <c:minorUnit val="10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318096601561166E-2"/>
          <c:y val="7.5578521434820634E-2"/>
          <c:w val="0.85778487916283264"/>
          <c:h val="0.77264654418197765"/>
        </c:manualLayout>
      </c:layout>
      <c:scatterChart>
        <c:scatterStyle val="smoothMarker"/>
        <c:varyColors val="0"/>
        <c:ser>
          <c:idx val="3"/>
          <c:order val="0"/>
          <c:tx>
            <c:v>logit early</c:v>
          </c:tx>
          <c:spPr>
            <a:ln w="15875">
              <a:solidFill>
                <a:srgbClr val="008000"/>
              </a:solidFill>
              <a:prstDash val="lgDash"/>
            </a:ln>
          </c:spPr>
          <c:marker>
            <c:symbol val="none"/>
          </c:marker>
          <c:xVal>
            <c:numRef>
              <c:f>'Eastern United States'!$D$155:$D$160</c:f>
              <c:numCache>
                <c:formatCode>General</c:formatCode>
                <c:ptCount val="6"/>
                <c:pt idx="0">
                  <c:v>1941</c:v>
                </c:pt>
                <c:pt idx="1">
                  <c:v>1942</c:v>
                </c:pt>
                <c:pt idx="2">
                  <c:v>1943</c:v>
                </c:pt>
                <c:pt idx="3">
                  <c:v>1944</c:v>
                </c:pt>
                <c:pt idx="4">
                  <c:v>1945</c:v>
                </c:pt>
                <c:pt idx="5">
                  <c:v>1946</c:v>
                </c:pt>
              </c:numCache>
            </c:numRef>
          </c:xVal>
          <c:yVal>
            <c:numRef>
              <c:f>'Eastern United States'!$G$155:$G$160</c:f>
              <c:numCache>
                <c:formatCode>0.0</c:formatCode>
                <c:ptCount val="6"/>
                <c:pt idx="0">
                  <c:v>-1.3897892354370425</c:v>
                </c:pt>
                <c:pt idx="1">
                  <c:v>-1.3529758313939613</c:v>
                </c:pt>
                <c:pt idx="2">
                  <c:v>-1.3166630494575584</c:v>
                </c:pt>
                <c:pt idx="3">
                  <c:v>-1.2792884095736106</c:v>
                </c:pt>
                <c:pt idx="4">
                  <c:v>-1.2451467907793199</c:v>
                </c:pt>
                <c:pt idx="5">
                  <c:v>-1.2137976225184983</c:v>
                </c:pt>
              </c:numCache>
            </c:numRef>
          </c:yVal>
          <c:smooth val="1"/>
          <c:extLst>
            <c:ext xmlns:c16="http://schemas.microsoft.com/office/drawing/2014/chart" uri="{C3380CC4-5D6E-409C-BE32-E72D297353CC}">
              <c16:uniqueId val="{00000000-AA8C-3842-B82C-0AC6291CA81E}"/>
            </c:ext>
          </c:extLst>
        </c:ser>
        <c:ser>
          <c:idx val="0"/>
          <c:order val="1"/>
          <c:tx>
            <c:strRef>
              <c:f>'Eastern United States'!$G$12</c:f>
              <c:strCache>
                <c:ptCount val="1"/>
                <c:pt idx="0">
                  <c:v>logit</c:v>
                </c:pt>
              </c:strCache>
            </c:strRef>
          </c:tx>
          <c:spPr>
            <a:ln w="15875">
              <a:solidFill>
                <a:srgbClr val="008000"/>
              </a:solidFill>
            </a:ln>
          </c:spPr>
          <c:marker>
            <c:symbol val="none"/>
          </c:marker>
          <c:xVal>
            <c:numRef>
              <c:f>'Eastern United States'!$D$161:$D$300</c:f>
              <c:numCache>
                <c:formatCode>General</c:formatCode>
                <c:ptCount val="140"/>
                <c:pt idx="0">
                  <c:v>1947</c:v>
                </c:pt>
                <c:pt idx="1">
                  <c:v>1948</c:v>
                </c:pt>
                <c:pt idx="2">
                  <c:v>1949</c:v>
                </c:pt>
                <c:pt idx="3">
                  <c:v>1950</c:v>
                </c:pt>
                <c:pt idx="4">
                  <c:v>1951</c:v>
                </c:pt>
                <c:pt idx="5">
                  <c:v>1952</c:v>
                </c:pt>
                <c:pt idx="6">
                  <c:v>1953</c:v>
                </c:pt>
                <c:pt idx="7">
                  <c:v>1954</c:v>
                </c:pt>
                <c:pt idx="8">
                  <c:v>1955</c:v>
                </c:pt>
                <c:pt idx="9">
                  <c:v>1956</c:v>
                </c:pt>
                <c:pt idx="10">
                  <c:v>1957</c:v>
                </c:pt>
                <c:pt idx="11">
                  <c:v>1958</c:v>
                </c:pt>
                <c:pt idx="12">
                  <c:v>1959</c:v>
                </c:pt>
                <c:pt idx="13">
                  <c:v>1960</c:v>
                </c:pt>
                <c:pt idx="14">
                  <c:v>1961</c:v>
                </c:pt>
                <c:pt idx="15">
                  <c:v>1962</c:v>
                </c:pt>
                <c:pt idx="16">
                  <c:v>1963</c:v>
                </c:pt>
                <c:pt idx="17">
                  <c:v>1964</c:v>
                </c:pt>
                <c:pt idx="18">
                  <c:v>1965</c:v>
                </c:pt>
                <c:pt idx="19">
                  <c:v>1966</c:v>
                </c:pt>
                <c:pt idx="20">
                  <c:v>1967</c:v>
                </c:pt>
                <c:pt idx="21">
                  <c:v>1968</c:v>
                </c:pt>
                <c:pt idx="22">
                  <c:v>1969</c:v>
                </c:pt>
                <c:pt idx="23">
                  <c:v>1970</c:v>
                </c:pt>
                <c:pt idx="24">
                  <c:v>1971</c:v>
                </c:pt>
                <c:pt idx="25">
                  <c:v>1972</c:v>
                </c:pt>
                <c:pt idx="26">
                  <c:v>1973</c:v>
                </c:pt>
                <c:pt idx="27">
                  <c:v>1974</c:v>
                </c:pt>
                <c:pt idx="28">
                  <c:v>1975</c:v>
                </c:pt>
                <c:pt idx="29">
                  <c:v>1976</c:v>
                </c:pt>
                <c:pt idx="30">
                  <c:v>1977</c:v>
                </c:pt>
                <c:pt idx="31">
                  <c:v>1978</c:v>
                </c:pt>
                <c:pt idx="32">
                  <c:v>1979</c:v>
                </c:pt>
                <c:pt idx="33">
                  <c:v>1980</c:v>
                </c:pt>
                <c:pt idx="34">
                  <c:v>1981</c:v>
                </c:pt>
                <c:pt idx="35">
                  <c:v>1982</c:v>
                </c:pt>
                <c:pt idx="36">
                  <c:v>1983</c:v>
                </c:pt>
                <c:pt idx="37">
                  <c:v>1984</c:v>
                </c:pt>
                <c:pt idx="38">
                  <c:v>1985</c:v>
                </c:pt>
                <c:pt idx="39">
                  <c:v>1986</c:v>
                </c:pt>
                <c:pt idx="40">
                  <c:v>1987</c:v>
                </c:pt>
                <c:pt idx="41">
                  <c:v>1988</c:v>
                </c:pt>
                <c:pt idx="42">
                  <c:v>1989</c:v>
                </c:pt>
                <c:pt idx="43">
                  <c:v>1990</c:v>
                </c:pt>
                <c:pt idx="44">
                  <c:v>1991</c:v>
                </c:pt>
                <c:pt idx="45">
                  <c:v>1992</c:v>
                </c:pt>
                <c:pt idx="46">
                  <c:v>1993</c:v>
                </c:pt>
                <c:pt idx="47">
                  <c:v>1994</c:v>
                </c:pt>
                <c:pt idx="48">
                  <c:v>1995</c:v>
                </c:pt>
                <c:pt idx="49">
                  <c:v>1996</c:v>
                </c:pt>
                <c:pt idx="50">
                  <c:v>1997</c:v>
                </c:pt>
                <c:pt idx="51">
                  <c:v>1998</c:v>
                </c:pt>
                <c:pt idx="52">
                  <c:v>1999</c:v>
                </c:pt>
                <c:pt idx="53">
                  <c:v>2000</c:v>
                </c:pt>
                <c:pt idx="54">
                  <c:v>2001</c:v>
                </c:pt>
                <c:pt idx="55">
                  <c:v>2002</c:v>
                </c:pt>
                <c:pt idx="56">
                  <c:v>2003</c:v>
                </c:pt>
                <c:pt idx="57">
                  <c:v>2004</c:v>
                </c:pt>
                <c:pt idx="58">
                  <c:v>2005</c:v>
                </c:pt>
                <c:pt idx="59">
                  <c:v>2006</c:v>
                </c:pt>
                <c:pt idx="60">
                  <c:v>2007</c:v>
                </c:pt>
                <c:pt idx="61">
                  <c:v>2008</c:v>
                </c:pt>
                <c:pt idx="62">
                  <c:v>2009</c:v>
                </c:pt>
                <c:pt idx="63">
                  <c:v>2010</c:v>
                </c:pt>
                <c:pt idx="64">
                  <c:v>2011</c:v>
                </c:pt>
                <c:pt idx="65">
                  <c:v>2012</c:v>
                </c:pt>
                <c:pt idx="66">
                  <c:v>2013</c:v>
                </c:pt>
                <c:pt idx="67">
                  <c:v>2014</c:v>
                </c:pt>
                <c:pt idx="68">
                  <c:v>2015</c:v>
                </c:pt>
                <c:pt idx="69">
                  <c:v>2016</c:v>
                </c:pt>
                <c:pt idx="70">
                  <c:v>2017</c:v>
                </c:pt>
                <c:pt idx="71">
                  <c:v>2018</c:v>
                </c:pt>
                <c:pt idx="72">
                  <c:v>2019</c:v>
                </c:pt>
                <c:pt idx="73">
                  <c:v>2020</c:v>
                </c:pt>
                <c:pt idx="74">
                  <c:v>2021</c:v>
                </c:pt>
                <c:pt idx="75">
                  <c:v>2022</c:v>
                </c:pt>
                <c:pt idx="76">
                  <c:v>2023</c:v>
                </c:pt>
                <c:pt idx="77">
                  <c:v>2024</c:v>
                </c:pt>
                <c:pt idx="78">
                  <c:v>2025</c:v>
                </c:pt>
                <c:pt idx="79">
                  <c:v>2026</c:v>
                </c:pt>
                <c:pt idx="80">
                  <c:v>2027</c:v>
                </c:pt>
                <c:pt idx="81">
                  <c:v>2028</c:v>
                </c:pt>
                <c:pt idx="82">
                  <c:v>2029</c:v>
                </c:pt>
                <c:pt idx="83">
                  <c:v>2030</c:v>
                </c:pt>
                <c:pt idx="84">
                  <c:v>2031</c:v>
                </c:pt>
                <c:pt idx="85">
                  <c:v>2032</c:v>
                </c:pt>
                <c:pt idx="86">
                  <c:v>2033</c:v>
                </c:pt>
                <c:pt idx="87">
                  <c:v>2034</c:v>
                </c:pt>
                <c:pt idx="88">
                  <c:v>2035</c:v>
                </c:pt>
                <c:pt idx="89">
                  <c:v>2036</c:v>
                </c:pt>
                <c:pt idx="90">
                  <c:v>2037</c:v>
                </c:pt>
                <c:pt idx="91">
                  <c:v>2038</c:v>
                </c:pt>
                <c:pt idx="92">
                  <c:v>2039</c:v>
                </c:pt>
                <c:pt idx="93">
                  <c:v>2040</c:v>
                </c:pt>
                <c:pt idx="94">
                  <c:v>2041</c:v>
                </c:pt>
                <c:pt idx="95">
                  <c:v>2042</c:v>
                </c:pt>
                <c:pt idx="96">
                  <c:v>2043</c:v>
                </c:pt>
                <c:pt idx="97">
                  <c:v>2044</c:v>
                </c:pt>
                <c:pt idx="98">
                  <c:v>2045</c:v>
                </c:pt>
                <c:pt idx="99">
                  <c:v>2046</c:v>
                </c:pt>
                <c:pt idx="100">
                  <c:v>2047</c:v>
                </c:pt>
                <c:pt idx="101">
                  <c:v>2048</c:v>
                </c:pt>
                <c:pt idx="102">
                  <c:v>2049</c:v>
                </c:pt>
                <c:pt idx="103">
                  <c:v>2050</c:v>
                </c:pt>
                <c:pt idx="104">
                  <c:v>2051</c:v>
                </c:pt>
                <c:pt idx="105">
                  <c:v>2052</c:v>
                </c:pt>
                <c:pt idx="106">
                  <c:v>2053</c:v>
                </c:pt>
                <c:pt idx="107">
                  <c:v>2054</c:v>
                </c:pt>
                <c:pt idx="108">
                  <c:v>2055</c:v>
                </c:pt>
                <c:pt idx="109">
                  <c:v>2056</c:v>
                </c:pt>
                <c:pt idx="110">
                  <c:v>2057</c:v>
                </c:pt>
                <c:pt idx="111">
                  <c:v>2058</c:v>
                </c:pt>
                <c:pt idx="112">
                  <c:v>2059</c:v>
                </c:pt>
                <c:pt idx="113">
                  <c:v>2060</c:v>
                </c:pt>
                <c:pt idx="114">
                  <c:v>2061</c:v>
                </c:pt>
                <c:pt idx="115">
                  <c:v>2062</c:v>
                </c:pt>
                <c:pt idx="116">
                  <c:v>2063</c:v>
                </c:pt>
                <c:pt idx="117">
                  <c:v>2064</c:v>
                </c:pt>
                <c:pt idx="118">
                  <c:v>2065</c:v>
                </c:pt>
                <c:pt idx="119">
                  <c:v>2066</c:v>
                </c:pt>
                <c:pt idx="120">
                  <c:v>2067</c:v>
                </c:pt>
                <c:pt idx="121">
                  <c:v>2068</c:v>
                </c:pt>
                <c:pt idx="122">
                  <c:v>2069</c:v>
                </c:pt>
                <c:pt idx="123">
                  <c:v>2070</c:v>
                </c:pt>
                <c:pt idx="124">
                  <c:v>2071</c:v>
                </c:pt>
                <c:pt idx="125">
                  <c:v>2072</c:v>
                </c:pt>
                <c:pt idx="126">
                  <c:v>2073</c:v>
                </c:pt>
                <c:pt idx="127">
                  <c:v>2074</c:v>
                </c:pt>
                <c:pt idx="128">
                  <c:v>2075</c:v>
                </c:pt>
                <c:pt idx="129">
                  <c:v>2076</c:v>
                </c:pt>
                <c:pt idx="130">
                  <c:v>2077</c:v>
                </c:pt>
                <c:pt idx="131">
                  <c:v>2078</c:v>
                </c:pt>
                <c:pt idx="132">
                  <c:v>2079</c:v>
                </c:pt>
                <c:pt idx="133">
                  <c:v>2080</c:v>
                </c:pt>
                <c:pt idx="134">
                  <c:v>2081</c:v>
                </c:pt>
                <c:pt idx="135">
                  <c:v>2082</c:v>
                </c:pt>
                <c:pt idx="136">
                  <c:v>2083</c:v>
                </c:pt>
                <c:pt idx="137">
                  <c:v>2084</c:v>
                </c:pt>
                <c:pt idx="138">
                  <c:v>2085</c:v>
                </c:pt>
                <c:pt idx="139">
                  <c:v>2086</c:v>
                </c:pt>
              </c:numCache>
            </c:numRef>
          </c:xVal>
          <c:yVal>
            <c:numRef>
              <c:f>'Eastern United States'!$G$161:$G$300</c:f>
              <c:numCache>
                <c:formatCode>0.0</c:formatCode>
                <c:ptCount val="140"/>
                <c:pt idx="0">
                  <c:v>-1.1770639087956127</c:v>
                </c:pt>
                <c:pt idx="1">
                  <c:v>-1.1429335105907346</c:v>
                </c:pt>
                <c:pt idx="2">
                  <c:v>-1.1187559936868037</c:v>
                </c:pt>
                <c:pt idx="3">
                  <c:v>-1.0902172405536528</c:v>
                </c:pt>
                <c:pt idx="4">
                  <c:v>-1.0609876268720597</c:v>
                </c:pt>
                <c:pt idx="5">
                  <c:v>-1.0358907185328663</c:v>
                </c:pt>
                <c:pt idx="6">
                  <c:v>-1.0115143734257581</c:v>
                </c:pt>
                <c:pt idx="7">
                  <c:v>-0.99080613428819497</c:v>
                </c:pt>
                <c:pt idx="8">
                  <c:v>-0.96630080193292145</c:v>
                </c:pt>
                <c:pt idx="9">
                  <c:v>-0.94002153845607395</c:v>
                </c:pt>
                <c:pt idx="10">
                  <c:v>-0.91442552255113518</c:v>
                </c:pt>
                <c:pt idx="11">
                  <c:v>-0.89330183249544792</c:v>
                </c:pt>
                <c:pt idx="12">
                  <c:v>-0.87228028068459085</c:v>
                </c:pt>
                <c:pt idx="13">
                  <c:v>-0.85130536041297122</c:v>
                </c:pt>
                <c:pt idx="14">
                  <c:v>-0.83118992329612251</c:v>
                </c:pt>
                <c:pt idx="15">
                  <c:v>-0.81021352734957408</c:v>
                </c:pt>
                <c:pt idx="16">
                  <c:v>-0.78762194127213603</c:v>
                </c:pt>
                <c:pt idx="17">
                  <c:v>-0.76388278407273802</c:v>
                </c:pt>
                <c:pt idx="18">
                  <c:v>-0.73916103006246858</c:v>
                </c:pt>
                <c:pt idx="19">
                  <c:v>-0.71358783029610129</c:v>
                </c:pt>
                <c:pt idx="20">
                  <c:v>-0.68734418431143562</c:v>
                </c:pt>
                <c:pt idx="21">
                  <c:v>-0.6617314339035284</c:v>
                </c:pt>
                <c:pt idx="22">
                  <c:v>-0.63575349460061725</c:v>
                </c:pt>
                <c:pt idx="23">
                  <c:v>-0.60848077700273473</c:v>
                </c:pt>
                <c:pt idx="24">
                  <c:v>-0.58417161591724642</c:v>
                </c:pt>
                <c:pt idx="25">
                  <c:v>-0.55859623682318293</c:v>
                </c:pt>
                <c:pt idx="26">
                  <c:v>-0.53394854148742776</c:v>
                </c:pt>
                <c:pt idx="27">
                  <c:v>-0.50963832922582997</c:v>
                </c:pt>
                <c:pt idx="28">
                  <c:v>-0.48425001382689808</c:v>
                </c:pt>
                <c:pt idx="29">
                  <c:v>-0.45877517209390145</c:v>
                </c:pt>
                <c:pt idx="30">
                  <c:v>-0.43415332846067234</c:v>
                </c:pt>
                <c:pt idx="31">
                  <c:v>-0.41175766096465732</c:v>
                </c:pt>
                <c:pt idx="32">
                  <c:v>-0.38610881814415782</c:v>
                </c:pt>
                <c:pt idx="33">
                  <c:v>-0.35976968059266751</c:v>
                </c:pt>
                <c:pt idx="34">
                  <c:v>-0.33465868820798489</c:v>
                </c:pt>
                <c:pt idx="35">
                  <c:v>-0.30914073981852563</c:v>
                </c:pt>
                <c:pt idx="36">
                  <c:v>-0.28627789026222922</c:v>
                </c:pt>
                <c:pt idx="37">
                  <c:v>-0.25986638959157721</c:v>
                </c:pt>
                <c:pt idx="38">
                  <c:v>-0.23487069662931642</c:v>
                </c:pt>
                <c:pt idx="39">
                  <c:v>-0.20967319250784783</c:v>
                </c:pt>
                <c:pt idx="40">
                  <c:v>-0.1837247807978164</c:v>
                </c:pt>
                <c:pt idx="41">
                  <c:v>-0.15794333537528771</c:v>
                </c:pt>
                <c:pt idx="42">
                  <c:v>-0.13133697283660278</c:v>
                </c:pt>
                <c:pt idx="43">
                  <c:v>-0.10339379951703179</c:v>
                </c:pt>
                <c:pt idx="44">
                  <c:v>-7.7220213448334615E-2</c:v>
                </c:pt>
                <c:pt idx="45">
                  <c:v>-5.1195611475586954E-2</c:v>
                </c:pt>
                <c:pt idx="46">
                  <c:v>-2.8441212848427194E-2</c:v>
                </c:pt>
                <c:pt idx="47">
                  <c:v>-3.4837856042218653E-3</c:v>
                </c:pt>
                <c:pt idx="48">
                  <c:v>2.0490088734626353E-2</c:v>
                </c:pt>
                <c:pt idx="49">
                  <c:v>4.5330760406570275E-2</c:v>
                </c:pt>
                <c:pt idx="50">
                  <c:v>7.0887339641468802E-2</c:v>
                </c:pt>
                <c:pt idx="51">
                  <c:v>9.6050514685363811E-2</c:v>
                </c:pt>
                <c:pt idx="52">
                  <c:v>0.11943816737173309</c:v>
                </c:pt>
                <c:pt idx="53">
                  <c:v>0.14188129872131322</c:v>
                </c:pt>
                <c:pt idx="54">
                  <c:v>0.16542902041491736</c:v>
                </c:pt>
                <c:pt idx="55">
                  <c:v>0.18744063032803154</c:v>
                </c:pt>
                <c:pt idx="56">
                  <c:v>0.20843779388741107</c:v>
                </c:pt>
                <c:pt idx="57">
                  <c:v>0.23016229177178515</c:v>
                </c:pt>
                <c:pt idx="58">
                  <c:v>0.25234760415452245</c:v>
                </c:pt>
                <c:pt idx="59">
                  <c:v>0.27446641271704125</c:v>
                </c:pt>
                <c:pt idx="60">
                  <c:v>0.29607685398148748</c:v>
                </c:pt>
                <c:pt idx="61">
                  <c:v>0.31843192426590838</c:v>
                </c:pt>
                <c:pt idx="62">
                  <c:v>0.33873894999015741</c:v>
                </c:pt>
              </c:numCache>
            </c:numRef>
          </c:yVal>
          <c:smooth val="1"/>
          <c:extLst>
            <c:ext xmlns:c16="http://schemas.microsoft.com/office/drawing/2014/chart" uri="{C3380CC4-5D6E-409C-BE32-E72D297353CC}">
              <c16:uniqueId val="{00000001-AA8C-3842-B82C-0AC6291CA81E}"/>
            </c:ext>
          </c:extLst>
        </c:ser>
        <c:ser>
          <c:idx val="1"/>
          <c:order val="2"/>
          <c:tx>
            <c:strRef>
              <c:f>'Eastern United States'!$G$3</c:f>
              <c:strCache>
                <c:ptCount val="1"/>
                <c:pt idx="0">
                  <c:v>trend current</c:v>
                </c:pt>
              </c:strCache>
            </c:strRef>
          </c:tx>
          <c:spPr>
            <a:ln w="15875">
              <a:solidFill>
                <a:srgbClr val="808080"/>
              </a:solidFill>
              <a:prstDash val="dash"/>
            </a:ln>
          </c:spPr>
          <c:marker>
            <c:symbol val="none"/>
          </c:marker>
          <c:xVal>
            <c:numRef>
              <c:f>'Eastern United States'!$E$3:$E$4</c:f>
              <c:numCache>
                <c:formatCode>General</c:formatCode>
                <c:ptCount val="2"/>
                <c:pt idx="0">
                  <c:v>1947</c:v>
                </c:pt>
                <c:pt idx="1">
                  <c:v>2009</c:v>
                </c:pt>
              </c:numCache>
            </c:numRef>
          </c:xVal>
          <c:yVal>
            <c:numRef>
              <c:f>'Eastern United States'!$F$3:$F$4</c:f>
              <c:numCache>
                <c:formatCode>0.00</c:formatCode>
                <c:ptCount val="2"/>
                <c:pt idx="0">
                  <c:v>-1.1697671560300347</c:v>
                </c:pt>
                <c:pt idx="1">
                  <c:v>0.35606687587664337</c:v>
                </c:pt>
              </c:numCache>
            </c:numRef>
          </c:yVal>
          <c:smooth val="1"/>
          <c:extLst>
            <c:ext xmlns:c16="http://schemas.microsoft.com/office/drawing/2014/chart" uri="{C3380CC4-5D6E-409C-BE32-E72D297353CC}">
              <c16:uniqueId val="{00000002-AA8C-3842-B82C-0AC6291CA81E}"/>
            </c:ext>
          </c:extLst>
        </c:ser>
        <c:dLbls>
          <c:showLegendKey val="0"/>
          <c:showVal val="0"/>
          <c:showCatName val="0"/>
          <c:showSerName val="0"/>
          <c:showPercent val="0"/>
          <c:showBubbleSize val="0"/>
        </c:dLbls>
        <c:axId val="136663808"/>
        <c:axId val="136665344"/>
      </c:scatterChart>
      <c:valAx>
        <c:axId val="136663808"/>
        <c:scaling>
          <c:orientation val="minMax"/>
          <c:max val="2010"/>
          <c:min val="1930"/>
        </c:scaling>
        <c:delete val="0"/>
        <c:axPos val="b"/>
        <c:numFmt formatCode="General" sourceLinked="1"/>
        <c:majorTickMark val="in"/>
        <c:minorTickMark val="in"/>
        <c:tickLblPos val="nextTo"/>
        <c:spPr>
          <a:ln>
            <a:solidFill>
              <a:srgbClr val="333399"/>
            </a:solidFill>
          </a:ln>
        </c:spPr>
        <c:crossAx val="136665344"/>
        <c:crossesAt val="-100"/>
        <c:crossBetween val="midCat"/>
        <c:majorUnit val="20"/>
        <c:minorUnit val="10"/>
      </c:valAx>
      <c:valAx>
        <c:axId val="136665344"/>
        <c:scaling>
          <c:orientation val="minMax"/>
          <c:max val="1"/>
          <c:min val="-2"/>
        </c:scaling>
        <c:delete val="0"/>
        <c:axPos val="r"/>
        <c:title>
          <c:tx>
            <c:rich>
              <a:bodyPr rot="-5400000" vert="horz"/>
              <a:lstStyle/>
              <a:p>
                <a:pPr>
                  <a:defRPr b="0"/>
                </a:pPr>
                <a:r>
                  <a:rPr lang="en-US" b="0"/>
                  <a:t>logit (</a:t>
                </a:r>
                <a:r>
                  <a:rPr lang="en-US" b="0" i="1"/>
                  <a:t>q</a:t>
                </a:r>
                <a:r>
                  <a:rPr lang="en-US" b="0"/>
                  <a:t>/</a:t>
                </a:r>
                <a:r>
                  <a:rPr lang="en-US" b="0" i="1"/>
                  <a:t>Q</a:t>
                </a:r>
                <a:r>
                  <a:rPr lang="en-US" b="0"/>
                  <a:t>)</a:t>
                </a:r>
              </a:p>
            </c:rich>
          </c:tx>
          <c:layout>
            <c:manualLayout>
              <c:xMode val="edge"/>
              <c:yMode val="edge"/>
              <c:x val="0.96179653679653765"/>
              <c:y val="0.3302117964421114"/>
            </c:manualLayout>
          </c:layout>
          <c:overlay val="0"/>
        </c:title>
        <c:numFmt formatCode="0" sourceLinked="0"/>
        <c:majorTickMark val="in"/>
        <c:minorTickMark val="in"/>
        <c:tickLblPos val="nextTo"/>
        <c:spPr>
          <a:ln>
            <a:solidFill>
              <a:srgbClr val="333399"/>
            </a:solidFill>
          </a:ln>
        </c:spPr>
        <c:crossAx val="136663808"/>
        <c:crosses val="max"/>
        <c:crossBetween val="midCat"/>
        <c:majorUnit val="1"/>
        <c:minorUnit val="0.5"/>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778487916283264"/>
          <c:h val="0.77264654418197765"/>
        </c:manualLayout>
      </c:layout>
      <c:scatterChart>
        <c:scatterStyle val="smoothMarker"/>
        <c:varyColors val="0"/>
        <c:ser>
          <c:idx val="0"/>
          <c:order val="0"/>
          <c:tx>
            <c:v>early r m logit early</c:v>
          </c:tx>
          <c:spPr>
            <a:ln w="15875">
              <a:solidFill>
                <a:srgbClr val="008000"/>
              </a:solidFill>
              <a:prstDash val="lgDash"/>
            </a:ln>
          </c:spPr>
          <c:marker>
            <c:symbol val="none"/>
          </c:marker>
          <c:xVal>
            <c:numRef>
              <c:f>'Eastern United States'!$D$14:$D$69</c:f>
              <c:numCache>
                <c:formatCode>General</c:formatCode>
                <c:ptCount val="56"/>
                <c:pt idx="0">
                  <c:v>1800</c:v>
                </c:pt>
                <c:pt idx="1">
                  <c:v>1801</c:v>
                </c:pt>
                <c:pt idx="2">
                  <c:v>1802</c:v>
                </c:pt>
                <c:pt idx="3">
                  <c:v>1803</c:v>
                </c:pt>
                <c:pt idx="4">
                  <c:v>1804</c:v>
                </c:pt>
                <c:pt idx="5">
                  <c:v>1805</c:v>
                </c:pt>
                <c:pt idx="6">
                  <c:v>1806</c:v>
                </c:pt>
                <c:pt idx="7">
                  <c:v>1807</c:v>
                </c:pt>
                <c:pt idx="8">
                  <c:v>1808</c:v>
                </c:pt>
                <c:pt idx="9">
                  <c:v>1809</c:v>
                </c:pt>
                <c:pt idx="10">
                  <c:v>1810</c:v>
                </c:pt>
                <c:pt idx="11">
                  <c:v>1811</c:v>
                </c:pt>
                <c:pt idx="12">
                  <c:v>1812</c:v>
                </c:pt>
                <c:pt idx="13">
                  <c:v>1813</c:v>
                </c:pt>
                <c:pt idx="14">
                  <c:v>1814</c:v>
                </c:pt>
                <c:pt idx="15">
                  <c:v>1815</c:v>
                </c:pt>
                <c:pt idx="16">
                  <c:v>1816</c:v>
                </c:pt>
                <c:pt idx="17">
                  <c:v>1817</c:v>
                </c:pt>
                <c:pt idx="18">
                  <c:v>1818</c:v>
                </c:pt>
                <c:pt idx="19">
                  <c:v>1819</c:v>
                </c:pt>
                <c:pt idx="20">
                  <c:v>1820</c:v>
                </c:pt>
                <c:pt idx="21">
                  <c:v>1821</c:v>
                </c:pt>
                <c:pt idx="22">
                  <c:v>1822</c:v>
                </c:pt>
                <c:pt idx="23">
                  <c:v>1823</c:v>
                </c:pt>
                <c:pt idx="24">
                  <c:v>1824</c:v>
                </c:pt>
                <c:pt idx="25">
                  <c:v>1825</c:v>
                </c:pt>
                <c:pt idx="26">
                  <c:v>1826</c:v>
                </c:pt>
                <c:pt idx="27">
                  <c:v>1827</c:v>
                </c:pt>
                <c:pt idx="28">
                  <c:v>1828</c:v>
                </c:pt>
                <c:pt idx="29">
                  <c:v>1829</c:v>
                </c:pt>
                <c:pt idx="30">
                  <c:v>1830</c:v>
                </c:pt>
                <c:pt idx="31">
                  <c:v>1831</c:v>
                </c:pt>
                <c:pt idx="32">
                  <c:v>1832</c:v>
                </c:pt>
                <c:pt idx="33">
                  <c:v>1833</c:v>
                </c:pt>
                <c:pt idx="34">
                  <c:v>1834</c:v>
                </c:pt>
                <c:pt idx="35">
                  <c:v>1835</c:v>
                </c:pt>
                <c:pt idx="36">
                  <c:v>1836</c:v>
                </c:pt>
                <c:pt idx="37">
                  <c:v>1837</c:v>
                </c:pt>
                <c:pt idx="38">
                  <c:v>1838</c:v>
                </c:pt>
                <c:pt idx="39">
                  <c:v>1839</c:v>
                </c:pt>
                <c:pt idx="40">
                  <c:v>1840</c:v>
                </c:pt>
                <c:pt idx="41">
                  <c:v>1841</c:v>
                </c:pt>
                <c:pt idx="42">
                  <c:v>1842</c:v>
                </c:pt>
                <c:pt idx="43">
                  <c:v>1843</c:v>
                </c:pt>
                <c:pt idx="44">
                  <c:v>1844</c:v>
                </c:pt>
                <c:pt idx="45">
                  <c:v>1845</c:v>
                </c:pt>
                <c:pt idx="46">
                  <c:v>1846</c:v>
                </c:pt>
                <c:pt idx="47">
                  <c:v>1847</c:v>
                </c:pt>
                <c:pt idx="48">
                  <c:v>1848</c:v>
                </c:pt>
                <c:pt idx="49">
                  <c:v>1849</c:v>
                </c:pt>
                <c:pt idx="50">
                  <c:v>1850</c:v>
                </c:pt>
                <c:pt idx="51">
                  <c:v>1851</c:v>
                </c:pt>
                <c:pt idx="52">
                  <c:v>1852</c:v>
                </c:pt>
                <c:pt idx="53">
                  <c:v>1853</c:v>
                </c:pt>
                <c:pt idx="54">
                  <c:v>1854</c:v>
                </c:pt>
                <c:pt idx="55">
                  <c:v>1855</c:v>
                </c:pt>
              </c:numCache>
            </c:numRef>
          </c:xVal>
          <c:yVal>
            <c:numRef>
              <c:f>'Eastern United States'!$N$14:$N$69</c:f>
              <c:numCache>
                <c:formatCode>0.0</c:formatCode>
                <c:ptCount val="56"/>
                <c:pt idx="0">
                  <c:v>-274.63899045506787</c:v>
                </c:pt>
                <c:pt idx="1">
                  <c:v>-182.54688209587766</c:v>
                </c:pt>
                <c:pt idx="2">
                  <c:v>-131.65140805275132</c:v>
                </c:pt>
                <c:pt idx="3">
                  <c:v>-98.187000709212953</c:v>
                </c:pt>
                <c:pt idx="4">
                  <c:v>-72.21340346001125</c:v>
                </c:pt>
                <c:pt idx="5">
                  <c:v>-53.277431046884885</c:v>
                </c:pt>
                <c:pt idx="6">
                  <c:v>-38.943124818188153</c:v>
                </c:pt>
                <c:pt idx="7">
                  <c:v>-27.9571319403085</c:v>
                </c:pt>
                <c:pt idx="8">
                  <c:v>-19.506401959250979</c:v>
                </c:pt>
                <c:pt idx="9">
                  <c:v>-13.034373041534309</c:v>
                </c:pt>
                <c:pt idx="10">
                  <c:v>-8.1081480561160788</c:v>
                </c:pt>
                <c:pt idx="11">
                  <c:v>-3.9877735082964136</c:v>
                </c:pt>
                <c:pt idx="12">
                  <c:v>-0.37979988957704336</c:v>
                </c:pt>
                <c:pt idx="13">
                  <c:v>2.7190792546352895</c:v>
                </c:pt>
                <c:pt idx="14">
                  <c:v>5.4305084010065912</c:v>
                </c:pt>
                <c:pt idx="15">
                  <c:v>7.7361844042015946</c:v>
                </c:pt>
                <c:pt idx="16">
                  <c:v>10.000620540574346</c:v>
                </c:pt>
                <c:pt idx="17">
                  <c:v>12.084346806011126</c:v>
                </c:pt>
                <c:pt idx="18">
                  <c:v>13.958760905181407</c:v>
                </c:pt>
                <c:pt idx="19">
                  <c:v>13.999298660405657</c:v>
                </c:pt>
                <c:pt idx="20">
                  <c:v>13.153189306865897</c:v>
                </c:pt>
                <c:pt idx="21">
                  <c:v>11.789991243304939</c:v>
                </c:pt>
                <c:pt idx="22">
                  <c:v>9.7395969473518562</c:v>
                </c:pt>
                <c:pt idx="23">
                  <c:v>7.1012239127785506</c:v>
                </c:pt>
                <c:pt idx="24">
                  <c:v>4.8231547807454263</c:v>
                </c:pt>
                <c:pt idx="25">
                  <c:v>2.3056912563733931</c:v>
                </c:pt>
                <c:pt idx="26">
                  <c:v>0.29989127661337989</c:v>
                </c:pt>
                <c:pt idx="27">
                  <c:v>-1.7012159914620497</c:v>
                </c:pt>
                <c:pt idx="28">
                  <c:v>-3.4193825973843559</c:v>
                </c:pt>
                <c:pt idx="29">
                  <c:v>-5.3103955440064965</c:v>
                </c:pt>
                <c:pt idx="30">
                  <c:v>-7.128892071559676</c:v>
                </c:pt>
                <c:pt idx="31">
                  <c:v>-9.023364278689769</c:v>
                </c:pt>
                <c:pt idx="32">
                  <c:v>-10.471323023737568</c:v>
                </c:pt>
                <c:pt idx="33">
                  <c:v>-12.447195414073576</c:v>
                </c:pt>
                <c:pt idx="34">
                  <c:v>-14.415738106274148</c:v>
                </c:pt>
                <c:pt idx="35">
                  <c:v>-15.573455236448353</c:v>
                </c:pt>
                <c:pt idx="36">
                  <c:v>-17.344282346582986</c:v>
                </c:pt>
                <c:pt idx="37">
                  <c:v>-19.937333485326235</c:v>
                </c:pt>
                <c:pt idx="38">
                  <c:v>-22.429266409239062</c:v>
                </c:pt>
                <c:pt idx="39">
                  <c:v>-24.431375235740234</c:v>
                </c:pt>
                <c:pt idx="40">
                  <c:v>-27.105847938472834</c:v>
                </c:pt>
                <c:pt idx="41">
                  <c:v>-29.508813339140033</c:v>
                </c:pt>
                <c:pt idx="42">
                  <c:v>-31.860116459038181</c:v>
                </c:pt>
                <c:pt idx="43">
                  <c:v>-33.907331513276404</c:v>
                </c:pt>
                <c:pt idx="44">
                  <c:v>-35.302840249416477</c:v>
                </c:pt>
                <c:pt idx="45">
                  <c:v>-35.911579815408004</c:v>
                </c:pt>
                <c:pt idx="46">
                  <c:v>-36.433065087375326</c:v>
                </c:pt>
                <c:pt idx="47">
                  <c:v>-36.082214194908374</c:v>
                </c:pt>
                <c:pt idx="48">
                  <c:v>-34.645622258324693</c:v>
                </c:pt>
                <c:pt idx="49">
                  <c:v>-32.897933508682399</c:v>
                </c:pt>
                <c:pt idx="50">
                  <c:v>-30.110262238556061</c:v>
                </c:pt>
                <c:pt idx="51">
                  <c:v>-26.749764617573419</c:v>
                </c:pt>
                <c:pt idx="52">
                  <c:v>-22.916986615405222</c:v>
                </c:pt>
                <c:pt idx="53">
                  <c:v>-18.229688432318653</c:v>
                </c:pt>
                <c:pt idx="54">
                  <c:v>-12.24671107613176</c:v>
                </c:pt>
                <c:pt idx="55">
                  <c:v>-7.7983416327479063</c:v>
                </c:pt>
              </c:numCache>
            </c:numRef>
          </c:yVal>
          <c:smooth val="1"/>
          <c:extLst>
            <c:ext xmlns:c16="http://schemas.microsoft.com/office/drawing/2014/chart" uri="{C3380CC4-5D6E-409C-BE32-E72D297353CC}">
              <c16:uniqueId val="{00000000-BC47-764F-81DA-4253DE504278}"/>
            </c:ext>
          </c:extLst>
        </c:ser>
        <c:ser>
          <c:idx val="1"/>
          <c:order val="1"/>
          <c:tx>
            <c:v>r m logit early</c:v>
          </c:tx>
          <c:spPr>
            <a:ln w="15875">
              <a:solidFill>
                <a:srgbClr val="008000"/>
              </a:solidFill>
              <a:prstDash val="solid"/>
            </a:ln>
          </c:spPr>
          <c:marker>
            <c:symbol val="none"/>
          </c:marker>
          <c:xVal>
            <c:numRef>
              <c:f>'Eastern United States'!$D$70:$D$145</c:f>
              <c:numCache>
                <c:formatCode>General</c:formatCode>
                <c:ptCount val="76"/>
                <c:pt idx="0">
                  <c:v>1856</c:v>
                </c:pt>
                <c:pt idx="1">
                  <c:v>1857</c:v>
                </c:pt>
                <c:pt idx="2">
                  <c:v>1858</c:v>
                </c:pt>
                <c:pt idx="3">
                  <c:v>1859</c:v>
                </c:pt>
                <c:pt idx="4">
                  <c:v>1860</c:v>
                </c:pt>
                <c:pt idx="5">
                  <c:v>1861</c:v>
                </c:pt>
                <c:pt idx="6">
                  <c:v>1862</c:v>
                </c:pt>
                <c:pt idx="7">
                  <c:v>1863</c:v>
                </c:pt>
                <c:pt idx="8">
                  <c:v>1864</c:v>
                </c:pt>
                <c:pt idx="9">
                  <c:v>1865</c:v>
                </c:pt>
                <c:pt idx="10">
                  <c:v>1866</c:v>
                </c:pt>
                <c:pt idx="11">
                  <c:v>1867</c:v>
                </c:pt>
                <c:pt idx="12">
                  <c:v>1868</c:v>
                </c:pt>
                <c:pt idx="13">
                  <c:v>1869</c:v>
                </c:pt>
                <c:pt idx="14">
                  <c:v>1870</c:v>
                </c:pt>
                <c:pt idx="15">
                  <c:v>1871</c:v>
                </c:pt>
                <c:pt idx="16">
                  <c:v>1872</c:v>
                </c:pt>
                <c:pt idx="17">
                  <c:v>1873</c:v>
                </c:pt>
                <c:pt idx="18">
                  <c:v>1874</c:v>
                </c:pt>
                <c:pt idx="19">
                  <c:v>1875</c:v>
                </c:pt>
                <c:pt idx="20">
                  <c:v>1876</c:v>
                </c:pt>
                <c:pt idx="21">
                  <c:v>1877</c:v>
                </c:pt>
                <c:pt idx="22">
                  <c:v>1878</c:v>
                </c:pt>
                <c:pt idx="23">
                  <c:v>1879</c:v>
                </c:pt>
                <c:pt idx="24">
                  <c:v>1880</c:v>
                </c:pt>
                <c:pt idx="25">
                  <c:v>1881</c:v>
                </c:pt>
                <c:pt idx="26">
                  <c:v>1882</c:v>
                </c:pt>
                <c:pt idx="27">
                  <c:v>1883</c:v>
                </c:pt>
                <c:pt idx="28">
                  <c:v>1884</c:v>
                </c:pt>
                <c:pt idx="29">
                  <c:v>1885</c:v>
                </c:pt>
                <c:pt idx="30">
                  <c:v>1886</c:v>
                </c:pt>
                <c:pt idx="31">
                  <c:v>1887</c:v>
                </c:pt>
                <c:pt idx="32">
                  <c:v>1888</c:v>
                </c:pt>
                <c:pt idx="33">
                  <c:v>1889</c:v>
                </c:pt>
                <c:pt idx="34">
                  <c:v>1890</c:v>
                </c:pt>
                <c:pt idx="35">
                  <c:v>1891</c:v>
                </c:pt>
                <c:pt idx="36">
                  <c:v>1892</c:v>
                </c:pt>
                <c:pt idx="37">
                  <c:v>1893</c:v>
                </c:pt>
                <c:pt idx="38">
                  <c:v>1894</c:v>
                </c:pt>
                <c:pt idx="39">
                  <c:v>1895</c:v>
                </c:pt>
                <c:pt idx="40">
                  <c:v>1896</c:v>
                </c:pt>
                <c:pt idx="41">
                  <c:v>1897</c:v>
                </c:pt>
                <c:pt idx="42">
                  <c:v>1898</c:v>
                </c:pt>
                <c:pt idx="43">
                  <c:v>1899</c:v>
                </c:pt>
                <c:pt idx="44">
                  <c:v>1900</c:v>
                </c:pt>
                <c:pt idx="45">
                  <c:v>1901</c:v>
                </c:pt>
                <c:pt idx="46">
                  <c:v>1902</c:v>
                </c:pt>
                <c:pt idx="47">
                  <c:v>1903</c:v>
                </c:pt>
                <c:pt idx="48">
                  <c:v>1904</c:v>
                </c:pt>
                <c:pt idx="49">
                  <c:v>1905</c:v>
                </c:pt>
                <c:pt idx="50">
                  <c:v>1906</c:v>
                </c:pt>
                <c:pt idx="51">
                  <c:v>1907</c:v>
                </c:pt>
                <c:pt idx="52">
                  <c:v>1908</c:v>
                </c:pt>
                <c:pt idx="53">
                  <c:v>1909</c:v>
                </c:pt>
                <c:pt idx="54">
                  <c:v>1910</c:v>
                </c:pt>
                <c:pt idx="55">
                  <c:v>1911</c:v>
                </c:pt>
                <c:pt idx="56">
                  <c:v>1912</c:v>
                </c:pt>
                <c:pt idx="57">
                  <c:v>1913</c:v>
                </c:pt>
                <c:pt idx="58">
                  <c:v>1914</c:v>
                </c:pt>
                <c:pt idx="59">
                  <c:v>1915</c:v>
                </c:pt>
                <c:pt idx="60">
                  <c:v>1916</c:v>
                </c:pt>
                <c:pt idx="61">
                  <c:v>1917</c:v>
                </c:pt>
                <c:pt idx="62">
                  <c:v>1918</c:v>
                </c:pt>
                <c:pt idx="63">
                  <c:v>1919</c:v>
                </c:pt>
                <c:pt idx="64">
                  <c:v>1920</c:v>
                </c:pt>
                <c:pt idx="65">
                  <c:v>1921</c:v>
                </c:pt>
                <c:pt idx="66">
                  <c:v>1922</c:v>
                </c:pt>
                <c:pt idx="67">
                  <c:v>1923</c:v>
                </c:pt>
                <c:pt idx="68">
                  <c:v>1924</c:v>
                </c:pt>
                <c:pt idx="69">
                  <c:v>1925</c:v>
                </c:pt>
                <c:pt idx="70">
                  <c:v>1926</c:v>
                </c:pt>
                <c:pt idx="71">
                  <c:v>1927</c:v>
                </c:pt>
                <c:pt idx="72">
                  <c:v>1928</c:v>
                </c:pt>
                <c:pt idx="73">
                  <c:v>1929</c:v>
                </c:pt>
                <c:pt idx="74">
                  <c:v>1930</c:v>
                </c:pt>
                <c:pt idx="75">
                  <c:v>1931</c:v>
                </c:pt>
              </c:numCache>
            </c:numRef>
          </c:xVal>
          <c:yVal>
            <c:numRef>
              <c:f>'Eastern United States'!$N$70:$N$145</c:f>
              <c:numCache>
                <c:formatCode>0.0</c:formatCode>
                <c:ptCount val="76"/>
                <c:pt idx="0">
                  <c:v>-4.0650529172698953</c:v>
                </c:pt>
                <c:pt idx="1">
                  <c:v>-0.50562141736463673</c:v>
                </c:pt>
                <c:pt idx="2">
                  <c:v>1.6014388231751582</c:v>
                </c:pt>
                <c:pt idx="3">
                  <c:v>2.8543104905802466</c:v>
                </c:pt>
                <c:pt idx="4">
                  <c:v>2.8267318560228887</c:v>
                </c:pt>
                <c:pt idx="5">
                  <c:v>1.5192080022789014</c:v>
                </c:pt>
                <c:pt idx="6">
                  <c:v>0.23224161276357336</c:v>
                </c:pt>
                <c:pt idx="7">
                  <c:v>-0.16552857396072795</c:v>
                </c:pt>
                <c:pt idx="8">
                  <c:v>-1.2650186653918354</c:v>
                </c:pt>
                <c:pt idx="9">
                  <c:v>-1.7435872496780576</c:v>
                </c:pt>
                <c:pt idx="10">
                  <c:v>-2.5866850245756723</c:v>
                </c:pt>
                <c:pt idx="11">
                  <c:v>-3.7610411258456224</c:v>
                </c:pt>
                <c:pt idx="12">
                  <c:v>-4.1701022647666832</c:v>
                </c:pt>
                <c:pt idx="13">
                  <c:v>-3.1293151621885045</c:v>
                </c:pt>
                <c:pt idx="14">
                  <c:v>-2.7646332719477869</c:v>
                </c:pt>
                <c:pt idx="15">
                  <c:v>-0.877147659604816</c:v>
                </c:pt>
                <c:pt idx="16">
                  <c:v>1.9116853671821445</c:v>
                </c:pt>
                <c:pt idx="17">
                  <c:v>4.6216828706337765</c:v>
                </c:pt>
                <c:pt idx="18">
                  <c:v>4.9702307102697887</c:v>
                </c:pt>
                <c:pt idx="19">
                  <c:v>4.8745230900722163</c:v>
                </c:pt>
                <c:pt idx="20">
                  <c:v>3.5590612286396208</c:v>
                </c:pt>
                <c:pt idx="21">
                  <c:v>2.205097972870135</c:v>
                </c:pt>
                <c:pt idx="22">
                  <c:v>0.7833096046697392</c:v>
                </c:pt>
                <c:pt idx="23">
                  <c:v>-0.32255561211877648</c:v>
                </c:pt>
                <c:pt idx="24">
                  <c:v>0.41585131788360741</c:v>
                </c:pt>
                <c:pt idx="25">
                  <c:v>0.75665326556736545</c:v>
                </c:pt>
                <c:pt idx="26">
                  <c:v>1.545870112801822</c:v>
                </c:pt>
                <c:pt idx="27">
                  <c:v>2.6006419338473279</c:v>
                </c:pt>
                <c:pt idx="28">
                  <c:v>3.3508510498049873</c:v>
                </c:pt>
                <c:pt idx="29">
                  <c:v>2.9939021649215647</c:v>
                </c:pt>
                <c:pt idx="30">
                  <c:v>2.0002894216850109</c:v>
                </c:pt>
                <c:pt idx="31">
                  <c:v>1.9264396757480426</c:v>
                </c:pt>
                <c:pt idx="32">
                  <c:v>2.059755273272458</c:v>
                </c:pt>
                <c:pt idx="33">
                  <c:v>1.3962792641523265</c:v>
                </c:pt>
                <c:pt idx="34">
                  <c:v>1.6387960730635314</c:v>
                </c:pt>
                <c:pt idx="35">
                  <c:v>1.6399753729165241</c:v>
                </c:pt>
                <c:pt idx="36">
                  <c:v>1.7557556582405596</c:v>
                </c:pt>
                <c:pt idx="37">
                  <c:v>1.1771326634834622</c:v>
                </c:pt>
                <c:pt idx="38">
                  <c:v>-1.0906267606251276</c:v>
                </c:pt>
                <c:pt idx="39">
                  <c:v>-2.4988717245287262</c:v>
                </c:pt>
                <c:pt idx="40">
                  <c:v>-4.3423538578408625</c:v>
                </c:pt>
                <c:pt idx="41">
                  <c:v>-6.1579342152190293</c:v>
                </c:pt>
                <c:pt idx="42">
                  <c:v>-7.3513614691946714</c:v>
                </c:pt>
                <c:pt idx="43">
                  <c:v>-7.5217551211317186</c:v>
                </c:pt>
                <c:pt idx="44">
                  <c:v>-7.3924133368591356</c:v>
                </c:pt>
                <c:pt idx="45">
                  <c:v>-7.420179576171904</c:v>
                </c:pt>
                <c:pt idx="46">
                  <c:v>-6.3247123568653478</c:v>
                </c:pt>
                <c:pt idx="47">
                  <c:v>-5.1025463507376116</c:v>
                </c:pt>
                <c:pt idx="48">
                  <c:v>-4.8743153440182141</c:v>
                </c:pt>
                <c:pt idx="49">
                  <c:v>-3.7421899295968615</c:v>
                </c:pt>
                <c:pt idx="50">
                  <c:v>-2.3041466231015875</c:v>
                </c:pt>
                <c:pt idx="51">
                  <c:v>0.27596886268020171</c:v>
                </c:pt>
                <c:pt idx="52">
                  <c:v>-0.24678695333750511</c:v>
                </c:pt>
                <c:pt idx="53">
                  <c:v>0.22706688718608348</c:v>
                </c:pt>
                <c:pt idx="54">
                  <c:v>1.446054780659324</c:v>
                </c:pt>
                <c:pt idx="55">
                  <c:v>1.6435866780184369</c:v>
                </c:pt>
                <c:pt idx="56">
                  <c:v>2.6280493761851176</c:v>
                </c:pt>
                <c:pt idx="57">
                  <c:v>3.9184281741008817</c:v>
                </c:pt>
                <c:pt idx="58">
                  <c:v>3.1339305983055965</c:v>
                </c:pt>
                <c:pt idx="59">
                  <c:v>2.6034072233478582</c:v>
                </c:pt>
                <c:pt idx="60">
                  <c:v>3.2249598748603603</c:v>
                </c:pt>
                <c:pt idx="61">
                  <c:v>4.5811912376420878</c:v>
                </c:pt>
                <c:pt idx="62">
                  <c:v>6.2575199236016488</c:v>
                </c:pt>
                <c:pt idx="63">
                  <c:v>5.0156706493535239</c:v>
                </c:pt>
                <c:pt idx="64">
                  <c:v>5.7883739112521653</c:v>
                </c:pt>
                <c:pt idx="65">
                  <c:v>3.1165650985276443</c:v>
                </c:pt>
                <c:pt idx="66">
                  <c:v>0.52310745411341486</c:v>
                </c:pt>
                <c:pt idx="67">
                  <c:v>1.1828689539761399</c:v>
                </c:pt>
                <c:pt idx="68">
                  <c:v>-0.17209962784909294</c:v>
                </c:pt>
                <c:pt idx="69">
                  <c:v>-0.62786675027655292</c:v>
                </c:pt>
                <c:pt idx="70">
                  <c:v>0.22411599066072085</c:v>
                </c:pt>
                <c:pt idx="71">
                  <c:v>-0.26015004455348389</c:v>
                </c:pt>
                <c:pt idx="72">
                  <c:v>-1.1248061455753486</c:v>
                </c:pt>
                <c:pt idx="73">
                  <c:v>-1.0858364110290495</c:v>
                </c:pt>
                <c:pt idx="74">
                  <c:v>-2.4294344584650389</c:v>
                </c:pt>
                <c:pt idx="75">
                  <c:v>-5.5819045493608428</c:v>
                </c:pt>
              </c:numCache>
            </c:numRef>
          </c:yVal>
          <c:smooth val="1"/>
          <c:extLst>
            <c:ext xmlns:c16="http://schemas.microsoft.com/office/drawing/2014/chart" uri="{C3380CC4-5D6E-409C-BE32-E72D297353CC}">
              <c16:uniqueId val="{00000001-BC47-764F-81DA-4253DE504278}"/>
            </c:ext>
          </c:extLst>
        </c:ser>
        <c:ser>
          <c:idx val="2"/>
          <c:order val="2"/>
          <c:tx>
            <c:v>zero early</c:v>
          </c:tx>
          <c:spPr>
            <a:ln w="15875">
              <a:solidFill>
                <a:srgbClr val="808080"/>
              </a:solidFill>
            </a:ln>
          </c:spPr>
          <c:marker>
            <c:symbol val="none"/>
          </c:marker>
          <c:xVal>
            <c:numRef>
              <c:f>'Eastern United States'!$E$8:$E$9</c:f>
              <c:numCache>
                <c:formatCode>General</c:formatCode>
                <c:ptCount val="2"/>
                <c:pt idx="0">
                  <c:v>1856</c:v>
                </c:pt>
                <c:pt idx="1">
                  <c:v>1931</c:v>
                </c:pt>
              </c:numCache>
            </c:numRef>
          </c:xVal>
          <c:yVal>
            <c:numLit>
              <c:formatCode>General</c:formatCode>
              <c:ptCount val="2"/>
              <c:pt idx="0">
                <c:v>0</c:v>
              </c:pt>
              <c:pt idx="1">
                <c:v>0</c:v>
              </c:pt>
            </c:numLit>
          </c:yVal>
          <c:smooth val="1"/>
          <c:extLst>
            <c:ext xmlns:c16="http://schemas.microsoft.com/office/drawing/2014/chart" uri="{C3380CC4-5D6E-409C-BE32-E72D297353CC}">
              <c16:uniqueId val="{00000002-BC47-764F-81DA-4253DE504278}"/>
            </c:ext>
          </c:extLst>
        </c:ser>
        <c:ser>
          <c:idx val="3"/>
          <c:order val="3"/>
          <c:tx>
            <c:v>late r m logit early</c:v>
          </c:tx>
          <c:spPr>
            <a:ln w="15875">
              <a:solidFill>
                <a:srgbClr val="008000"/>
              </a:solidFill>
              <a:prstDash val="lgDash"/>
            </a:ln>
          </c:spPr>
          <c:marker>
            <c:symbol val="none"/>
          </c:marker>
          <c:xVal>
            <c:numRef>
              <c:f>'Eastern United States'!$D$146:$D$154</c:f>
              <c:numCache>
                <c:formatCode>General</c:formatCode>
                <c:ptCount val="9"/>
                <c:pt idx="0">
                  <c:v>1932</c:v>
                </c:pt>
                <c:pt idx="1">
                  <c:v>1933</c:v>
                </c:pt>
                <c:pt idx="2">
                  <c:v>1934</c:v>
                </c:pt>
                <c:pt idx="3">
                  <c:v>1935</c:v>
                </c:pt>
                <c:pt idx="4">
                  <c:v>1936</c:v>
                </c:pt>
                <c:pt idx="5">
                  <c:v>1937</c:v>
                </c:pt>
                <c:pt idx="6">
                  <c:v>1938</c:v>
                </c:pt>
                <c:pt idx="7">
                  <c:v>1939</c:v>
                </c:pt>
                <c:pt idx="8">
                  <c:v>1940</c:v>
                </c:pt>
              </c:numCache>
            </c:numRef>
          </c:xVal>
          <c:yVal>
            <c:numRef>
              <c:f>'Eastern United States'!$N$146:$N$154</c:f>
              <c:numCache>
                <c:formatCode>0.0</c:formatCode>
                <c:ptCount val="9"/>
                <c:pt idx="0">
                  <c:v>-10.426647333728397</c:v>
                </c:pt>
                <c:pt idx="1">
                  <c:v>-14.49033715409314</c:v>
                </c:pt>
                <c:pt idx="2">
                  <c:v>-17.790818307106747</c:v>
                </c:pt>
                <c:pt idx="3">
                  <c:v>-20.675764341935064</c:v>
                </c:pt>
                <c:pt idx="4">
                  <c:v>-21.666627999486082</c:v>
                </c:pt>
                <c:pt idx="5">
                  <c:v>-22.20143560165161</c:v>
                </c:pt>
                <c:pt idx="6">
                  <c:v>-25.011951289329772</c:v>
                </c:pt>
                <c:pt idx="7">
                  <c:v>-26.217529851110157</c:v>
                </c:pt>
                <c:pt idx="8">
                  <c:v>-25.043281868653139</c:v>
                </c:pt>
              </c:numCache>
            </c:numRef>
          </c:yVal>
          <c:smooth val="1"/>
          <c:extLst>
            <c:ext xmlns:c16="http://schemas.microsoft.com/office/drawing/2014/chart" uri="{C3380CC4-5D6E-409C-BE32-E72D297353CC}">
              <c16:uniqueId val="{00000003-BC47-764F-81DA-4253DE504278}"/>
            </c:ext>
          </c:extLst>
        </c:ser>
        <c:ser>
          <c:idx val="4"/>
          <c:order val="4"/>
          <c:tx>
            <c:v>zero</c:v>
          </c:tx>
          <c:spPr>
            <a:ln w="15875">
              <a:solidFill>
                <a:srgbClr val="808080"/>
              </a:solidFill>
              <a:prstDash val="solid"/>
            </a:ln>
          </c:spPr>
          <c:marker>
            <c:symbol val="none"/>
          </c:marker>
          <c:xVal>
            <c:numRef>
              <c:f>'Eastern United States'!$E$3:$E$4</c:f>
              <c:numCache>
                <c:formatCode>General</c:formatCode>
                <c:ptCount val="2"/>
                <c:pt idx="0">
                  <c:v>1947</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4-BC47-764F-81DA-4253DE504278}"/>
            </c:ext>
          </c:extLst>
        </c:ser>
        <c:ser>
          <c:idx val="5"/>
          <c:order val="5"/>
          <c:tx>
            <c:strRef>
              <c:f>'Eastern United States'!$I$12</c:f>
              <c:strCache>
                <c:ptCount val="1"/>
                <c:pt idx="0">
                  <c:v>r m</c:v>
                </c:pt>
              </c:strCache>
            </c:strRef>
          </c:tx>
          <c:spPr>
            <a:ln w="15875">
              <a:solidFill>
                <a:srgbClr val="008000"/>
              </a:solidFill>
              <a:prstDash val="solid"/>
            </a:ln>
          </c:spPr>
          <c:marker>
            <c:symbol val="none"/>
          </c:marker>
          <c:xVal>
            <c:numRef>
              <c:f>'Eastern United States'!$D$161:$D$298</c:f>
              <c:numCache>
                <c:formatCode>General</c:formatCode>
                <c:ptCount val="138"/>
                <c:pt idx="0">
                  <c:v>1947</c:v>
                </c:pt>
                <c:pt idx="1">
                  <c:v>1948</c:v>
                </c:pt>
                <c:pt idx="2">
                  <c:v>1949</c:v>
                </c:pt>
                <c:pt idx="3">
                  <c:v>1950</c:v>
                </c:pt>
                <c:pt idx="4">
                  <c:v>1951</c:v>
                </c:pt>
                <c:pt idx="5">
                  <c:v>1952</c:v>
                </c:pt>
                <c:pt idx="6">
                  <c:v>1953</c:v>
                </c:pt>
                <c:pt idx="7">
                  <c:v>1954</c:v>
                </c:pt>
                <c:pt idx="8">
                  <c:v>1955</c:v>
                </c:pt>
                <c:pt idx="9">
                  <c:v>1956</c:v>
                </c:pt>
                <c:pt idx="10">
                  <c:v>1957</c:v>
                </c:pt>
                <c:pt idx="11">
                  <c:v>1958</c:v>
                </c:pt>
                <c:pt idx="12">
                  <c:v>1959</c:v>
                </c:pt>
                <c:pt idx="13">
                  <c:v>1960</c:v>
                </c:pt>
                <c:pt idx="14">
                  <c:v>1961</c:v>
                </c:pt>
                <c:pt idx="15">
                  <c:v>1962</c:v>
                </c:pt>
                <c:pt idx="16">
                  <c:v>1963</c:v>
                </c:pt>
                <c:pt idx="17">
                  <c:v>1964</c:v>
                </c:pt>
                <c:pt idx="18">
                  <c:v>1965</c:v>
                </c:pt>
                <c:pt idx="19">
                  <c:v>1966</c:v>
                </c:pt>
                <c:pt idx="20">
                  <c:v>1967</c:v>
                </c:pt>
                <c:pt idx="21">
                  <c:v>1968</c:v>
                </c:pt>
                <c:pt idx="22">
                  <c:v>1969</c:v>
                </c:pt>
                <c:pt idx="23">
                  <c:v>1970</c:v>
                </c:pt>
                <c:pt idx="24">
                  <c:v>1971</c:v>
                </c:pt>
                <c:pt idx="25">
                  <c:v>1972</c:v>
                </c:pt>
                <c:pt idx="26">
                  <c:v>1973</c:v>
                </c:pt>
                <c:pt idx="27">
                  <c:v>1974</c:v>
                </c:pt>
                <c:pt idx="28">
                  <c:v>1975</c:v>
                </c:pt>
                <c:pt idx="29">
                  <c:v>1976</c:v>
                </c:pt>
                <c:pt idx="30">
                  <c:v>1977</c:v>
                </c:pt>
                <c:pt idx="31">
                  <c:v>1978</c:v>
                </c:pt>
                <c:pt idx="32">
                  <c:v>1979</c:v>
                </c:pt>
                <c:pt idx="33">
                  <c:v>1980</c:v>
                </c:pt>
                <c:pt idx="34">
                  <c:v>1981</c:v>
                </c:pt>
                <c:pt idx="35">
                  <c:v>1982</c:v>
                </c:pt>
                <c:pt idx="36">
                  <c:v>1983</c:v>
                </c:pt>
                <c:pt idx="37">
                  <c:v>1984</c:v>
                </c:pt>
                <c:pt idx="38">
                  <c:v>1985</c:v>
                </c:pt>
                <c:pt idx="39">
                  <c:v>1986</c:v>
                </c:pt>
                <c:pt idx="40">
                  <c:v>1987</c:v>
                </c:pt>
                <c:pt idx="41">
                  <c:v>1988</c:v>
                </c:pt>
                <c:pt idx="42">
                  <c:v>1989</c:v>
                </c:pt>
                <c:pt idx="43">
                  <c:v>1990</c:v>
                </c:pt>
                <c:pt idx="44">
                  <c:v>1991</c:v>
                </c:pt>
                <c:pt idx="45">
                  <c:v>1992</c:v>
                </c:pt>
                <c:pt idx="46">
                  <c:v>1993</c:v>
                </c:pt>
                <c:pt idx="47">
                  <c:v>1994</c:v>
                </c:pt>
                <c:pt idx="48">
                  <c:v>1995</c:v>
                </c:pt>
                <c:pt idx="49">
                  <c:v>1996</c:v>
                </c:pt>
                <c:pt idx="50">
                  <c:v>1997</c:v>
                </c:pt>
                <c:pt idx="51">
                  <c:v>1998</c:v>
                </c:pt>
                <c:pt idx="52">
                  <c:v>1999</c:v>
                </c:pt>
                <c:pt idx="53">
                  <c:v>2000</c:v>
                </c:pt>
                <c:pt idx="54">
                  <c:v>2001</c:v>
                </c:pt>
                <c:pt idx="55">
                  <c:v>2002</c:v>
                </c:pt>
                <c:pt idx="56">
                  <c:v>2003</c:v>
                </c:pt>
                <c:pt idx="57">
                  <c:v>2004</c:v>
                </c:pt>
                <c:pt idx="58">
                  <c:v>2005</c:v>
                </c:pt>
                <c:pt idx="59">
                  <c:v>2006</c:v>
                </c:pt>
                <c:pt idx="60">
                  <c:v>2007</c:v>
                </c:pt>
                <c:pt idx="61">
                  <c:v>2008</c:v>
                </c:pt>
                <c:pt idx="62">
                  <c:v>2009</c:v>
                </c:pt>
                <c:pt idx="63">
                  <c:v>2010</c:v>
                </c:pt>
                <c:pt idx="64">
                  <c:v>2011</c:v>
                </c:pt>
                <c:pt idx="65">
                  <c:v>2012</c:v>
                </c:pt>
                <c:pt idx="66">
                  <c:v>2013</c:v>
                </c:pt>
                <c:pt idx="67">
                  <c:v>2014</c:v>
                </c:pt>
                <c:pt idx="68">
                  <c:v>2015</c:v>
                </c:pt>
                <c:pt idx="69">
                  <c:v>2016</c:v>
                </c:pt>
                <c:pt idx="70">
                  <c:v>2017</c:v>
                </c:pt>
                <c:pt idx="71">
                  <c:v>2018</c:v>
                </c:pt>
                <c:pt idx="72">
                  <c:v>2019</c:v>
                </c:pt>
                <c:pt idx="73">
                  <c:v>2020</c:v>
                </c:pt>
                <c:pt idx="74">
                  <c:v>2021</c:v>
                </c:pt>
                <c:pt idx="75">
                  <c:v>2022</c:v>
                </c:pt>
                <c:pt idx="76">
                  <c:v>2023</c:v>
                </c:pt>
                <c:pt idx="77">
                  <c:v>2024</c:v>
                </c:pt>
                <c:pt idx="78">
                  <c:v>2025</c:v>
                </c:pt>
                <c:pt idx="79">
                  <c:v>2026</c:v>
                </c:pt>
                <c:pt idx="80">
                  <c:v>2027</c:v>
                </c:pt>
                <c:pt idx="81">
                  <c:v>2028</c:v>
                </c:pt>
                <c:pt idx="82">
                  <c:v>2029</c:v>
                </c:pt>
                <c:pt idx="83">
                  <c:v>2030</c:v>
                </c:pt>
                <c:pt idx="84">
                  <c:v>2031</c:v>
                </c:pt>
                <c:pt idx="85">
                  <c:v>2032</c:v>
                </c:pt>
                <c:pt idx="86">
                  <c:v>2033</c:v>
                </c:pt>
                <c:pt idx="87">
                  <c:v>2034</c:v>
                </c:pt>
                <c:pt idx="88">
                  <c:v>2035</c:v>
                </c:pt>
                <c:pt idx="89">
                  <c:v>2036</c:v>
                </c:pt>
                <c:pt idx="90">
                  <c:v>2037</c:v>
                </c:pt>
                <c:pt idx="91">
                  <c:v>2038</c:v>
                </c:pt>
                <c:pt idx="92">
                  <c:v>2039</c:v>
                </c:pt>
                <c:pt idx="93">
                  <c:v>2040</c:v>
                </c:pt>
                <c:pt idx="94">
                  <c:v>2041</c:v>
                </c:pt>
                <c:pt idx="95">
                  <c:v>2042</c:v>
                </c:pt>
                <c:pt idx="96">
                  <c:v>2043</c:v>
                </c:pt>
                <c:pt idx="97">
                  <c:v>2044</c:v>
                </c:pt>
                <c:pt idx="98">
                  <c:v>2045</c:v>
                </c:pt>
                <c:pt idx="99">
                  <c:v>2046</c:v>
                </c:pt>
                <c:pt idx="100">
                  <c:v>2047</c:v>
                </c:pt>
                <c:pt idx="101">
                  <c:v>2048</c:v>
                </c:pt>
                <c:pt idx="102">
                  <c:v>2049</c:v>
                </c:pt>
                <c:pt idx="103">
                  <c:v>2050</c:v>
                </c:pt>
                <c:pt idx="104">
                  <c:v>2051</c:v>
                </c:pt>
                <c:pt idx="105">
                  <c:v>2052</c:v>
                </c:pt>
                <c:pt idx="106">
                  <c:v>2053</c:v>
                </c:pt>
                <c:pt idx="107">
                  <c:v>2054</c:v>
                </c:pt>
                <c:pt idx="108">
                  <c:v>2055</c:v>
                </c:pt>
                <c:pt idx="109">
                  <c:v>2056</c:v>
                </c:pt>
                <c:pt idx="110">
                  <c:v>2057</c:v>
                </c:pt>
                <c:pt idx="111">
                  <c:v>2058</c:v>
                </c:pt>
                <c:pt idx="112">
                  <c:v>2059</c:v>
                </c:pt>
                <c:pt idx="113">
                  <c:v>2060</c:v>
                </c:pt>
                <c:pt idx="114">
                  <c:v>2061</c:v>
                </c:pt>
                <c:pt idx="115">
                  <c:v>2062</c:v>
                </c:pt>
                <c:pt idx="116">
                  <c:v>2063</c:v>
                </c:pt>
                <c:pt idx="117">
                  <c:v>2064</c:v>
                </c:pt>
                <c:pt idx="118">
                  <c:v>2065</c:v>
                </c:pt>
                <c:pt idx="119">
                  <c:v>2066</c:v>
                </c:pt>
                <c:pt idx="120">
                  <c:v>2067</c:v>
                </c:pt>
                <c:pt idx="121">
                  <c:v>2068</c:v>
                </c:pt>
                <c:pt idx="122">
                  <c:v>2069</c:v>
                </c:pt>
                <c:pt idx="123">
                  <c:v>2070</c:v>
                </c:pt>
                <c:pt idx="124">
                  <c:v>2071</c:v>
                </c:pt>
                <c:pt idx="125">
                  <c:v>2072</c:v>
                </c:pt>
                <c:pt idx="126">
                  <c:v>2073</c:v>
                </c:pt>
                <c:pt idx="127">
                  <c:v>2074</c:v>
                </c:pt>
                <c:pt idx="128">
                  <c:v>2075</c:v>
                </c:pt>
                <c:pt idx="129">
                  <c:v>2076</c:v>
                </c:pt>
                <c:pt idx="130">
                  <c:v>2077</c:v>
                </c:pt>
                <c:pt idx="131">
                  <c:v>2078</c:v>
                </c:pt>
                <c:pt idx="132">
                  <c:v>2079</c:v>
                </c:pt>
                <c:pt idx="133">
                  <c:v>2080</c:v>
                </c:pt>
                <c:pt idx="134">
                  <c:v>2081</c:v>
                </c:pt>
                <c:pt idx="135">
                  <c:v>2082</c:v>
                </c:pt>
                <c:pt idx="136">
                  <c:v>2083</c:v>
                </c:pt>
                <c:pt idx="137">
                  <c:v>2084</c:v>
                </c:pt>
              </c:numCache>
            </c:numRef>
          </c:xVal>
          <c:yVal>
            <c:numRef>
              <c:f>'Eastern United States'!$I$161:$I$300</c:f>
              <c:numCache>
                <c:formatCode>0.0</c:formatCode>
                <c:ptCount val="140"/>
                <c:pt idx="0">
                  <c:v>-3.557912554097129</c:v>
                </c:pt>
                <c:pt idx="1">
                  <c:v>1.0841440086978764</c:v>
                </c:pt>
                <c:pt idx="2">
                  <c:v>0.87315395367113524</c:v>
                </c:pt>
                <c:pt idx="3">
                  <c:v>2.7887121907169785</c:v>
                </c:pt>
                <c:pt idx="4">
                  <c:v>5.0411355371325044</c:v>
                </c:pt>
                <c:pt idx="5">
                  <c:v>5.2784427500464517</c:v>
                </c:pt>
                <c:pt idx="6">
                  <c:v>5.1644017602984604</c:v>
                </c:pt>
                <c:pt idx="7">
                  <c:v>3.2617843039906802</c:v>
                </c:pt>
                <c:pt idx="8">
                  <c:v>3.2106377776144654</c:v>
                </c:pt>
                <c:pt idx="9">
                  <c:v>4.024463932969411</c:v>
                </c:pt>
                <c:pt idx="10">
                  <c:v>4.5051370829032749</c:v>
                </c:pt>
                <c:pt idx="11">
                  <c:v>2.8050943998814546</c:v>
                </c:pt>
                <c:pt idx="12">
                  <c:v>1.0552488860384983</c:v>
                </c:pt>
                <c:pt idx="13">
                  <c:v>-0.71733426798618893</c:v>
                </c:pt>
                <c:pt idx="14">
                  <c:v>-2.9090032817939573</c:v>
                </c:pt>
                <c:pt idx="15">
                  <c:v>-4.6808668935073001</c:v>
                </c:pt>
                <c:pt idx="16">
                  <c:v>-5.6651602765750795</c:v>
                </c:pt>
                <c:pt idx="17">
                  <c:v>-6.0898954790800417</c:v>
                </c:pt>
                <c:pt idx="18">
                  <c:v>-6.0355143347178455</c:v>
                </c:pt>
                <c:pt idx="19">
                  <c:v>-5.5659663836859181</c:v>
                </c:pt>
                <c:pt idx="20">
                  <c:v>-4.769507395160872</c:v>
                </c:pt>
                <c:pt idx="21">
                  <c:v>-4.2806744650979454</c:v>
                </c:pt>
                <c:pt idx="22">
                  <c:v>-3.6137746337881254</c:v>
                </c:pt>
                <c:pt idx="23">
                  <c:v>-2.3155380834687094</c:v>
                </c:pt>
                <c:pt idx="24">
                  <c:v>-2.4623381486089784</c:v>
                </c:pt>
                <c:pt idx="25">
                  <c:v>-1.991727552640441</c:v>
                </c:pt>
                <c:pt idx="26">
                  <c:v>-1.9734575794072953</c:v>
                </c:pt>
                <c:pt idx="27">
                  <c:v>-2.1197450887839295</c:v>
                </c:pt>
                <c:pt idx="28">
                  <c:v>-1.7403471583284045</c:v>
                </c:pt>
                <c:pt idx="29">
                  <c:v>-1.3187587987704319</c:v>
                </c:pt>
                <c:pt idx="30">
                  <c:v>-1.3130941720410192</c:v>
                </c:pt>
                <c:pt idx="31">
                  <c:v>-2.3929178824773771</c:v>
                </c:pt>
                <c:pt idx="32">
                  <c:v>-1.8864862133623319</c:v>
                </c:pt>
                <c:pt idx="33">
                  <c:v>-1.0434653286993125</c:v>
                </c:pt>
                <c:pt idx="34">
                  <c:v>-0.79929070450452855</c:v>
                </c:pt>
                <c:pt idx="35">
                  <c:v>-0.35668344528949092</c:v>
                </c:pt>
                <c:pt idx="36">
                  <c:v>-1.2087081647623563</c:v>
                </c:pt>
                <c:pt idx="37">
                  <c:v>-0.33040286545747222</c:v>
                </c:pt>
                <c:pt idx="38">
                  <c:v>-0.14244849096667167</c:v>
                </c:pt>
                <c:pt idx="39">
                  <c:v>0.14390944466504152</c:v>
                </c:pt>
                <c:pt idx="40">
                  <c:v>0.79641155732133484</c:v>
                </c:pt>
                <c:pt idx="41">
                  <c:v>1.3675005442346446</c:v>
                </c:pt>
                <c:pt idx="42">
                  <c:v>2.3408209151593837</c:v>
                </c:pt>
                <c:pt idx="43">
                  <c:v>3.9659731368465145</c:v>
                </c:pt>
                <c:pt idx="44">
                  <c:v>4.7282707576277971</c:v>
                </c:pt>
                <c:pt idx="45">
                  <c:v>5.4179234084676864</c:v>
                </c:pt>
                <c:pt idx="46">
                  <c:v>4.5130177795444979</c:v>
                </c:pt>
                <c:pt idx="47">
                  <c:v>4.6823137064984621</c:v>
                </c:pt>
                <c:pt idx="48">
                  <c:v>4.3720270928333775</c:v>
                </c:pt>
                <c:pt idx="49">
                  <c:v>4.4843927482443178</c:v>
                </c:pt>
                <c:pt idx="50">
                  <c:v>4.9458364919019004</c:v>
                </c:pt>
                <c:pt idx="51">
                  <c:v>5.2154554944772826</c:v>
                </c:pt>
                <c:pt idx="52">
                  <c:v>4.6193259252049756</c:v>
                </c:pt>
                <c:pt idx="53">
                  <c:v>3.5626456932286601</c:v>
                </c:pt>
                <c:pt idx="54">
                  <c:v>3.0445661208077581</c:v>
                </c:pt>
                <c:pt idx="55">
                  <c:v>1.7774750957714787</c:v>
                </c:pt>
                <c:pt idx="56">
                  <c:v>1.5737817343506322E-2</c:v>
                </c:pt>
                <c:pt idx="57">
                  <c:v>-1.3913496587574627</c:v>
                </c:pt>
                <c:pt idx="58">
                  <c:v>-2.5737429809641981</c:v>
                </c:pt>
                <c:pt idx="59">
                  <c:v>-3.7885637108784067</c:v>
                </c:pt>
                <c:pt idx="60">
                  <c:v>-5.2512654434794968</c:v>
                </c:pt>
                <c:pt idx="61">
                  <c:v>-6.3508844427833537</c:v>
                </c:pt>
                <c:pt idx="62">
                  <c:v>-8.4491344339967327</c:v>
                </c:pt>
              </c:numCache>
            </c:numRef>
          </c:yVal>
          <c:smooth val="1"/>
          <c:extLst>
            <c:ext xmlns:c16="http://schemas.microsoft.com/office/drawing/2014/chart" uri="{C3380CC4-5D6E-409C-BE32-E72D297353CC}">
              <c16:uniqueId val="{00000005-BC47-764F-81DA-4253DE504278}"/>
            </c:ext>
          </c:extLst>
        </c:ser>
        <c:ser>
          <c:idx val="6"/>
          <c:order val="6"/>
          <c:tx>
            <c:v>early r m</c:v>
          </c:tx>
          <c:spPr>
            <a:ln w="15875">
              <a:solidFill>
                <a:srgbClr val="008000"/>
              </a:solidFill>
              <a:prstDash val="lgDash"/>
            </a:ln>
          </c:spPr>
          <c:marker>
            <c:symbol val="none"/>
          </c:marker>
          <c:xVal>
            <c:numRef>
              <c:f>'Eastern United States'!$D$155:$D$160</c:f>
              <c:numCache>
                <c:formatCode>General</c:formatCode>
                <c:ptCount val="6"/>
                <c:pt idx="0">
                  <c:v>1941</c:v>
                </c:pt>
                <c:pt idx="1">
                  <c:v>1942</c:v>
                </c:pt>
                <c:pt idx="2">
                  <c:v>1943</c:v>
                </c:pt>
                <c:pt idx="3">
                  <c:v>1944</c:v>
                </c:pt>
                <c:pt idx="4">
                  <c:v>1945</c:v>
                </c:pt>
                <c:pt idx="5">
                  <c:v>1946</c:v>
                </c:pt>
              </c:numCache>
            </c:numRef>
          </c:xVal>
          <c:yVal>
            <c:numRef>
              <c:f>'Eastern United States'!$I$155:$I$160</c:f>
              <c:numCache>
                <c:formatCode>#,##0.0</c:formatCode>
                <c:ptCount val="6"/>
                <c:pt idx="0">
                  <c:v>-35.283245527208237</c:v>
                </c:pt>
                <c:pt idx="1">
                  <c:v>-29.332949469236155</c:v>
                </c:pt>
                <c:pt idx="2" formatCode="0.0">
                  <c:v>-23.626757841748258</c:v>
                </c:pt>
                <c:pt idx="3" formatCode="0.0">
                  <c:v>-17.40280196437925</c:v>
                </c:pt>
                <c:pt idx="4" formatCode="0.0">
                  <c:v>-12.755274217725855</c:v>
                </c:pt>
                <c:pt idx="5" formatCode="0.0">
                  <c:v>-9.4693514382315698</c:v>
                </c:pt>
              </c:numCache>
            </c:numRef>
          </c:yVal>
          <c:smooth val="1"/>
          <c:extLst>
            <c:ext xmlns:c16="http://schemas.microsoft.com/office/drawing/2014/chart" uri="{C3380CC4-5D6E-409C-BE32-E72D297353CC}">
              <c16:uniqueId val="{00000006-BC47-764F-81DA-4253DE504278}"/>
            </c:ext>
          </c:extLst>
        </c:ser>
        <c:dLbls>
          <c:showLegendKey val="0"/>
          <c:showVal val="0"/>
          <c:showCatName val="0"/>
          <c:showSerName val="0"/>
          <c:showPercent val="0"/>
          <c:showBubbleSize val="0"/>
        </c:dLbls>
        <c:axId val="136712192"/>
        <c:axId val="136713728"/>
      </c:scatterChart>
      <c:valAx>
        <c:axId val="136712192"/>
        <c:scaling>
          <c:orientation val="minMax"/>
          <c:max val="2020"/>
          <c:min val="1850"/>
        </c:scaling>
        <c:delete val="0"/>
        <c:axPos val="b"/>
        <c:numFmt formatCode="General" sourceLinked="1"/>
        <c:majorTickMark val="in"/>
        <c:minorTickMark val="in"/>
        <c:tickLblPos val="nextTo"/>
        <c:spPr>
          <a:ln>
            <a:solidFill>
              <a:srgbClr val="333399"/>
            </a:solidFill>
          </a:ln>
        </c:spPr>
        <c:crossAx val="136713728"/>
        <c:crossesAt val="-100"/>
        <c:crossBetween val="midCat"/>
        <c:majorUnit val="80"/>
        <c:minorUnit val="10"/>
      </c:valAx>
      <c:valAx>
        <c:axId val="136713728"/>
        <c:scaling>
          <c:orientation val="minMax"/>
          <c:max val="20"/>
          <c:min val="-20"/>
        </c:scaling>
        <c:delete val="0"/>
        <c:axPos val="r"/>
        <c:title>
          <c:tx>
            <c:rich>
              <a:bodyPr rot="-5400000" vert="horz"/>
              <a:lstStyle/>
              <a:p>
                <a:pPr>
                  <a:defRPr b="0"/>
                </a:pPr>
                <a:r>
                  <a:rPr lang="en-US" b="0"/>
                  <a:t>Residual</a:t>
                </a:r>
                <a:r>
                  <a:rPr lang="en-US" b="0" baseline="0"/>
                  <a:t>, months</a:t>
                </a:r>
                <a:endParaRPr lang="en-US" b="0"/>
              </a:p>
            </c:rich>
          </c:tx>
          <c:layout>
            <c:manualLayout>
              <c:xMode val="edge"/>
              <c:yMode val="edge"/>
              <c:x val="0.96179653679653765"/>
              <c:y val="0.26076735199766732"/>
            </c:manualLayout>
          </c:layout>
          <c:overlay val="0"/>
        </c:title>
        <c:numFmt formatCode="0" sourceLinked="0"/>
        <c:majorTickMark val="in"/>
        <c:minorTickMark val="in"/>
        <c:tickLblPos val="nextTo"/>
        <c:spPr>
          <a:ln>
            <a:solidFill>
              <a:srgbClr val="333399"/>
            </a:solidFill>
          </a:ln>
        </c:spPr>
        <c:crossAx val="136712192"/>
        <c:crosses val="max"/>
        <c:crossBetween val="midCat"/>
        <c:majorUnit val="20"/>
        <c:minorUnit val="10"/>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444361121526612E-2"/>
          <c:y val="5.7060002916302532E-2"/>
          <c:w val="0.85885164354460086"/>
          <c:h val="0.77264654418197765"/>
        </c:manualLayout>
      </c:layout>
      <c:scatterChart>
        <c:scatterStyle val="smoothMarker"/>
        <c:varyColors val="0"/>
        <c:ser>
          <c:idx val="3"/>
          <c:order val="0"/>
          <c:tx>
            <c:v>Current long-term fit</c:v>
          </c:tx>
          <c:spPr>
            <a:ln w="15875">
              <a:solidFill>
                <a:srgbClr val="808080"/>
              </a:solidFill>
            </a:ln>
          </c:spPr>
          <c:marker>
            <c:symbol val="none"/>
          </c:marker>
          <c:xVal>
            <c:numLit>
              <c:formatCode>General</c:formatCode>
              <c:ptCount val="2"/>
              <c:pt idx="0">
                <c:v>1995</c:v>
              </c:pt>
              <c:pt idx="1">
                <c:v>2009</c:v>
              </c:pt>
            </c:numLit>
          </c:xVal>
          <c:yVal>
            <c:numRef>
              <c:f>('Eastern United States'!$F$1,'Eastern United States'!$F$1)</c:f>
              <c:numCache>
                <c:formatCode>0.0</c:formatCode>
                <c:ptCount val="2"/>
                <c:pt idx="0">
                  <c:v>81.667552204362536</c:v>
                </c:pt>
                <c:pt idx="1">
                  <c:v>81.667552204362536</c:v>
                </c:pt>
              </c:numCache>
            </c:numRef>
          </c:yVal>
          <c:smooth val="1"/>
          <c:extLst>
            <c:ext xmlns:c16="http://schemas.microsoft.com/office/drawing/2014/chart" uri="{C3380CC4-5D6E-409C-BE32-E72D297353CC}">
              <c16:uniqueId val="{00000000-1982-8343-B114-CA35B8B98E1F}"/>
            </c:ext>
          </c:extLst>
        </c:ser>
        <c:ser>
          <c:idx val="0"/>
          <c:order val="1"/>
          <c:tx>
            <c:strRef>
              <c:f>'Eastern United States'!$F$12</c:f>
              <c:strCache>
                <c:ptCount val="1"/>
                <c:pt idx="0">
                  <c:v>q Gt</c:v>
                </c:pt>
              </c:strCache>
            </c:strRef>
          </c:tx>
          <c:spPr>
            <a:ln w="15875">
              <a:solidFill>
                <a:srgbClr val="008000"/>
              </a:solidFill>
            </a:ln>
          </c:spPr>
          <c:marker>
            <c:symbol val="none"/>
          </c:marker>
          <c:xVal>
            <c:numRef>
              <c:f>'Eastern United States'!$D$14:$D$259</c:f>
              <c:numCache>
                <c:formatCode>General</c:formatCode>
                <c:ptCount val="246"/>
                <c:pt idx="0">
                  <c:v>1800</c:v>
                </c:pt>
                <c:pt idx="1">
                  <c:v>1801</c:v>
                </c:pt>
                <c:pt idx="2">
                  <c:v>1802</c:v>
                </c:pt>
                <c:pt idx="3">
                  <c:v>1803</c:v>
                </c:pt>
                <c:pt idx="4">
                  <c:v>1804</c:v>
                </c:pt>
                <c:pt idx="5">
                  <c:v>1805</c:v>
                </c:pt>
                <c:pt idx="6">
                  <c:v>1806</c:v>
                </c:pt>
                <c:pt idx="7">
                  <c:v>1807</c:v>
                </c:pt>
                <c:pt idx="8">
                  <c:v>1808</c:v>
                </c:pt>
                <c:pt idx="9">
                  <c:v>1809</c:v>
                </c:pt>
                <c:pt idx="10">
                  <c:v>1810</c:v>
                </c:pt>
                <c:pt idx="11">
                  <c:v>1811</c:v>
                </c:pt>
                <c:pt idx="12">
                  <c:v>1812</c:v>
                </c:pt>
                <c:pt idx="13">
                  <c:v>1813</c:v>
                </c:pt>
                <c:pt idx="14">
                  <c:v>1814</c:v>
                </c:pt>
                <c:pt idx="15">
                  <c:v>1815</c:v>
                </c:pt>
                <c:pt idx="16">
                  <c:v>1816</c:v>
                </c:pt>
                <c:pt idx="17">
                  <c:v>1817</c:v>
                </c:pt>
                <c:pt idx="18">
                  <c:v>1818</c:v>
                </c:pt>
                <c:pt idx="19">
                  <c:v>1819</c:v>
                </c:pt>
                <c:pt idx="20">
                  <c:v>1820</c:v>
                </c:pt>
                <c:pt idx="21">
                  <c:v>1821</c:v>
                </c:pt>
                <c:pt idx="22">
                  <c:v>1822</c:v>
                </c:pt>
                <c:pt idx="23">
                  <c:v>1823</c:v>
                </c:pt>
                <c:pt idx="24">
                  <c:v>1824</c:v>
                </c:pt>
                <c:pt idx="25">
                  <c:v>1825</c:v>
                </c:pt>
                <c:pt idx="26">
                  <c:v>1826</c:v>
                </c:pt>
                <c:pt idx="27">
                  <c:v>1827</c:v>
                </c:pt>
                <c:pt idx="28">
                  <c:v>1828</c:v>
                </c:pt>
                <c:pt idx="29">
                  <c:v>1829</c:v>
                </c:pt>
                <c:pt idx="30">
                  <c:v>1830</c:v>
                </c:pt>
                <c:pt idx="31">
                  <c:v>1831</c:v>
                </c:pt>
                <c:pt idx="32">
                  <c:v>1832</c:v>
                </c:pt>
                <c:pt idx="33">
                  <c:v>1833</c:v>
                </c:pt>
                <c:pt idx="34">
                  <c:v>1834</c:v>
                </c:pt>
                <c:pt idx="35">
                  <c:v>1835</c:v>
                </c:pt>
                <c:pt idx="36">
                  <c:v>1836</c:v>
                </c:pt>
                <c:pt idx="37">
                  <c:v>1837</c:v>
                </c:pt>
                <c:pt idx="38">
                  <c:v>1838</c:v>
                </c:pt>
                <c:pt idx="39">
                  <c:v>1839</c:v>
                </c:pt>
                <c:pt idx="40">
                  <c:v>1840</c:v>
                </c:pt>
                <c:pt idx="41">
                  <c:v>1841</c:v>
                </c:pt>
                <c:pt idx="42">
                  <c:v>1842</c:v>
                </c:pt>
                <c:pt idx="43">
                  <c:v>1843</c:v>
                </c:pt>
                <c:pt idx="44">
                  <c:v>1844</c:v>
                </c:pt>
                <c:pt idx="45">
                  <c:v>1845</c:v>
                </c:pt>
                <c:pt idx="46">
                  <c:v>1846</c:v>
                </c:pt>
                <c:pt idx="47">
                  <c:v>1847</c:v>
                </c:pt>
                <c:pt idx="48">
                  <c:v>1848</c:v>
                </c:pt>
                <c:pt idx="49">
                  <c:v>1849</c:v>
                </c:pt>
                <c:pt idx="50">
                  <c:v>1850</c:v>
                </c:pt>
                <c:pt idx="51">
                  <c:v>1851</c:v>
                </c:pt>
                <c:pt idx="52">
                  <c:v>1852</c:v>
                </c:pt>
                <c:pt idx="53">
                  <c:v>1853</c:v>
                </c:pt>
                <c:pt idx="54">
                  <c:v>1854</c:v>
                </c:pt>
                <c:pt idx="55">
                  <c:v>1855</c:v>
                </c:pt>
                <c:pt idx="56">
                  <c:v>1856</c:v>
                </c:pt>
                <c:pt idx="57">
                  <c:v>1857</c:v>
                </c:pt>
                <c:pt idx="58">
                  <c:v>1858</c:v>
                </c:pt>
                <c:pt idx="59">
                  <c:v>1859</c:v>
                </c:pt>
                <c:pt idx="60">
                  <c:v>1860</c:v>
                </c:pt>
                <c:pt idx="61">
                  <c:v>1861</c:v>
                </c:pt>
                <c:pt idx="62">
                  <c:v>1862</c:v>
                </c:pt>
                <c:pt idx="63">
                  <c:v>1863</c:v>
                </c:pt>
                <c:pt idx="64">
                  <c:v>1864</c:v>
                </c:pt>
                <c:pt idx="65">
                  <c:v>1865</c:v>
                </c:pt>
                <c:pt idx="66">
                  <c:v>1866</c:v>
                </c:pt>
                <c:pt idx="67">
                  <c:v>1867</c:v>
                </c:pt>
                <c:pt idx="68">
                  <c:v>1868</c:v>
                </c:pt>
                <c:pt idx="69">
                  <c:v>1869</c:v>
                </c:pt>
                <c:pt idx="70">
                  <c:v>1870</c:v>
                </c:pt>
                <c:pt idx="71">
                  <c:v>1871</c:v>
                </c:pt>
                <c:pt idx="72">
                  <c:v>1872</c:v>
                </c:pt>
                <c:pt idx="73">
                  <c:v>1873</c:v>
                </c:pt>
                <c:pt idx="74">
                  <c:v>1874</c:v>
                </c:pt>
                <c:pt idx="75">
                  <c:v>1875</c:v>
                </c:pt>
                <c:pt idx="76">
                  <c:v>1876</c:v>
                </c:pt>
                <c:pt idx="77">
                  <c:v>1877</c:v>
                </c:pt>
                <c:pt idx="78">
                  <c:v>1878</c:v>
                </c:pt>
                <c:pt idx="79">
                  <c:v>1879</c:v>
                </c:pt>
                <c:pt idx="80">
                  <c:v>1880</c:v>
                </c:pt>
                <c:pt idx="81">
                  <c:v>1881</c:v>
                </c:pt>
                <c:pt idx="82">
                  <c:v>1882</c:v>
                </c:pt>
                <c:pt idx="83">
                  <c:v>1883</c:v>
                </c:pt>
                <c:pt idx="84">
                  <c:v>1884</c:v>
                </c:pt>
                <c:pt idx="85">
                  <c:v>1885</c:v>
                </c:pt>
                <c:pt idx="86">
                  <c:v>1886</c:v>
                </c:pt>
                <c:pt idx="87">
                  <c:v>1887</c:v>
                </c:pt>
                <c:pt idx="88">
                  <c:v>1888</c:v>
                </c:pt>
                <c:pt idx="89">
                  <c:v>1889</c:v>
                </c:pt>
                <c:pt idx="90">
                  <c:v>1890</c:v>
                </c:pt>
                <c:pt idx="91">
                  <c:v>1891</c:v>
                </c:pt>
                <c:pt idx="92">
                  <c:v>1892</c:v>
                </c:pt>
                <c:pt idx="93">
                  <c:v>1893</c:v>
                </c:pt>
                <c:pt idx="94">
                  <c:v>1894</c:v>
                </c:pt>
                <c:pt idx="95">
                  <c:v>1895</c:v>
                </c:pt>
                <c:pt idx="96">
                  <c:v>1896</c:v>
                </c:pt>
                <c:pt idx="97">
                  <c:v>1897</c:v>
                </c:pt>
                <c:pt idx="98">
                  <c:v>1898</c:v>
                </c:pt>
                <c:pt idx="99">
                  <c:v>1899</c:v>
                </c:pt>
                <c:pt idx="100">
                  <c:v>1900</c:v>
                </c:pt>
                <c:pt idx="101">
                  <c:v>1901</c:v>
                </c:pt>
                <c:pt idx="102">
                  <c:v>1902</c:v>
                </c:pt>
                <c:pt idx="103">
                  <c:v>1903</c:v>
                </c:pt>
                <c:pt idx="104">
                  <c:v>1904</c:v>
                </c:pt>
                <c:pt idx="105">
                  <c:v>1905</c:v>
                </c:pt>
                <c:pt idx="106">
                  <c:v>1906</c:v>
                </c:pt>
                <c:pt idx="107">
                  <c:v>1907</c:v>
                </c:pt>
                <c:pt idx="108">
                  <c:v>1908</c:v>
                </c:pt>
                <c:pt idx="109">
                  <c:v>1909</c:v>
                </c:pt>
                <c:pt idx="110">
                  <c:v>1910</c:v>
                </c:pt>
                <c:pt idx="111">
                  <c:v>1911</c:v>
                </c:pt>
                <c:pt idx="112">
                  <c:v>1912</c:v>
                </c:pt>
                <c:pt idx="113">
                  <c:v>1913</c:v>
                </c:pt>
                <c:pt idx="114">
                  <c:v>1914</c:v>
                </c:pt>
                <c:pt idx="115">
                  <c:v>1915</c:v>
                </c:pt>
                <c:pt idx="116">
                  <c:v>1916</c:v>
                </c:pt>
                <c:pt idx="117">
                  <c:v>1917</c:v>
                </c:pt>
                <c:pt idx="118">
                  <c:v>1918</c:v>
                </c:pt>
                <c:pt idx="119">
                  <c:v>1919</c:v>
                </c:pt>
                <c:pt idx="120">
                  <c:v>1920</c:v>
                </c:pt>
                <c:pt idx="121">
                  <c:v>1921</c:v>
                </c:pt>
                <c:pt idx="122">
                  <c:v>1922</c:v>
                </c:pt>
                <c:pt idx="123">
                  <c:v>1923</c:v>
                </c:pt>
                <c:pt idx="124">
                  <c:v>1924</c:v>
                </c:pt>
                <c:pt idx="125">
                  <c:v>1925</c:v>
                </c:pt>
                <c:pt idx="126">
                  <c:v>1926</c:v>
                </c:pt>
                <c:pt idx="127">
                  <c:v>1927</c:v>
                </c:pt>
                <c:pt idx="128">
                  <c:v>1928</c:v>
                </c:pt>
                <c:pt idx="129">
                  <c:v>1929</c:v>
                </c:pt>
                <c:pt idx="130">
                  <c:v>1930</c:v>
                </c:pt>
                <c:pt idx="131">
                  <c:v>1931</c:v>
                </c:pt>
                <c:pt idx="132">
                  <c:v>1932</c:v>
                </c:pt>
                <c:pt idx="133">
                  <c:v>1933</c:v>
                </c:pt>
                <c:pt idx="134">
                  <c:v>1934</c:v>
                </c:pt>
                <c:pt idx="135">
                  <c:v>1935</c:v>
                </c:pt>
                <c:pt idx="136">
                  <c:v>1936</c:v>
                </c:pt>
                <c:pt idx="137">
                  <c:v>1937</c:v>
                </c:pt>
                <c:pt idx="138">
                  <c:v>1938</c:v>
                </c:pt>
                <c:pt idx="139">
                  <c:v>1939</c:v>
                </c:pt>
                <c:pt idx="140">
                  <c:v>1940</c:v>
                </c:pt>
                <c:pt idx="141">
                  <c:v>1941</c:v>
                </c:pt>
                <c:pt idx="142">
                  <c:v>1942</c:v>
                </c:pt>
                <c:pt idx="143">
                  <c:v>1943</c:v>
                </c:pt>
                <c:pt idx="144">
                  <c:v>1944</c:v>
                </c:pt>
                <c:pt idx="145">
                  <c:v>1945</c:v>
                </c:pt>
                <c:pt idx="146">
                  <c:v>1946</c:v>
                </c:pt>
                <c:pt idx="147">
                  <c:v>1947</c:v>
                </c:pt>
                <c:pt idx="148">
                  <c:v>1948</c:v>
                </c:pt>
                <c:pt idx="149">
                  <c:v>1949</c:v>
                </c:pt>
                <c:pt idx="150">
                  <c:v>1950</c:v>
                </c:pt>
                <c:pt idx="151">
                  <c:v>1951</c:v>
                </c:pt>
                <c:pt idx="152">
                  <c:v>1952</c:v>
                </c:pt>
                <c:pt idx="153">
                  <c:v>1953</c:v>
                </c:pt>
                <c:pt idx="154">
                  <c:v>1954</c:v>
                </c:pt>
                <c:pt idx="155">
                  <c:v>1955</c:v>
                </c:pt>
                <c:pt idx="156">
                  <c:v>1956</c:v>
                </c:pt>
                <c:pt idx="157">
                  <c:v>1957</c:v>
                </c:pt>
                <c:pt idx="158">
                  <c:v>1958</c:v>
                </c:pt>
                <c:pt idx="159">
                  <c:v>1959</c:v>
                </c:pt>
                <c:pt idx="160">
                  <c:v>1960</c:v>
                </c:pt>
                <c:pt idx="161">
                  <c:v>1961</c:v>
                </c:pt>
                <c:pt idx="162">
                  <c:v>1962</c:v>
                </c:pt>
                <c:pt idx="163">
                  <c:v>1963</c:v>
                </c:pt>
                <c:pt idx="164">
                  <c:v>1964</c:v>
                </c:pt>
                <c:pt idx="165">
                  <c:v>1965</c:v>
                </c:pt>
                <c:pt idx="166">
                  <c:v>1966</c:v>
                </c:pt>
                <c:pt idx="167">
                  <c:v>1967</c:v>
                </c:pt>
                <c:pt idx="168">
                  <c:v>1968</c:v>
                </c:pt>
                <c:pt idx="169">
                  <c:v>1969</c:v>
                </c:pt>
                <c:pt idx="170">
                  <c:v>1970</c:v>
                </c:pt>
                <c:pt idx="171">
                  <c:v>1971</c:v>
                </c:pt>
                <c:pt idx="172">
                  <c:v>1972</c:v>
                </c:pt>
                <c:pt idx="173">
                  <c:v>1973</c:v>
                </c:pt>
                <c:pt idx="174">
                  <c:v>1974</c:v>
                </c:pt>
                <c:pt idx="175">
                  <c:v>1975</c:v>
                </c:pt>
                <c:pt idx="176">
                  <c:v>1976</c:v>
                </c:pt>
                <c:pt idx="177">
                  <c:v>1977</c:v>
                </c:pt>
                <c:pt idx="178">
                  <c:v>1978</c:v>
                </c:pt>
                <c:pt idx="179">
                  <c:v>1979</c:v>
                </c:pt>
                <c:pt idx="180">
                  <c:v>1980</c:v>
                </c:pt>
                <c:pt idx="181">
                  <c:v>1981</c:v>
                </c:pt>
                <c:pt idx="182">
                  <c:v>1982</c:v>
                </c:pt>
                <c:pt idx="183">
                  <c:v>1983</c:v>
                </c:pt>
                <c:pt idx="184">
                  <c:v>1984</c:v>
                </c:pt>
                <c:pt idx="185">
                  <c:v>1985</c:v>
                </c:pt>
                <c:pt idx="186">
                  <c:v>1986</c:v>
                </c:pt>
                <c:pt idx="187">
                  <c:v>1987</c:v>
                </c:pt>
                <c:pt idx="188">
                  <c:v>1988</c:v>
                </c:pt>
                <c:pt idx="189">
                  <c:v>1989</c:v>
                </c:pt>
                <c:pt idx="190">
                  <c:v>1990</c:v>
                </c:pt>
                <c:pt idx="191">
                  <c:v>1991</c:v>
                </c:pt>
                <c:pt idx="192">
                  <c:v>1992</c:v>
                </c:pt>
                <c:pt idx="193">
                  <c:v>1993</c:v>
                </c:pt>
                <c:pt idx="194">
                  <c:v>1994</c:v>
                </c:pt>
                <c:pt idx="195">
                  <c:v>1995</c:v>
                </c:pt>
                <c:pt idx="196">
                  <c:v>1996</c:v>
                </c:pt>
                <c:pt idx="197">
                  <c:v>1997</c:v>
                </c:pt>
                <c:pt idx="198">
                  <c:v>1998</c:v>
                </c:pt>
                <c:pt idx="199">
                  <c:v>1999</c:v>
                </c:pt>
                <c:pt idx="200">
                  <c:v>2000</c:v>
                </c:pt>
                <c:pt idx="201">
                  <c:v>2001</c:v>
                </c:pt>
                <c:pt idx="202">
                  <c:v>2002</c:v>
                </c:pt>
                <c:pt idx="203">
                  <c:v>2003</c:v>
                </c:pt>
                <c:pt idx="204">
                  <c:v>2004</c:v>
                </c:pt>
                <c:pt idx="205">
                  <c:v>2005</c:v>
                </c:pt>
                <c:pt idx="206">
                  <c:v>2006</c:v>
                </c:pt>
                <c:pt idx="207">
                  <c:v>2007</c:v>
                </c:pt>
                <c:pt idx="208">
                  <c:v>2008</c:v>
                </c:pt>
                <c:pt idx="209">
                  <c:v>2009</c:v>
                </c:pt>
                <c:pt idx="210">
                  <c:v>2010</c:v>
                </c:pt>
                <c:pt idx="211">
                  <c:v>2011</c:v>
                </c:pt>
                <c:pt idx="212">
                  <c:v>2012</c:v>
                </c:pt>
                <c:pt idx="213">
                  <c:v>2013</c:v>
                </c:pt>
                <c:pt idx="214">
                  <c:v>2014</c:v>
                </c:pt>
                <c:pt idx="215">
                  <c:v>2015</c:v>
                </c:pt>
                <c:pt idx="216">
                  <c:v>2016</c:v>
                </c:pt>
                <c:pt idx="217">
                  <c:v>2017</c:v>
                </c:pt>
                <c:pt idx="218">
                  <c:v>2018</c:v>
                </c:pt>
                <c:pt idx="219">
                  <c:v>2019</c:v>
                </c:pt>
                <c:pt idx="220">
                  <c:v>2020</c:v>
                </c:pt>
                <c:pt idx="221">
                  <c:v>2021</c:v>
                </c:pt>
                <c:pt idx="222">
                  <c:v>2022</c:v>
                </c:pt>
                <c:pt idx="223">
                  <c:v>2023</c:v>
                </c:pt>
                <c:pt idx="224">
                  <c:v>2024</c:v>
                </c:pt>
                <c:pt idx="225">
                  <c:v>2025</c:v>
                </c:pt>
                <c:pt idx="226">
                  <c:v>2026</c:v>
                </c:pt>
                <c:pt idx="227">
                  <c:v>2027</c:v>
                </c:pt>
                <c:pt idx="228">
                  <c:v>2028</c:v>
                </c:pt>
                <c:pt idx="229">
                  <c:v>2029</c:v>
                </c:pt>
                <c:pt idx="230">
                  <c:v>2030</c:v>
                </c:pt>
                <c:pt idx="231">
                  <c:v>2031</c:v>
                </c:pt>
                <c:pt idx="232">
                  <c:v>2032</c:v>
                </c:pt>
                <c:pt idx="233">
                  <c:v>2033</c:v>
                </c:pt>
                <c:pt idx="234">
                  <c:v>2034</c:v>
                </c:pt>
                <c:pt idx="235">
                  <c:v>2035</c:v>
                </c:pt>
                <c:pt idx="236">
                  <c:v>2036</c:v>
                </c:pt>
                <c:pt idx="237">
                  <c:v>2037</c:v>
                </c:pt>
                <c:pt idx="238">
                  <c:v>2038</c:v>
                </c:pt>
                <c:pt idx="239">
                  <c:v>2039</c:v>
                </c:pt>
                <c:pt idx="240">
                  <c:v>2040</c:v>
                </c:pt>
                <c:pt idx="241">
                  <c:v>2041</c:v>
                </c:pt>
                <c:pt idx="242">
                  <c:v>2042</c:v>
                </c:pt>
                <c:pt idx="243">
                  <c:v>2043</c:v>
                </c:pt>
                <c:pt idx="244">
                  <c:v>2044</c:v>
                </c:pt>
                <c:pt idx="245">
                  <c:v>2045</c:v>
                </c:pt>
              </c:numCache>
            </c:numRef>
          </c:xVal>
          <c:yVal>
            <c:numRef>
              <c:f>'Eastern United States'!$F$14:$F$259</c:f>
              <c:numCache>
                <c:formatCode>0.0</c:formatCode>
                <c:ptCount val="246"/>
                <c:pt idx="0">
                  <c:v>9.5435834728031593E-5</c:v>
                </c:pt>
                <c:pt idx="1">
                  <c:v>1.9631477790062771E-4</c:v>
                </c:pt>
                <c:pt idx="2">
                  <c:v>3.0354401425854914E-4</c:v>
                </c:pt>
                <c:pt idx="3">
                  <c:v>4.1594420363880689E-4</c:v>
                </c:pt>
                <c:pt idx="4">
                  <c:v>5.4113569786379127E-4</c:v>
                </c:pt>
                <c:pt idx="5">
                  <c:v>6.7050024189627523E-4</c:v>
                </c:pt>
                <c:pt idx="6">
                  <c:v>8.047182242918292E-4</c:v>
                </c:pt>
                <c:pt idx="7">
                  <c:v>9.4365356733933905E-4</c:v>
                </c:pt>
                <c:pt idx="8">
                  <c:v>1.0873062710388048E-3</c:v>
                </c:pt>
                <c:pt idx="9">
                  <c:v>1.2357670538643026E-3</c:v>
                </c:pt>
                <c:pt idx="10">
                  <c:v>1.3895348674232508E-3</c:v>
                </c:pt>
                <c:pt idx="11">
                  <c:v>1.5537353055009478E-3</c:v>
                </c:pt>
                <c:pt idx="12">
                  <c:v>1.7311806407937517E-3</c:v>
                </c:pt>
                <c:pt idx="13">
                  <c:v>1.9220976694868529E-3</c:v>
                </c:pt>
                <c:pt idx="14">
                  <c:v>2.128346120298811E-3</c:v>
                </c:pt>
                <c:pt idx="15">
                  <c:v>2.3501074301777781E-3</c:v>
                </c:pt>
                <c:pt idx="16">
                  <c:v>2.5942308439164978E-3</c:v>
                </c:pt>
                <c:pt idx="17">
                  <c:v>2.8601266914334757E-3</c:v>
                </c:pt>
                <c:pt idx="18">
                  <c:v>3.1487021574694725E-3</c:v>
                </c:pt>
                <c:pt idx="19">
                  <c:v>3.422626589942183E-3</c:v>
                </c:pt>
                <c:pt idx="20">
                  <c:v>3.6975942848667684E-3</c:v>
                </c:pt>
                <c:pt idx="21">
                  <c:v>3.9803637685618962E-3</c:v>
                </c:pt>
                <c:pt idx="22">
                  <c:v>4.2644033108940891E-3</c:v>
                </c:pt>
                <c:pt idx="23">
                  <c:v>4.5501356599525417E-3</c:v>
                </c:pt>
                <c:pt idx="24">
                  <c:v>4.8671422957639807E-3</c:v>
                </c:pt>
                <c:pt idx="25">
                  <c:v>5.1976024812809014E-3</c:v>
                </c:pt>
                <c:pt idx="26">
                  <c:v>5.5702023051909001E-3</c:v>
                </c:pt>
                <c:pt idx="27">
                  <c:v>5.9696992494797149E-3</c:v>
                </c:pt>
                <c:pt idx="28">
                  <c:v>6.4103914528464753E-3</c:v>
                </c:pt>
                <c:pt idx="29">
                  <c:v>6.8753689917234011E-3</c:v>
                </c:pt>
                <c:pt idx="30">
                  <c:v>7.3777669939719672E-3</c:v>
                </c:pt>
                <c:pt idx="31">
                  <c:v>7.9126975482089554E-3</c:v>
                </c:pt>
                <c:pt idx="32">
                  <c:v>8.5126850417601187E-3</c:v>
                </c:pt>
                <c:pt idx="33">
                  <c:v>9.1247226702228078E-3</c:v>
                </c:pt>
                <c:pt idx="34">
                  <c:v>9.7812404737097382E-3</c:v>
                </c:pt>
                <c:pt idx="35">
                  <c:v>1.0544015918697235E-2</c:v>
                </c:pt>
                <c:pt idx="36">
                  <c:v>1.1318083999337722E-2</c:v>
                </c:pt>
                <c:pt idx="37">
                  <c:v>1.2079965867355569E-2</c:v>
                </c:pt>
                <c:pt idx="38">
                  <c:v>1.2902134697320673E-2</c:v>
                </c:pt>
                <c:pt idx="39">
                  <c:v>1.3827044920731153E-2</c:v>
                </c:pt>
                <c:pt idx="40">
                  <c:v>1.4749384182586318E-2</c:v>
                </c:pt>
                <c:pt idx="41">
                  <c:v>1.5762808421152828E-2</c:v>
                </c:pt>
                <c:pt idx="42">
                  <c:v>1.6851836528829597E-2</c:v>
                </c:pt>
                <c:pt idx="43">
                  <c:v>1.8054009624558789E-2</c:v>
                </c:pt>
                <c:pt idx="44">
                  <c:v>1.9429327092724838E-2</c:v>
                </c:pt>
                <c:pt idx="45">
                  <c:v>2.1023500158045196E-2</c:v>
                </c:pt>
                <c:pt idx="46">
                  <c:v>2.2762078890399853E-2</c:v>
                </c:pt>
                <c:pt idx="47">
                  <c:v>2.4793508650473712E-2</c:v>
                </c:pt>
                <c:pt idx="48">
                  <c:v>2.7209687252505835E-2</c:v>
                </c:pt>
                <c:pt idx="49">
                  <c:v>2.9925347495527384E-2</c:v>
                </c:pt>
                <c:pt idx="50">
                  <c:v>3.3149282483548148E-2</c:v>
                </c:pt>
                <c:pt idx="51">
                  <c:v>3.6865730788882146E-2</c:v>
                </c:pt>
                <c:pt idx="52">
                  <c:v>4.1132168007965021E-2</c:v>
                </c:pt>
                <c:pt idx="53">
                  <c:v>4.6163241307938689E-2</c:v>
                </c:pt>
                <c:pt idx="54">
                  <c:v>5.2274282661583155E-2</c:v>
                </c:pt>
                <c:pt idx="55">
                  <c:v>5.8567682663076381E-2</c:v>
                </c:pt>
                <c:pt idx="56">
                  <c:v>6.5293099460260476E-2</c:v>
                </c:pt>
                <c:pt idx="57">
                  <c:v>7.2700837116512956E-2</c:v>
                </c:pt>
                <c:pt idx="58">
                  <c:v>8.0138326803523424E-2</c:v>
                </c:pt>
                <c:pt idx="59">
                  <c:v>8.7814395191137082E-2</c:v>
                </c:pt>
                <c:pt idx="60">
                  <c:v>9.5376236319302587E-2</c:v>
                </c:pt>
                <c:pt idx="61">
                  <c:v>0.10267582666823949</c:v>
                </c:pt>
                <c:pt idx="62">
                  <c:v>0.11054685631412056</c:v>
                </c:pt>
                <c:pt idx="63">
                  <c:v>0.11974936463275516</c:v>
                </c:pt>
                <c:pt idx="64">
                  <c:v>0.12908788988112624</c:v>
                </c:pt>
                <c:pt idx="65">
                  <c:v>0.13974597067320302</c:v>
                </c:pt>
                <c:pt idx="66">
                  <c:v>0.1508988381875534</c:v>
                </c:pt>
                <c:pt idx="67">
                  <c:v>0.16256425147266249</c:v>
                </c:pt>
                <c:pt idx="68">
                  <c:v>0.17604751057121967</c:v>
                </c:pt>
                <c:pt idx="69">
                  <c:v>0.19254659557108236</c:v>
                </c:pt>
                <c:pt idx="70">
                  <c:v>0.20960205787963837</c:v>
                </c:pt>
                <c:pt idx="71">
                  <c:v>0.23054610589090299</c:v>
                </c:pt>
                <c:pt idx="72">
                  <c:v>0.25512755466511544</c:v>
                </c:pt>
                <c:pt idx="73">
                  <c:v>0.28214287667972854</c:v>
                </c:pt>
                <c:pt idx="74">
                  <c:v>0.30698596297628483</c:v>
                </c:pt>
                <c:pt idx="75">
                  <c:v>0.33297138446306973</c:v>
                </c:pt>
                <c:pt idx="76">
                  <c:v>0.35813032708518616</c:v>
                </c:pt>
                <c:pt idx="77">
                  <c:v>0.38505462218291131</c:v>
                </c:pt>
                <c:pt idx="78">
                  <c:v>0.41377254126150625</c:v>
                </c:pt>
                <c:pt idx="79">
                  <c:v>0.44554102053076095</c:v>
                </c:pt>
                <c:pt idx="80">
                  <c:v>0.48572236730474988</c:v>
                </c:pt>
                <c:pt idx="81">
                  <c:v>0.52801527546696403</c:v>
                </c:pt>
                <c:pt idx="82">
                  <c:v>0.5756276291858059</c:v>
                </c:pt>
                <c:pt idx="83">
                  <c:v>0.62852591433539762</c:v>
                </c:pt>
                <c:pt idx="84">
                  <c:v>0.68472510274797049</c:v>
                </c:pt>
                <c:pt idx="85">
                  <c:v>0.74026663302583728</c:v>
                </c:pt>
                <c:pt idx="86">
                  <c:v>0.79674848205993642</c:v>
                </c:pt>
                <c:pt idx="87">
                  <c:v>0.86262181325164855</c:v>
                </c:pt>
                <c:pt idx="88">
                  <c:v>0.93497739853544648</c:v>
                </c:pt>
                <c:pt idx="89">
                  <c:v>1.0077873781409357</c:v>
                </c:pt>
                <c:pt idx="90">
                  <c:v>1.092456529362835</c:v>
                </c:pt>
                <c:pt idx="91">
                  <c:v>1.1819575796605046</c:v>
                </c:pt>
                <c:pt idx="92">
                  <c:v>1.2792846215104154</c:v>
                </c:pt>
                <c:pt idx="93">
                  <c:v>1.3778614817986401</c:v>
                </c:pt>
                <c:pt idx="94">
                  <c:v>1.4673958357553276</c:v>
                </c:pt>
                <c:pt idx="95">
                  <c:v>1.5709420327003631</c:v>
                </c:pt>
                <c:pt idx="96">
                  <c:v>1.6765128836426437</c:v>
                </c:pt>
                <c:pt idx="97">
                  <c:v>1.7888556709084298</c:v>
                </c:pt>
                <c:pt idx="98">
                  <c:v>1.9155042888927631</c:v>
                </c:pt>
                <c:pt idx="99">
                  <c:v>2.0633618510182936</c:v>
                </c:pt>
                <c:pt idx="100">
                  <c:v>2.2254703029401015</c:v>
                </c:pt>
                <c:pt idx="101">
                  <c:v>2.3964179592786725</c:v>
                </c:pt>
                <c:pt idx="102">
                  <c:v>2.5964370246731843</c:v>
                </c:pt>
                <c:pt idx="103">
                  <c:v>2.8128272665550353</c:v>
                </c:pt>
                <c:pt idx="104">
                  <c:v>3.0263923890974143</c:v>
                </c:pt>
                <c:pt idx="105">
                  <c:v>3.2706537520693679</c:v>
                </c:pt>
                <c:pt idx="106">
                  <c:v>3.5370977741306131</c:v>
                </c:pt>
                <c:pt idx="107">
                  <c:v>3.8455787857243342</c:v>
                </c:pt>
                <c:pt idx="108">
                  <c:v>4.1028974890949819</c:v>
                </c:pt>
                <c:pt idx="109">
                  <c:v>4.3972274057498328</c:v>
                </c:pt>
                <c:pt idx="110">
                  <c:v>4.7259165344134946</c:v>
                </c:pt>
                <c:pt idx="111">
                  <c:v>5.0445075529525312</c:v>
                </c:pt>
                <c:pt idx="112">
                  <c:v>5.3996410324411883</c:v>
                </c:pt>
                <c:pt idx="113">
                  <c:v>5.7798997390310713</c:v>
                </c:pt>
                <c:pt idx="114">
                  <c:v>6.1136156672473936</c:v>
                </c:pt>
                <c:pt idx="115">
                  <c:v>6.4665778263673976</c:v>
                </c:pt>
                <c:pt idx="116">
                  <c:v>6.8680036948908727</c:v>
                </c:pt>
                <c:pt idx="117">
                  <c:v>7.3066876479748704</c:v>
                </c:pt>
                <c:pt idx="118">
                  <c:v>7.7694184603803063</c:v>
                </c:pt>
                <c:pt idx="119">
                  <c:v>8.1420526430051758</c:v>
                </c:pt>
                <c:pt idx="120">
                  <c:v>8.593102931149275</c:v>
                </c:pt>
                <c:pt idx="121">
                  <c:v>8.9276223447258261</c:v>
                </c:pt>
                <c:pt idx="122">
                  <c:v>9.268603457402607</c:v>
                </c:pt>
                <c:pt idx="123">
                  <c:v>9.732111735295538</c:v>
                </c:pt>
                <c:pt idx="124">
                  <c:v>10.124797076608058</c:v>
                </c:pt>
                <c:pt idx="125">
                  <c:v>10.552396571164635</c:v>
                </c:pt>
                <c:pt idx="126">
                  <c:v>11.028948308622541</c:v>
                </c:pt>
                <c:pt idx="127">
                  <c:v>11.454918664492336</c:v>
                </c:pt>
                <c:pt idx="128">
                  <c:v>11.864575445569907</c:v>
                </c:pt>
                <c:pt idx="129">
                  <c:v>12.303606574625455</c:v>
                </c:pt>
                <c:pt idx="130">
                  <c:v>12.687731602790139</c:v>
                </c:pt>
                <c:pt idx="131">
                  <c:v>13.002730484548868</c:v>
                </c:pt>
                <c:pt idx="132">
                  <c:v>13.254491955634563</c:v>
                </c:pt>
                <c:pt idx="133">
                  <c:v>13.530268469258468</c:v>
                </c:pt>
                <c:pt idx="134">
                  <c:v>13.827989720072814</c:v>
                </c:pt>
                <c:pt idx="135">
                  <c:v>14.134359099517901</c:v>
                </c:pt>
                <c:pt idx="136">
                  <c:v>14.496174504460086</c:v>
                </c:pt>
                <c:pt idx="137">
                  <c:v>14.862722105246291</c:v>
                </c:pt>
                <c:pt idx="138">
                  <c:v>15.148506004170454</c:v>
                </c:pt>
                <c:pt idx="139">
                  <c:v>15.474663988524256</c:v>
                </c:pt>
                <c:pt idx="140">
                  <c:v>15.858215935387616</c:v>
                </c:pt>
                <c:pt idx="141">
                  <c:v>16.287891464163604</c:v>
                </c:pt>
                <c:pt idx="142">
                  <c:v>16.773231866776364</c:v>
                </c:pt>
                <c:pt idx="143">
                  <c:v>17.262398064300001</c:v>
                </c:pt>
                <c:pt idx="144">
                  <c:v>17.776688491928834</c:v>
                </c:pt>
                <c:pt idx="145">
                  <c:v>18.256077571226225</c:v>
                </c:pt>
                <c:pt idx="146">
                  <c:v>18.704302759988916</c:v>
                </c:pt>
                <c:pt idx="147">
                  <c:v>19.239284730735456</c:v>
                </c:pt>
                <c:pt idx="148">
                  <c:v>19.745758164270306</c:v>
                </c:pt>
                <c:pt idx="149">
                  <c:v>20.109990116131527</c:v>
                </c:pt>
                <c:pt idx="150">
                  <c:v>20.545708225564695</c:v>
                </c:pt>
                <c:pt idx="151">
                  <c:v>20.998423348300758</c:v>
                </c:pt>
                <c:pt idx="152">
                  <c:v>21.392297561566338</c:v>
                </c:pt>
                <c:pt idx="153">
                  <c:v>21.779396012003176</c:v>
                </c:pt>
                <c:pt idx="154">
                  <c:v>22.111724998086064</c:v>
                </c:pt>
                <c:pt idx="155">
                  <c:v>22.509083707940906</c:v>
                </c:pt>
                <c:pt idx="156">
                  <c:v>22.940088085461081</c:v>
                </c:pt>
                <c:pt idx="157">
                  <c:v>23.364685924342005</c:v>
                </c:pt>
                <c:pt idx="158">
                  <c:v>23.718618607841371</c:v>
                </c:pt>
                <c:pt idx="159">
                  <c:v>24.073964685166843</c:v>
                </c:pt>
                <c:pt idx="160">
                  <c:v>24.431591424930584</c:v>
                </c:pt>
                <c:pt idx="161">
                  <c:v>24.777406619369621</c:v>
                </c:pt>
                <c:pt idx="162">
                  <c:v>25.140947296458382</c:v>
                </c:pt>
                <c:pt idx="163">
                  <c:v>25.535770424962799</c:v>
                </c:pt>
                <c:pt idx="164">
                  <c:v>25.954263817723142</c:v>
                </c:pt>
                <c:pt idx="165">
                  <c:v>26.393942695734474</c:v>
                </c:pt>
                <c:pt idx="166">
                  <c:v>26.852825767522969</c:v>
                </c:pt>
                <c:pt idx="167">
                  <c:v>27.327933838399971</c:v>
                </c:pt>
                <c:pt idx="168">
                  <c:v>27.795614787804364</c:v>
                </c:pt>
                <c:pt idx="169">
                  <c:v>28.273886211872398</c:v>
                </c:pt>
                <c:pt idx="170">
                  <c:v>28.780121605574383</c:v>
                </c:pt>
                <c:pt idx="171">
                  <c:v>29.234800783274192</c:v>
                </c:pt>
                <c:pt idx="172">
                  <c:v>29.716562147039934</c:v>
                </c:pt>
                <c:pt idx="173">
                  <c:v>30.184035351138693</c:v>
                </c:pt>
                <c:pt idx="174">
                  <c:v>30.648061253222561</c:v>
                </c:pt>
                <c:pt idx="175">
                  <c:v>31.135676680120429</c:v>
                </c:pt>
                <c:pt idx="176">
                  <c:v>31.627917842011438</c:v>
                </c:pt>
                <c:pt idx="177">
                  <c:v>32.106372517397105</c:v>
                </c:pt>
                <c:pt idx="178">
                  <c:v>32.543763475492234</c:v>
                </c:pt>
                <c:pt idx="179">
                  <c:v>33.047132165413416</c:v>
                </c:pt>
                <c:pt idx="180">
                  <c:v>33.566615177884728</c:v>
                </c:pt>
                <c:pt idx="181">
                  <c:v>34.064150669922817</c:v>
                </c:pt>
                <c:pt idx="182">
                  <c:v>34.571874753784392</c:v>
                </c:pt>
                <c:pt idx="183">
                  <c:v>35.028466276917726</c:v>
                </c:pt>
                <c:pt idx="184">
                  <c:v>35.557770711796472</c:v>
                </c:pt>
                <c:pt idx="185">
                  <c:v>36.060370676047953</c:v>
                </c:pt>
                <c:pt idx="186">
                  <c:v>36.56851664526603</c:v>
                </c:pt>
                <c:pt idx="187">
                  <c:v>37.093203760197291</c:v>
                </c:pt>
                <c:pt idx="188">
                  <c:v>37.615751688150603</c:v>
                </c:pt>
                <c:pt idx="189">
                  <c:v>38.156131704754081</c:v>
                </c:pt>
                <c:pt idx="190">
                  <c:v>38.724675043931107</c:v>
                </c:pt>
                <c:pt idx="191">
                  <c:v>39.257962614027797</c:v>
                </c:pt>
                <c:pt idx="192">
                  <c:v>39.788749274467669</c:v>
                </c:pt>
                <c:pt idx="193">
                  <c:v>40.253134183119293</c:v>
                </c:pt>
                <c:pt idx="194">
                  <c:v>40.762648113444477</c:v>
                </c:pt>
                <c:pt idx="195">
                  <c:v>41.252105314060515</c:v>
                </c:pt>
                <c:pt idx="196">
                  <c:v>41.759130710543111</c:v>
                </c:pt>
                <c:pt idx="197">
                  <c:v>42.280469226066465</c:v>
                </c:pt>
                <c:pt idx="198">
                  <c:v>42.793322423590133</c:v>
                </c:pt>
                <c:pt idx="199">
                  <c:v>43.269436994164572</c:v>
                </c:pt>
                <c:pt idx="200">
                  <c:v>43.725701044471741</c:v>
                </c:pt>
                <c:pt idx="201">
                  <c:v>44.203640206685364</c:v>
                </c:pt>
                <c:pt idx="202">
                  <c:v>44.649565013535074</c:v>
                </c:pt>
                <c:pt idx="203">
                  <c:v>45.074086157203645</c:v>
                </c:pt>
                <c:pt idx="204">
                  <c:v>45.512338281279192</c:v>
                </c:pt>
                <c:pt idx="205">
                  <c:v>45.958761411057296</c:v>
                </c:pt>
                <c:pt idx="206">
                  <c:v>46.402610737977476</c:v>
                </c:pt>
                <c:pt idx="207">
                  <c:v>46.834968538969285</c:v>
                </c:pt>
                <c:pt idx="208">
                  <c:v>47.280780305157187</c:v>
                </c:pt>
                <c:pt idx="209">
                  <c:v>47.684390634752475</c:v>
                </c:pt>
              </c:numCache>
            </c:numRef>
          </c:yVal>
          <c:smooth val="1"/>
          <c:extLst>
            <c:ext xmlns:c16="http://schemas.microsoft.com/office/drawing/2014/chart" uri="{C3380CC4-5D6E-409C-BE32-E72D297353CC}">
              <c16:uniqueId val="{00000001-1982-8343-B114-CA35B8B98E1F}"/>
            </c:ext>
          </c:extLst>
        </c:ser>
        <c:ser>
          <c:idx val="2"/>
          <c:order val="2"/>
          <c:tx>
            <c:strRef>
              <c:f>'Eastern United States'!$J$12</c:f>
              <c:strCache>
                <c:ptCount val="1"/>
                <c:pt idx="0">
                  <c:v>q l</c:v>
                </c:pt>
              </c:strCache>
            </c:strRef>
          </c:tx>
          <c:spPr>
            <a:ln w="15875">
              <a:solidFill>
                <a:srgbClr val="808080"/>
              </a:solidFill>
              <a:prstDash val="dash"/>
            </a:ln>
          </c:spPr>
          <c:marker>
            <c:symbol val="none"/>
          </c:marker>
          <c:xVal>
            <c:numRef>
              <c:f>'Eastern United States'!$D$14:$D$300</c:f>
              <c:numCache>
                <c:formatCode>General</c:formatCode>
                <c:ptCount val="287"/>
                <c:pt idx="0">
                  <c:v>1800</c:v>
                </c:pt>
                <c:pt idx="1">
                  <c:v>1801</c:v>
                </c:pt>
                <c:pt idx="2">
                  <c:v>1802</c:v>
                </c:pt>
                <c:pt idx="3">
                  <c:v>1803</c:v>
                </c:pt>
                <c:pt idx="4">
                  <c:v>1804</c:v>
                </c:pt>
                <c:pt idx="5">
                  <c:v>1805</c:v>
                </c:pt>
                <c:pt idx="6">
                  <c:v>1806</c:v>
                </c:pt>
                <c:pt idx="7">
                  <c:v>1807</c:v>
                </c:pt>
                <c:pt idx="8">
                  <c:v>1808</c:v>
                </c:pt>
                <c:pt idx="9">
                  <c:v>1809</c:v>
                </c:pt>
                <c:pt idx="10">
                  <c:v>1810</c:v>
                </c:pt>
                <c:pt idx="11">
                  <c:v>1811</c:v>
                </c:pt>
                <c:pt idx="12">
                  <c:v>1812</c:v>
                </c:pt>
                <c:pt idx="13">
                  <c:v>1813</c:v>
                </c:pt>
                <c:pt idx="14">
                  <c:v>1814</c:v>
                </c:pt>
                <c:pt idx="15">
                  <c:v>1815</c:v>
                </c:pt>
                <c:pt idx="16">
                  <c:v>1816</c:v>
                </c:pt>
                <c:pt idx="17">
                  <c:v>1817</c:v>
                </c:pt>
                <c:pt idx="18">
                  <c:v>1818</c:v>
                </c:pt>
                <c:pt idx="19">
                  <c:v>1819</c:v>
                </c:pt>
                <c:pt idx="20">
                  <c:v>1820</c:v>
                </c:pt>
                <c:pt idx="21">
                  <c:v>1821</c:v>
                </c:pt>
                <c:pt idx="22">
                  <c:v>1822</c:v>
                </c:pt>
                <c:pt idx="23">
                  <c:v>1823</c:v>
                </c:pt>
                <c:pt idx="24">
                  <c:v>1824</c:v>
                </c:pt>
                <c:pt idx="25">
                  <c:v>1825</c:v>
                </c:pt>
                <c:pt idx="26">
                  <c:v>1826</c:v>
                </c:pt>
                <c:pt idx="27">
                  <c:v>1827</c:v>
                </c:pt>
                <c:pt idx="28">
                  <c:v>1828</c:v>
                </c:pt>
                <c:pt idx="29">
                  <c:v>1829</c:v>
                </c:pt>
                <c:pt idx="30">
                  <c:v>1830</c:v>
                </c:pt>
                <c:pt idx="31">
                  <c:v>1831</c:v>
                </c:pt>
                <c:pt idx="32">
                  <c:v>1832</c:v>
                </c:pt>
                <c:pt idx="33">
                  <c:v>1833</c:v>
                </c:pt>
                <c:pt idx="34">
                  <c:v>1834</c:v>
                </c:pt>
                <c:pt idx="35">
                  <c:v>1835</c:v>
                </c:pt>
                <c:pt idx="36">
                  <c:v>1836</c:v>
                </c:pt>
                <c:pt idx="37">
                  <c:v>1837</c:v>
                </c:pt>
                <c:pt idx="38">
                  <c:v>1838</c:v>
                </c:pt>
                <c:pt idx="39">
                  <c:v>1839</c:v>
                </c:pt>
                <c:pt idx="40">
                  <c:v>1840</c:v>
                </c:pt>
                <c:pt idx="41">
                  <c:v>1841</c:v>
                </c:pt>
                <c:pt idx="42">
                  <c:v>1842</c:v>
                </c:pt>
                <c:pt idx="43">
                  <c:v>1843</c:v>
                </c:pt>
                <c:pt idx="44">
                  <c:v>1844</c:v>
                </c:pt>
                <c:pt idx="45">
                  <c:v>1845</c:v>
                </c:pt>
                <c:pt idx="46">
                  <c:v>1846</c:v>
                </c:pt>
                <c:pt idx="47">
                  <c:v>1847</c:v>
                </c:pt>
                <c:pt idx="48">
                  <c:v>1848</c:v>
                </c:pt>
                <c:pt idx="49">
                  <c:v>1849</c:v>
                </c:pt>
                <c:pt idx="50">
                  <c:v>1850</c:v>
                </c:pt>
                <c:pt idx="51">
                  <c:v>1851</c:v>
                </c:pt>
                <c:pt idx="52">
                  <c:v>1852</c:v>
                </c:pt>
                <c:pt idx="53">
                  <c:v>1853</c:v>
                </c:pt>
                <c:pt idx="54">
                  <c:v>1854</c:v>
                </c:pt>
                <c:pt idx="55">
                  <c:v>1855</c:v>
                </c:pt>
                <c:pt idx="56">
                  <c:v>1856</c:v>
                </c:pt>
                <c:pt idx="57">
                  <c:v>1857</c:v>
                </c:pt>
                <c:pt idx="58">
                  <c:v>1858</c:v>
                </c:pt>
                <c:pt idx="59">
                  <c:v>1859</c:v>
                </c:pt>
                <c:pt idx="60">
                  <c:v>1860</c:v>
                </c:pt>
                <c:pt idx="61">
                  <c:v>1861</c:v>
                </c:pt>
                <c:pt idx="62">
                  <c:v>1862</c:v>
                </c:pt>
                <c:pt idx="63">
                  <c:v>1863</c:v>
                </c:pt>
                <c:pt idx="64">
                  <c:v>1864</c:v>
                </c:pt>
                <c:pt idx="65">
                  <c:v>1865</c:v>
                </c:pt>
                <c:pt idx="66">
                  <c:v>1866</c:v>
                </c:pt>
                <c:pt idx="67">
                  <c:v>1867</c:v>
                </c:pt>
                <c:pt idx="68">
                  <c:v>1868</c:v>
                </c:pt>
                <c:pt idx="69">
                  <c:v>1869</c:v>
                </c:pt>
                <c:pt idx="70">
                  <c:v>1870</c:v>
                </c:pt>
                <c:pt idx="71">
                  <c:v>1871</c:v>
                </c:pt>
                <c:pt idx="72">
                  <c:v>1872</c:v>
                </c:pt>
                <c:pt idx="73">
                  <c:v>1873</c:v>
                </c:pt>
                <c:pt idx="74">
                  <c:v>1874</c:v>
                </c:pt>
                <c:pt idx="75">
                  <c:v>1875</c:v>
                </c:pt>
                <c:pt idx="76">
                  <c:v>1876</c:v>
                </c:pt>
                <c:pt idx="77">
                  <c:v>1877</c:v>
                </c:pt>
                <c:pt idx="78">
                  <c:v>1878</c:v>
                </c:pt>
                <c:pt idx="79">
                  <c:v>1879</c:v>
                </c:pt>
                <c:pt idx="80">
                  <c:v>1880</c:v>
                </c:pt>
                <c:pt idx="81">
                  <c:v>1881</c:v>
                </c:pt>
                <c:pt idx="82">
                  <c:v>1882</c:v>
                </c:pt>
                <c:pt idx="83">
                  <c:v>1883</c:v>
                </c:pt>
                <c:pt idx="84">
                  <c:v>1884</c:v>
                </c:pt>
                <c:pt idx="85">
                  <c:v>1885</c:v>
                </c:pt>
                <c:pt idx="86">
                  <c:v>1886</c:v>
                </c:pt>
                <c:pt idx="87">
                  <c:v>1887</c:v>
                </c:pt>
                <c:pt idx="88">
                  <c:v>1888</c:v>
                </c:pt>
                <c:pt idx="89">
                  <c:v>1889</c:v>
                </c:pt>
                <c:pt idx="90">
                  <c:v>1890</c:v>
                </c:pt>
                <c:pt idx="91">
                  <c:v>1891</c:v>
                </c:pt>
                <c:pt idx="92">
                  <c:v>1892</c:v>
                </c:pt>
                <c:pt idx="93">
                  <c:v>1893</c:v>
                </c:pt>
                <c:pt idx="94">
                  <c:v>1894</c:v>
                </c:pt>
                <c:pt idx="95">
                  <c:v>1895</c:v>
                </c:pt>
                <c:pt idx="96">
                  <c:v>1896</c:v>
                </c:pt>
                <c:pt idx="97">
                  <c:v>1897</c:v>
                </c:pt>
                <c:pt idx="98">
                  <c:v>1898</c:v>
                </c:pt>
                <c:pt idx="99">
                  <c:v>1899</c:v>
                </c:pt>
                <c:pt idx="100">
                  <c:v>1900</c:v>
                </c:pt>
                <c:pt idx="101">
                  <c:v>1901</c:v>
                </c:pt>
                <c:pt idx="102">
                  <c:v>1902</c:v>
                </c:pt>
                <c:pt idx="103">
                  <c:v>1903</c:v>
                </c:pt>
                <c:pt idx="104">
                  <c:v>1904</c:v>
                </c:pt>
                <c:pt idx="105">
                  <c:v>1905</c:v>
                </c:pt>
                <c:pt idx="106">
                  <c:v>1906</c:v>
                </c:pt>
                <c:pt idx="107">
                  <c:v>1907</c:v>
                </c:pt>
                <c:pt idx="108">
                  <c:v>1908</c:v>
                </c:pt>
                <c:pt idx="109">
                  <c:v>1909</c:v>
                </c:pt>
                <c:pt idx="110">
                  <c:v>1910</c:v>
                </c:pt>
                <c:pt idx="111">
                  <c:v>1911</c:v>
                </c:pt>
                <c:pt idx="112">
                  <c:v>1912</c:v>
                </c:pt>
                <c:pt idx="113">
                  <c:v>1913</c:v>
                </c:pt>
                <c:pt idx="114">
                  <c:v>1914</c:v>
                </c:pt>
                <c:pt idx="115">
                  <c:v>1915</c:v>
                </c:pt>
                <c:pt idx="116">
                  <c:v>1916</c:v>
                </c:pt>
                <c:pt idx="117">
                  <c:v>1917</c:v>
                </c:pt>
                <c:pt idx="118">
                  <c:v>1918</c:v>
                </c:pt>
                <c:pt idx="119">
                  <c:v>1919</c:v>
                </c:pt>
                <c:pt idx="120">
                  <c:v>1920</c:v>
                </c:pt>
                <c:pt idx="121">
                  <c:v>1921</c:v>
                </c:pt>
                <c:pt idx="122">
                  <c:v>1922</c:v>
                </c:pt>
                <c:pt idx="123">
                  <c:v>1923</c:v>
                </c:pt>
                <c:pt idx="124">
                  <c:v>1924</c:v>
                </c:pt>
                <c:pt idx="125">
                  <c:v>1925</c:v>
                </c:pt>
                <c:pt idx="126">
                  <c:v>1926</c:v>
                </c:pt>
                <c:pt idx="127">
                  <c:v>1927</c:v>
                </c:pt>
                <c:pt idx="128">
                  <c:v>1928</c:v>
                </c:pt>
                <c:pt idx="129">
                  <c:v>1929</c:v>
                </c:pt>
                <c:pt idx="130">
                  <c:v>1930</c:v>
                </c:pt>
                <c:pt idx="131">
                  <c:v>1931</c:v>
                </c:pt>
                <c:pt idx="132">
                  <c:v>1932</c:v>
                </c:pt>
                <c:pt idx="133">
                  <c:v>1933</c:v>
                </c:pt>
                <c:pt idx="134">
                  <c:v>1934</c:v>
                </c:pt>
                <c:pt idx="135">
                  <c:v>1935</c:v>
                </c:pt>
                <c:pt idx="136">
                  <c:v>1936</c:v>
                </c:pt>
                <c:pt idx="137">
                  <c:v>1937</c:v>
                </c:pt>
                <c:pt idx="138">
                  <c:v>1938</c:v>
                </c:pt>
                <c:pt idx="139">
                  <c:v>1939</c:v>
                </c:pt>
                <c:pt idx="140">
                  <c:v>1940</c:v>
                </c:pt>
                <c:pt idx="141">
                  <c:v>1941</c:v>
                </c:pt>
                <c:pt idx="142">
                  <c:v>1942</c:v>
                </c:pt>
                <c:pt idx="143">
                  <c:v>1943</c:v>
                </c:pt>
                <c:pt idx="144">
                  <c:v>1944</c:v>
                </c:pt>
                <c:pt idx="145">
                  <c:v>1945</c:v>
                </c:pt>
                <c:pt idx="146">
                  <c:v>1946</c:v>
                </c:pt>
                <c:pt idx="147">
                  <c:v>1947</c:v>
                </c:pt>
                <c:pt idx="148">
                  <c:v>1948</c:v>
                </c:pt>
                <c:pt idx="149">
                  <c:v>1949</c:v>
                </c:pt>
                <c:pt idx="150">
                  <c:v>1950</c:v>
                </c:pt>
                <c:pt idx="151">
                  <c:v>1951</c:v>
                </c:pt>
                <c:pt idx="152">
                  <c:v>1952</c:v>
                </c:pt>
                <c:pt idx="153">
                  <c:v>1953</c:v>
                </c:pt>
                <c:pt idx="154">
                  <c:v>1954</c:v>
                </c:pt>
                <c:pt idx="155">
                  <c:v>1955</c:v>
                </c:pt>
                <c:pt idx="156">
                  <c:v>1956</c:v>
                </c:pt>
                <c:pt idx="157">
                  <c:v>1957</c:v>
                </c:pt>
                <c:pt idx="158">
                  <c:v>1958</c:v>
                </c:pt>
                <c:pt idx="159">
                  <c:v>1959</c:v>
                </c:pt>
                <c:pt idx="160">
                  <c:v>1960</c:v>
                </c:pt>
                <c:pt idx="161">
                  <c:v>1961</c:v>
                </c:pt>
                <c:pt idx="162">
                  <c:v>1962</c:v>
                </c:pt>
                <c:pt idx="163">
                  <c:v>1963</c:v>
                </c:pt>
                <c:pt idx="164">
                  <c:v>1964</c:v>
                </c:pt>
                <c:pt idx="165">
                  <c:v>1965</c:v>
                </c:pt>
                <c:pt idx="166">
                  <c:v>1966</c:v>
                </c:pt>
                <c:pt idx="167">
                  <c:v>1967</c:v>
                </c:pt>
                <c:pt idx="168">
                  <c:v>1968</c:v>
                </c:pt>
                <c:pt idx="169">
                  <c:v>1969</c:v>
                </c:pt>
                <c:pt idx="170">
                  <c:v>1970</c:v>
                </c:pt>
                <c:pt idx="171">
                  <c:v>1971</c:v>
                </c:pt>
                <c:pt idx="172">
                  <c:v>1972</c:v>
                </c:pt>
                <c:pt idx="173">
                  <c:v>1973</c:v>
                </c:pt>
                <c:pt idx="174">
                  <c:v>1974</c:v>
                </c:pt>
                <c:pt idx="175">
                  <c:v>1975</c:v>
                </c:pt>
                <c:pt idx="176">
                  <c:v>1976</c:v>
                </c:pt>
                <c:pt idx="177">
                  <c:v>1977</c:v>
                </c:pt>
                <c:pt idx="178">
                  <c:v>1978</c:v>
                </c:pt>
                <c:pt idx="179">
                  <c:v>1979</c:v>
                </c:pt>
                <c:pt idx="180">
                  <c:v>1980</c:v>
                </c:pt>
                <c:pt idx="181">
                  <c:v>1981</c:v>
                </c:pt>
                <c:pt idx="182">
                  <c:v>1982</c:v>
                </c:pt>
                <c:pt idx="183">
                  <c:v>1983</c:v>
                </c:pt>
                <c:pt idx="184">
                  <c:v>1984</c:v>
                </c:pt>
                <c:pt idx="185">
                  <c:v>1985</c:v>
                </c:pt>
                <c:pt idx="186">
                  <c:v>1986</c:v>
                </c:pt>
                <c:pt idx="187">
                  <c:v>1987</c:v>
                </c:pt>
                <c:pt idx="188">
                  <c:v>1988</c:v>
                </c:pt>
                <c:pt idx="189">
                  <c:v>1989</c:v>
                </c:pt>
                <c:pt idx="190">
                  <c:v>1990</c:v>
                </c:pt>
                <c:pt idx="191">
                  <c:v>1991</c:v>
                </c:pt>
                <c:pt idx="192">
                  <c:v>1992</c:v>
                </c:pt>
                <c:pt idx="193">
                  <c:v>1993</c:v>
                </c:pt>
                <c:pt idx="194">
                  <c:v>1994</c:v>
                </c:pt>
                <c:pt idx="195">
                  <c:v>1995</c:v>
                </c:pt>
                <c:pt idx="196">
                  <c:v>1996</c:v>
                </c:pt>
                <c:pt idx="197">
                  <c:v>1997</c:v>
                </c:pt>
                <c:pt idx="198">
                  <c:v>1998</c:v>
                </c:pt>
                <c:pt idx="199">
                  <c:v>1999</c:v>
                </c:pt>
                <c:pt idx="200">
                  <c:v>2000</c:v>
                </c:pt>
                <c:pt idx="201">
                  <c:v>2001</c:v>
                </c:pt>
                <c:pt idx="202">
                  <c:v>2002</c:v>
                </c:pt>
                <c:pt idx="203">
                  <c:v>2003</c:v>
                </c:pt>
                <c:pt idx="204">
                  <c:v>2004</c:v>
                </c:pt>
                <c:pt idx="205">
                  <c:v>2005</c:v>
                </c:pt>
                <c:pt idx="206">
                  <c:v>2006</c:v>
                </c:pt>
                <c:pt idx="207">
                  <c:v>2007</c:v>
                </c:pt>
                <c:pt idx="208">
                  <c:v>2008</c:v>
                </c:pt>
                <c:pt idx="209">
                  <c:v>2009</c:v>
                </c:pt>
                <c:pt idx="210">
                  <c:v>2010</c:v>
                </c:pt>
                <c:pt idx="211">
                  <c:v>2011</c:v>
                </c:pt>
                <c:pt idx="212">
                  <c:v>2012</c:v>
                </c:pt>
                <c:pt idx="213">
                  <c:v>2013</c:v>
                </c:pt>
                <c:pt idx="214">
                  <c:v>2014</c:v>
                </c:pt>
                <c:pt idx="215">
                  <c:v>2015</c:v>
                </c:pt>
                <c:pt idx="216">
                  <c:v>2016</c:v>
                </c:pt>
                <c:pt idx="217">
                  <c:v>2017</c:v>
                </c:pt>
                <c:pt idx="218">
                  <c:v>2018</c:v>
                </c:pt>
                <c:pt idx="219">
                  <c:v>2019</c:v>
                </c:pt>
                <c:pt idx="220">
                  <c:v>2020</c:v>
                </c:pt>
                <c:pt idx="221">
                  <c:v>2021</c:v>
                </c:pt>
                <c:pt idx="222">
                  <c:v>2022</c:v>
                </c:pt>
                <c:pt idx="223">
                  <c:v>2023</c:v>
                </c:pt>
                <c:pt idx="224">
                  <c:v>2024</c:v>
                </c:pt>
                <c:pt idx="225">
                  <c:v>2025</c:v>
                </c:pt>
                <c:pt idx="226">
                  <c:v>2026</c:v>
                </c:pt>
                <c:pt idx="227">
                  <c:v>2027</c:v>
                </c:pt>
                <c:pt idx="228">
                  <c:v>2028</c:v>
                </c:pt>
                <c:pt idx="229">
                  <c:v>2029</c:v>
                </c:pt>
                <c:pt idx="230">
                  <c:v>2030</c:v>
                </c:pt>
                <c:pt idx="231">
                  <c:v>2031</c:v>
                </c:pt>
                <c:pt idx="232">
                  <c:v>2032</c:v>
                </c:pt>
                <c:pt idx="233">
                  <c:v>2033</c:v>
                </c:pt>
                <c:pt idx="234">
                  <c:v>2034</c:v>
                </c:pt>
                <c:pt idx="235">
                  <c:v>2035</c:v>
                </c:pt>
                <c:pt idx="236">
                  <c:v>2036</c:v>
                </c:pt>
                <c:pt idx="237">
                  <c:v>2037</c:v>
                </c:pt>
                <c:pt idx="238">
                  <c:v>2038</c:v>
                </c:pt>
                <c:pt idx="239">
                  <c:v>2039</c:v>
                </c:pt>
                <c:pt idx="240">
                  <c:v>2040</c:v>
                </c:pt>
                <c:pt idx="241">
                  <c:v>2041</c:v>
                </c:pt>
                <c:pt idx="242">
                  <c:v>2042</c:v>
                </c:pt>
                <c:pt idx="243">
                  <c:v>2043</c:v>
                </c:pt>
                <c:pt idx="244">
                  <c:v>2044</c:v>
                </c:pt>
                <c:pt idx="245">
                  <c:v>2045</c:v>
                </c:pt>
                <c:pt idx="246">
                  <c:v>2046</c:v>
                </c:pt>
                <c:pt idx="247">
                  <c:v>2047</c:v>
                </c:pt>
                <c:pt idx="248">
                  <c:v>2048</c:v>
                </c:pt>
                <c:pt idx="249">
                  <c:v>2049</c:v>
                </c:pt>
                <c:pt idx="250">
                  <c:v>2050</c:v>
                </c:pt>
                <c:pt idx="251">
                  <c:v>2051</c:v>
                </c:pt>
                <c:pt idx="252">
                  <c:v>2052</c:v>
                </c:pt>
                <c:pt idx="253">
                  <c:v>2053</c:v>
                </c:pt>
                <c:pt idx="254">
                  <c:v>2054</c:v>
                </c:pt>
                <c:pt idx="255">
                  <c:v>2055</c:v>
                </c:pt>
                <c:pt idx="256">
                  <c:v>2056</c:v>
                </c:pt>
                <c:pt idx="257">
                  <c:v>2057</c:v>
                </c:pt>
                <c:pt idx="258">
                  <c:v>2058</c:v>
                </c:pt>
                <c:pt idx="259">
                  <c:v>2059</c:v>
                </c:pt>
                <c:pt idx="260">
                  <c:v>2060</c:v>
                </c:pt>
                <c:pt idx="261">
                  <c:v>2061</c:v>
                </c:pt>
                <c:pt idx="262">
                  <c:v>2062</c:v>
                </c:pt>
                <c:pt idx="263">
                  <c:v>2063</c:v>
                </c:pt>
                <c:pt idx="264">
                  <c:v>2064</c:v>
                </c:pt>
                <c:pt idx="265">
                  <c:v>2065</c:v>
                </c:pt>
                <c:pt idx="266">
                  <c:v>2066</c:v>
                </c:pt>
                <c:pt idx="267">
                  <c:v>2067</c:v>
                </c:pt>
                <c:pt idx="268">
                  <c:v>2068</c:v>
                </c:pt>
                <c:pt idx="269">
                  <c:v>2069</c:v>
                </c:pt>
                <c:pt idx="270">
                  <c:v>2070</c:v>
                </c:pt>
                <c:pt idx="271">
                  <c:v>2071</c:v>
                </c:pt>
                <c:pt idx="272">
                  <c:v>2072</c:v>
                </c:pt>
                <c:pt idx="273">
                  <c:v>2073</c:v>
                </c:pt>
                <c:pt idx="274">
                  <c:v>2074</c:v>
                </c:pt>
                <c:pt idx="275">
                  <c:v>2075</c:v>
                </c:pt>
                <c:pt idx="276">
                  <c:v>2076</c:v>
                </c:pt>
                <c:pt idx="277">
                  <c:v>2077</c:v>
                </c:pt>
                <c:pt idx="278">
                  <c:v>2078</c:v>
                </c:pt>
                <c:pt idx="279">
                  <c:v>2079</c:v>
                </c:pt>
                <c:pt idx="280">
                  <c:v>2080</c:v>
                </c:pt>
                <c:pt idx="281">
                  <c:v>2081</c:v>
                </c:pt>
                <c:pt idx="282">
                  <c:v>2082</c:v>
                </c:pt>
                <c:pt idx="283">
                  <c:v>2083</c:v>
                </c:pt>
                <c:pt idx="284">
                  <c:v>2084</c:v>
                </c:pt>
                <c:pt idx="285">
                  <c:v>2085</c:v>
                </c:pt>
                <c:pt idx="286">
                  <c:v>2086</c:v>
                </c:pt>
              </c:numCache>
            </c:numRef>
          </c:xVal>
          <c:yVal>
            <c:numRef>
              <c:f>'Eastern United States'!$J$14:$J$300</c:f>
              <c:numCache>
                <c:formatCode>0.0</c:formatCode>
                <c:ptCount val="287"/>
                <c:pt idx="147">
                  <c:v>19.346804198299143</c:v>
                </c:pt>
                <c:pt idx="148">
                  <c:v>19.71248916834428</c:v>
                </c:pt>
                <c:pt idx="149">
                  <c:v>20.082858760189488</c:v>
                </c:pt>
                <c:pt idx="150">
                  <c:v>20.457889263939126</c:v>
                </c:pt>
                <c:pt idx="151">
                  <c:v>20.837553511290544</c:v>
                </c:pt>
                <c:pt idx="152">
                  <c:v>21.221820817850045</c:v>
                </c:pt>
                <c:pt idx="153">
                  <c:v>21.610656929570631</c:v>
                </c:pt>
                <c:pt idx="154">
                  <c:v>22.004023973579017</c:v>
                </c:pt>
                <c:pt idx="155">
                  <c:v>22.401880413655896</c:v>
                </c:pt>
                <c:pt idx="156">
                  <c:v>22.804181010629065</c:v>
                </c:pt>
                <c:pt idx="157">
                  <c:v>23.210876787933</c:v>
                </c:pt>
                <c:pt idx="158">
                  <c:v>23.621915002581687</c:v>
                </c:pt>
                <c:pt idx="159">
                  <c:v>24.037239121792926</c:v>
                </c:pt>
                <c:pt idx="160">
                  <c:v>24.456788805492643</c:v>
                </c:pt>
                <c:pt idx="161">
                  <c:v>24.880499894916955</c:v>
                </c:pt>
                <c:pt idx="162">
                  <c:v>25.308304407517085</c:v>
                </c:pt>
                <c:pt idx="163">
                  <c:v>25.740130538358784</c:v>
                </c:pt>
                <c:pt idx="164">
                  <c:v>26.175902668192872</c:v>
                </c:pt>
                <c:pt idx="165">
                  <c:v>26.615541378357356</c:v>
                </c:pt>
                <c:pt idx="166">
                  <c:v>27.058963472653879</c:v>
                </c:pt>
                <c:pt idx="167">
                  <c:v>27.50608200632302</c:v>
                </c:pt>
                <c:pt idx="168">
                  <c:v>27.956806322222626</c:v>
                </c:pt>
                <c:pt idx="169">
                  <c:v>28.411042094292938</c:v>
                </c:pt>
                <c:pt idx="170">
                  <c:v>28.868691378370134</c:v>
                </c:pt>
                <c:pt idx="171">
                  <c:v>29.329652670387123</c:v>
                </c:pt>
                <c:pt idx="172">
                  <c:v>29.793820971976913</c:v>
                </c:pt>
                <c:pt idx="173">
                  <c:v>30.261087863469427</c:v>
                </c:pt>
                <c:pt idx="174">
                  <c:v>30.731341584247687</c:v>
                </c:pt>
                <c:pt idx="175">
                  <c:v>31.204467120403731</c:v>
                </c:pt>
                <c:pt idx="176">
                  <c:v>31.680346299609059</c:v>
                </c:pt>
                <c:pt idx="177">
                  <c:v>32.158857893087848</c:v>
                </c:pt>
                <c:pt idx="178">
                  <c:v>32.639877724555411</c:v>
                </c:pt>
                <c:pt idx="179">
                  <c:v>33.123278785957893</c:v>
                </c:pt>
                <c:pt idx="180">
                  <c:v>33.608931359823366</c:v>
                </c:pt>
                <c:pt idx="181">
                  <c:v>34.096703148008551</c:v>
                </c:pt>
                <c:pt idx="182">
                  <c:v>34.586459406600618</c:v>
                </c:pt>
                <c:pt idx="183">
                  <c:v>35.078063086708241</c:v>
                </c:pt>
                <c:pt idx="184">
                  <c:v>35.57137498085288</c:v>
                </c:pt>
                <c:pt idx="185">
                  <c:v>36.066253874647863</c:v>
                </c:pt>
                <c:pt idx="186">
                  <c:v>36.562556703431106</c:v>
                </c:pt>
                <c:pt idx="187">
                  <c:v>37.060138713496542</c:v>
                </c:pt>
                <c:pt idx="188">
                  <c:v>37.558853627549944</c:v>
                </c:pt>
                <c:pt idx="189">
                  <c:v>38.058553813996809</c:v>
                </c:pt>
                <c:pt idx="190">
                  <c:v>38.559090459653433</c:v>
                </c:pt>
                <c:pt idx="191">
                  <c:v>39.06031374545789</c:v>
                </c:pt>
                <c:pt idx="192">
                  <c:v>39.562073024744059</c:v>
                </c:pt>
                <c:pt idx="193">
                  <c:v>40.064217003631221</c:v>
                </c:pt>
                <c:pt idx="194">
                  <c:v>40.566593923072084</c:v>
                </c:pt>
                <c:pt idx="195">
                  <c:v>41.069051742095063</c:v>
                </c:pt>
                <c:pt idx="196">
                  <c:v>41.571438321771168</c:v>
                </c:pt>
                <c:pt idx="197">
                  <c:v>42.073601609432941</c:v>
                </c:pt>
                <c:pt idx="198">
                  <c:v>42.575389822671447</c:v>
                </c:pt>
                <c:pt idx="199">
                  <c:v>43.076651632638537</c:v>
                </c:pt>
                <c:pt idx="200">
                  <c:v>43.577236346184627</c:v>
                </c:pt>
                <c:pt idx="201">
                  <c:v>44.076994086367229</c:v>
                </c:pt>
                <c:pt idx="202">
                  <c:v>44.575775970872826</c:v>
                </c:pt>
                <c:pt idx="203">
                  <c:v>45.073434287903638</c:v>
                </c:pt>
                <c:pt idx="204">
                  <c:v>45.569822669091955</c:v>
                </c:pt>
                <c:pt idx="205">
                  <c:v>46.064796259017776</c:v>
                </c:pt>
                <c:pt idx="206">
                  <c:v>46.558211880919757</c:v>
                </c:pt>
                <c:pt idx="207">
                  <c:v>47.049928198206246</c:v>
                </c:pt>
                <c:pt idx="208">
                  <c:v>47.53980587139084</c:v>
                </c:pt>
                <c:pt idx="209">
                  <c:v>48.027707710096159</c:v>
                </c:pt>
                <c:pt idx="210">
                  <c:v>48.513498819790406</c:v>
                </c:pt>
                <c:pt idx="211">
                  <c:v>48.997046742942999</c:v>
                </c:pt>
                <c:pt idx="212">
                  <c:v>49.478221594308408</c:v>
                </c:pt>
                <c:pt idx="213">
                  <c:v>49.956896190071191</c:v>
                </c:pt>
                <c:pt idx="214">
                  <c:v>50.432946170609952</c:v>
                </c:pt>
                <c:pt idx="215">
                  <c:v>50.906250116662726</c:v>
                </c:pt>
                <c:pt idx="216">
                  <c:v>51.376689658702531</c:v>
                </c:pt>
                <c:pt idx="217">
                  <c:v>51.844149579357264</c:v>
                </c:pt>
                <c:pt idx="218">
                  <c:v>52.308517908734764</c:v>
                </c:pt>
                <c:pt idx="219">
                  <c:v>52.76968601253968</c:v>
                </c:pt>
                <c:pt idx="220">
                  <c:v>53.227548672895274</c:v>
                </c:pt>
                <c:pt idx="221">
                  <c:v>53.682004161808834</c:v>
                </c:pt>
                <c:pt idx="222">
                  <c:v>54.132954307245079</c:v>
                </c:pt>
                <c:pt idx="223">
                  <c:v>54.580304551796843</c:v>
                </c:pt>
                <c:pt idx="224">
                  <c:v>55.02396400396681</c:v>
                </c:pt>
                <c:pt idx="225">
                  <c:v>55.463845482097668</c:v>
                </c:pt>
                <c:pt idx="226">
                  <c:v>55.899865551010969</c:v>
                </c:pt>
                <c:pt idx="227">
                  <c:v>56.331944551436848</c:v>
                </c:pt>
                <c:pt idx="228">
                  <c:v>56.760006622337897</c:v>
                </c:pt>
                <c:pt idx="229">
                  <c:v>57.183979716250029</c:v>
                </c:pt>
                <c:pt idx="230">
                  <c:v>57.60379560778226</c:v>
                </c:pt>
                <c:pt idx="231">
                  <c:v>58.019389895434678</c:v>
                </c:pt>
                <c:pt idx="232">
                  <c:v>58.43070199691028</c:v>
                </c:pt>
                <c:pt idx="233">
                  <c:v>58.83767513811123</c:v>
                </c:pt>
                <c:pt idx="234">
                  <c:v>59.240256336024146</c:v>
                </c:pt>
                <c:pt idx="235">
                  <c:v>59.638396375711018</c:v>
                </c:pt>
                <c:pt idx="236">
                  <c:v>60.032049781633972</c:v>
                </c:pt>
                <c:pt idx="237">
                  <c:v>60.421174783551393</c:v>
                </c:pt>
                <c:pt idx="238">
                  <c:v>60.805733277231582</c:v>
                </c:pt>
                <c:pt idx="239">
                  <c:v>61.185690780237373</c:v>
                </c:pt>
                <c:pt idx="240">
                  <c:v>61.561016383040823</c:v>
                </c:pt>
                <c:pt idx="241">
                  <c:v>61.931682695731773</c:v>
                </c:pt>
                <c:pt idx="242">
                  <c:v>62.297665790587551</c:v>
                </c:pt>
                <c:pt idx="243">
                  <c:v>62.65894514077317</c:v>
                </c:pt>
                <c:pt idx="244">
                  <c:v>63.015503555442571</c:v>
                </c:pt>
                <c:pt idx="245">
                  <c:v>63.367327111511507</c:v>
                </c:pt>
                <c:pt idx="246">
                  <c:v>63.714405082371584</c:v>
                </c:pt>
                <c:pt idx="247">
                  <c:v>64.056729863812862</c:v>
                </c:pt>
                <c:pt idx="248">
                  <c:v>64.394296897419864</c:v>
                </c:pt>
                <c:pt idx="249">
                  <c:v>64.727104591701618</c:v>
                </c:pt>
                <c:pt idx="250">
                  <c:v>65.055154241212421</c:v>
                </c:pt>
                <c:pt idx="251">
                  <c:v>65.378449943913878</c:v>
                </c:pt>
                <c:pt idx="252">
                  <c:v>65.6969985170238</c:v>
                </c:pt>
                <c:pt idx="253">
                  <c:v>66.010809411590245</c:v>
                </c:pt>
                <c:pt idx="254">
                  <c:v>66.319894626022204</c:v>
                </c:pt>
                <c:pt idx="255">
                  <c:v>66.624268618800969</c:v>
                </c:pt>
                <c:pt idx="256">
                  <c:v>66.923948220588017</c:v>
                </c:pt>
                <c:pt idx="257">
                  <c:v>67.218952545937015</c:v>
                </c:pt>
                <c:pt idx="258">
                  <c:v>67.509302904808905</c:v>
                </c:pt>
                <c:pt idx="259">
                  <c:v>67.795022714080218</c:v>
                </c:pt>
                <c:pt idx="260">
                  <c:v>68.076137409225495</c:v>
                </c:pt>
                <c:pt idx="261">
                  <c:v>68.352674356345744</c:v>
                </c:pt>
                <c:pt idx="262">
                  <c:v>68.624662764705334</c:v>
                </c:pt>
                <c:pt idx="263">
                  <c:v>68.892133599930418</c:v>
                </c:pt>
                <c:pt idx="264">
                  <c:v>69.155119498012866</c:v>
                </c:pt>
                <c:pt idx="265">
                  <c:v>69.413654680253856</c:v>
                </c:pt>
                <c:pt idx="266">
                  <c:v>69.667774869272563</c:v>
                </c:pt>
                <c:pt idx="267">
                  <c:v>69.91751720619601</c:v>
                </c:pt>
                <c:pt idx="268">
                  <c:v>70.16292016913691</c:v>
                </c:pt>
                <c:pt idx="269">
                  <c:v>70.404023493058062</c:v>
                </c:pt>
                <c:pt idx="270">
                  <c:v>70.640868091112509</c:v>
                </c:pt>
                <c:pt idx="271">
                  <c:v>70.873495977541012</c:v>
                </c:pt>
                <c:pt idx="272">
                  <c:v>71.101950192199396</c:v>
                </c:pt>
                <c:pt idx="273">
                  <c:v>71.32627472678098</c:v>
                </c:pt>
                <c:pt idx="274">
                  <c:v>71.546514452791484</c:v>
                </c:pt>
                <c:pt idx="275">
                  <c:v>71.762715051326154</c:v>
                </c:pt>
                <c:pt idx="276">
                  <c:v>71.974922944692054</c:v>
                </c:pt>
                <c:pt idx="277">
                  <c:v>72.183185229911501</c:v>
                </c:pt>
                <c:pt idx="278">
                  <c:v>72.387549614136233</c:v>
                </c:pt>
                <c:pt idx="279">
                  <c:v>72.588064351995399</c:v>
                </c:pt>
                <c:pt idx="280">
                  <c:v>72.784778184895174</c:v>
                </c:pt>
                <c:pt idx="281">
                  <c:v>72.977740282281403</c:v>
                </c:pt>
                <c:pt idx="282">
                  <c:v>73.167000184872407</c:v>
                </c:pt>
                <c:pt idx="283">
                  <c:v>73.352607749863054</c:v>
                </c:pt>
                <c:pt idx="284">
                  <c:v>73.534613098097481</c:v>
                </c:pt>
                <c:pt idx="285">
                  <c:v>73.7130665632031</c:v>
                </c:pt>
                <c:pt idx="286">
                  <c:v>73.888018642674311</c:v>
                </c:pt>
              </c:numCache>
            </c:numRef>
          </c:yVal>
          <c:smooth val="1"/>
          <c:extLst>
            <c:ext xmlns:c16="http://schemas.microsoft.com/office/drawing/2014/chart" uri="{C3380CC4-5D6E-409C-BE32-E72D297353CC}">
              <c16:uniqueId val="{00000002-1982-8343-B114-CA35B8B98E1F}"/>
            </c:ext>
          </c:extLst>
        </c:ser>
        <c:ser>
          <c:idx val="4"/>
          <c:order val="3"/>
          <c:tx>
            <c:v>q l early</c:v>
          </c:tx>
          <c:spPr>
            <a:ln w="15875">
              <a:solidFill>
                <a:srgbClr val="808080"/>
              </a:solidFill>
              <a:prstDash val="dash"/>
            </a:ln>
          </c:spPr>
          <c:marker>
            <c:symbol val="none"/>
          </c:marker>
          <c:xVal>
            <c:numRef>
              <c:f>'Eastern United States'!$D$14:$D$299</c:f>
              <c:numCache>
                <c:formatCode>General</c:formatCode>
                <c:ptCount val="286"/>
                <c:pt idx="0">
                  <c:v>1800</c:v>
                </c:pt>
                <c:pt idx="1">
                  <c:v>1801</c:v>
                </c:pt>
                <c:pt idx="2">
                  <c:v>1802</c:v>
                </c:pt>
                <c:pt idx="3">
                  <c:v>1803</c:v>
                </c:pt>
                <c:pt idx="4">
                  <c:v>1804</c:v>
                </c:pt>
                <c:pt idx="5">
                  <c:v>1805</c:v>
                </c:pt>
                <c:pt idx="6">
                  <c:v>1806</c:v>
                </c:pt>
                <c:pt idx="7">
                  <c:v>1807</c:v>
                </c:pt>
                <c:pt idx="8">
                  <c:v>1808</c:v>
                </c:pt>
                <c:pt idx="9">
                  <c:v>1809</c:v>
                </c:pt>
                <c:pt idx="10">
                  <c:v>1810</c:v>
                </c:pt>
                <c:pt idx="11">
                  <c:v>1811</c:v>
                </c:pt>
                <c:pt idx="12">
                  <c:v>1812</c:v>
                </c:pt>
                <c:pt idx="13">
                  <c:v>1813</c:v>
                </c:pt>
                <c:pt idx="14">
                  <c:v>1814</c:v>
                </c:pt>
                <c:pt idx="15">
                  <c:v>1815</c:v>
                </c:pt>
                <c:pt idx="16">
                  <c:v>1816</c:v>
                </c:pt>
                <c:pt idx="17">
                  <c:v>1817</c:v>
                </c:pt>
                <c:pt idx="18">
                  <c:v>1818</c:v>
                </c:pt>
                <c:pt idx="19">
                  <c:v>1819</c:v>
                </c:pt>
                <c:pt idx="20">
                  <c:v>1820</c:v>
                </c:pt>
                <c:pt idx="21">
                  <c:v>1821</c:v>
                </c:pt>
                <c:pt idx="22">
                  <c:v>1822</c:v>
                </c:pt>
                <c:pt idx="23">
                  <c:v>1823</c:v>
                </c:pt>
                <c:pt idx="24">
                  <c:v>1824</c:v>
                </c:pt>
                <c:pt idx="25">
                  <c:v>1825</c:v>
                </c:pt>
                <c:pt idx="26">
                  <c:v>1826</c:v>
                </c:pt>
                <c:pt idx="27">
                  <c:v>1827</c:v>
                </c:pt>
                <c:pt idx="28">
                  <c:v>1828</c:v>
                </c:pt>
                <c:pt idx="29">
                  <c:v>1829</c:v>
                </c:pt>
                <c:pt idx="30">
                  <c:v>1830</c:v>
                </c:pt>
                <c:pt idx="31">
                  <c:v>1831</c:v>
                </c:pt>
                <c:pt idx="32">
                  <c:v>1832</c:v>
                </c:pt>
                <c:pt idx="33">
                  <c:v>1833</c:v>
                </c:pt>
                <c:pt idx="34">
                  <c:v>1834</c:v>
                </c:pt>
                <c:pt idx="35">
                  <c:v>1835</c:v>
                </c:pt>
                <c:pt idx="36">
                  <c:v>1836</c:v>
                </c:pt>
                <c:pt idx="37">
                  <c:v>1837</c:v>
                </c:pt>
                <c:pt idx="38">
                  <c:v>1838</c:v>
                </c:pt>
                <c:pt idx="39">
                  <c:v>1839</c:v>
                </c:pt>
                <c:pt idx="40">
                  <c:v>1840</c:v>
                </c:pt>
                <c:pt idx="41">
                  <c:v>1841</c:v>
                </c:pt>
                <c:pt idx="42">
                  <c:v>1842</c:v>
                </c:pt>
                <c:pt idx="43">
                  <c:v>1843</c:v>
                </c:pt>
                <c:pt idx="44">
                  <c:v>1844</c:v>
                </c:pt>
                <c:pt idx="45">
                  <c:v>1845</c:v>
                </c:pt>
                <c:pt idx="46">
                  <c:v>1846</c:v>
                </c:pt>
                <c:pt idx="47">
                  <c:v>1847</c:v>
                </c:pt>
                <c:pt idx="48">
                  <c:v>1848</c:v>
                </c:pt>
                <c:pt idx="49">
                  <c:v>1849</c:v>
                </c:pt>
                <c:pt idx="50">
                  <c:v>1850</c:v>
                </c:pt>
                <c:pt idx="51">
                  <c:v>1851</c:v>
                </c:pt>
                <c:pt idx="52">
                  <c:v>1852</c:v>
                </c:pt>
                <c:pt idx="53">
                  <c:v>1853</c:v>
                </c:pt>
                <c:pt idx="54">
                  <c:v>1854</c:v>
                </c:pt>
                <c:pt idx="55">
                  <c:v>1855</c:v>
                </c:pt>
                <c:pt idx="56">
                  <c:v>1856</c:v>
                </c:pt>
                <c:pt idx="57">
                  <c:v>1857</c:v>
                </c:pt>
                <c:pt idx="58">
                  <c:v>1858</c:v>
                </c:pt>
                <c:pt idx="59">
                  <c:v>1859</c:v>
                </c:pt>
                <c:pt idx="60">
                  <c:v>1860</c:v>
                </c:pt>
                <c:pt idx="61">
                  <c:v>1861</c:v>
                </c:pt>
                <c:pt idx="62">
                  <c:v>1862</c:v>
                </c:pt>
                <c:pt idx="63">
                  <c:v>1863</c:v>
                </c:pt>
                <c:pt idx="64">
                  <c:v>1864</c:v>
                </c:pt>
                <c:pt idx="65">
                  <c:v>1865</c:v>
                </c:pt>
                <c:pt idx="66">
                  <c:v>1866</c:v>
                </c:pt>
                <c:pt idx="67">
                  <c:v>1867</c:v>
                </c:pt>
                <c:pt idx="68">
                  <c:v>1868</c:v>
                </c:pt>
                <c:pt idx="69">
                  <c:v>1869</c:v>
                </c:pt>
                <c:pt idx="70">
                  <c:v>1870</c:v>
                </c:pt>
                <c:pt idx="71">
                  <c:v>1871</c:v>
                </c:pt>
                <c:pt idx="72">
                  <c:v>1872</c:v>
                </c:pt>
                <c:pt idx="73">
                  <c:v>1873</c:v>
                </c:pt>
                <c:pt idx="74">
                  <c:v>1874</c:v>
                </c:pt>
                <c:pt idx="75">
                  <c:v>1875</c:v>
                </c:pt>
                <c:pt idx="76">
                  <c:v>1876</c:v>
                </c:pt>
                <c:pt idx="77">
                  <c:v>1877</c:v>
                </c:pt>
                <c:pt idx="78">
                  <c:v>1878</c:v>
                </c:pt>
                <c:pt idx="79">
                  <c:v>1879</c:v>
                </c:pt>
                <c:pt idx="80">
                  <c:v>1880</c:v>
                </c:pt>
                <c:pt idx="81">
                  <c:v>1881</c:v>
                </c:pt>
                <c:pt idx="82">
                  <c:v>1882</c:v>
                </c:pt>
                <c:pt idx="83">
                  <c:v>1883</c:v>
                </c:pt>
                <c:pt idx="84">
                  <c:v>1884</c:v>
                </c:pt>
                <c:pt idx="85">
                  <c:v>1885</c:v>
                </c:pt>
                <c:pt idx="86">
                  <c:v>1886</c:v>
                </c:pt>
                <c:pt idx="87">
                  <c:v>1887</c:v>
                </c:pt>
                <c:pt idx="88">
                  <c:v>1888</c:v>
                </c:pt>
                <c:pt idx="89">
                  <c:v>1889</c:v>
                </c:pt>
                <c:pt idx="90">
                  <c:v>1890</c:v>
                </c:pt>
                <c:pt idx="91">
                  <c:v>1891</c:v>
                </c:pt>
                <c:pt idx="92">
                  <c:v>1892</c:v>
                </c:pt>
                <c:pt idx="93">
                  <c:v>1893</c:v>
                </c:pt>
                <c:pt idx="94">
                  <c:v>1894</c:v>
                </c:pt>
                <c:pt idx="95">
                  <c:v>1895</c:v>
                </c:pt>
                <c:pt idx="96">
                  <c:v>1896</c:v>
                </c:pt>
                <c:pt idx="97">
                  <c:v>1897</c:v>
                </c:pt>
                <c:pt idx="98">
                  <c:v>1898</c:v>
                </c:pt>
                <c:pt idx="99">
                  <c:v>1899</c:v>
                </c:pt>
                <c:pt idx="100">
                  <c:v>1900</c:v>
                </c:pt>
                <c:pt idx="101">
                  <c:v>1901</c:v>
                </c:pt>
                <c:pt idx="102">
                  <c:v>1902</c:v>
                </c:pt>
                <c:pt idx="103">
                  <c:v>1903</c:v>
                </c:pt>
                <c:pt idx="104">
                  <c:v>1904</c:v>
                </c:pt>
                <c:pt idx="105">
                  <c:v>1905</c:v>
                </c:pt>
                <c:pt idx="106">
                  <c:v>1906</c:v>
                </c:pt>
                <c:pt idx="107">
                  <c:v>1907</c:v>
                </c:pt>
                <c:pt idx="108">
                  <c:v>1908</c:v>
                </c:pt>
                <c:pt idx="109">
                  <c:v>1909</c:v>
                </c:pt>
                <c:pt idx="110">
                  <c:v>1910</c:v>
                </c:pt>
                <c:pt idx="111">
                  <c:v>1911</c:v>
                </c:pt>
                <c:pt idx="112">
                  <c:v>1912</c:v>
                </c:pt>
                <c:pt idx="113">
                  <c:v>1913</c:v>
                </c:pt>
                <c:pt idx="114">
                  <c:v>1914</c:v>
                </c:pt>
                <c:pt idx="115">
                  <c:v>1915</c:v>
                </c:pt>
                <c:pt idx="116">
                  <c:v>1916</c:v>
                </c:pt>
                <c:pt idx="117">
                  <c:v>1917</c:v>
                </c:pt>
                <c:pt idx="118">
                  <c:v>1918</c:v>
                </c:pt>
                <c:pt idx="119">
                  <c:v>1919</c:v>
                </c:pt>
                <c:pt idx="120">
                  <c:v>1920</c:v>
                </c:pt>
                <c:pt idx="121">
                  <c:v>1921</c:v>
                </c:pt>
                <c:pt idx="122">
                  <c:v>1922</c:v>
                </c:pt>
                <c:pt idx="123">
                  <c:v>1923</c:v>
                </c:pt>
                <c:pt idx="124">
                  <c:v>1924</c:v>
                </c:pt>
                <c:pt idx="125">
                  <c:v>1925</c:v>
                </c:pt>
                <c:pt idx="126">
                  <c:v>1926</c:v>
                </c:pt>
                <c:pt idx="127">
                  <c:v>1927</c:v>
                </c:pt>
                <c:pt idx="128">
                  <c:v>1928</c:v>
                </c:pt>
                <c:pt idx="129">
                  <c:v>1929</c:v>
                </c:pt>
                <c:pt idx="130">
                  <c:v>1930</c:v>
                </c:pt>
                <c:pt idx="131">
                  <c:v>1931</c:v>
                </c:pt>
                <c:pt idx="132">
                  <c:v>1932</c:v>
                </c:pt>
                <c:pt idx="133">
                  <c:v>1933</c:v>
                </c:pt>
                <c:pt idx="134">
                  <c:v>1934</c:v>
                </c:pt>
                <c:pt idx="135">
                  <c:v>1935</c:v>
                </c:pt>
                <c:pt idx="136">
                  <c:v>1936</c:v>
                </c:pt>
                <c:pt idx="137">
                  <c:v>1937</c:v>
                </c:pt>
                <c:pt idx="138">
                  <c:v>1938</c:v>
                </c:pt>
                <c:pt idx="139">
                  <c:v>1939</c:v>
                </c:pt>
                <c:pt idx="140">
                  <c:v>1940</c:v>
                </c:pt>
                <c:pt idx="141">
                  <c:v>1941</c:v>
                </c:pt>
                <c:pt idx="142">
                  <c:v>1942</c:v>
                </c:pt>
                <c:pt idx="143">
                  <c:v>1943</c:v>
                </c:pt>
                <c:pt idx="144">
                  <c:v>1944</c:v>
                </c:pt>
                <c:pt idx="145">
                  <c:v>1945</c:v>
                </c:pt>
                <c:pt idx="146">
                  <c:v>1946</c:v>
                </c:pt>
                <c:pt idx="147">
                  <c:v>1947</c:v>
                </c:pt>
                <c:pt idx="148">
                  <c:v>1948</c:v>
                </c:pt>
                <c:pt idx="149">
                  <c:v>1949</c:v>
                </c:pt>
                <c:pt idx="150">
                  <c:v>1950</c:v>
                </c:pt>
                <c:pt idx="151">
                  <c:v>1951</c:v>
                </c:pt>
                <c:pt idx="152">
                  <c:v>1952</c:v>
                </c:pt>
                <c:pt idx="153">
                  <c:v>1953</c:v>
                </c:pt>
                <c:pt idx="154">
                  <c:v>1954</c:v>
                </c:pt>
                <c:pt idx="155">
                  <c:v>1955</c:v>
                </c:pt>
                <c:pt idx="156">
                  <c:v>1956</c:v>
                </c:pt>
                <c:pt idx="157">
                  <c:v>1957</c:v>
                </c:pt>
                <c:pt idx="158">
                  <c:v>1958</c:v>
                </c:pt>
                <c:pt idx="159">
                  <c:v>1959</c:v>
                </c:pt>
                <c:pt idx="160">
                  <c:v>1960</c:v>
                </c:pt>
                <c:pt idx="161">
                  <c:v>1961</c:v>
                </c:pt>
                <c:pt idx="162">
                  <c:v>1962</c:v>
                </c:pt>
                <c:pt idx="163">
                  <c:v>1963</c:v>
                </c:pt>
                <c:pt idx="164">
                  <c:v>1964</c:v>
                </c:pt>
                <c:pt idx="165">
                  <c:v>1965</c:v>
                </c:pt>
                <c:pt idx="166">
                  <c:v>1966</c:v>
                </c:pt>
                <c:pt idx="167">
                  <c:v>1967</c:v>
                </c:pt>
                <c:pt idx="168">
                  <c:v>1968</c:v>
                </c:pt>
                <c:pt idx="169">
                  <c:v>1969</c:v>
                </c:pt>
                <c:pt idx="170">
                  <c:v>1970</c:v>
                </c:pt>
                <c:pt idx="171">
                  <c:v>1971</c:v>
                </c:pt>
                <c:pt idx="172">
                  <c:v>1972</c:v>
                </c:pt>
                <c:pt idx="173">
                  <c:v>1973</c:v>
                </c:pt>
                <c:pt idx="174">
                  <c:v>1974</c:v>
                </c:pt>
                <c:pt idx="175">
                  <c:v>1975</c:v>
                </c:pt>
                <c:pt idx="176">
                  <c:v>1976</c:v>
                </c:pt>
                <c:pt idx="177">
                  <c:v>1977</c:v>
                </c:pt>
                <c:pt idx="178">
                  <c:v>1978</c:v>
                </c:pt>
                <c:pt idx="179">
                  <c:v>1979</c:v>
                </c:pt>
                <c:pt idx="180">
                  <c:v>1980</c:v>
                </c:pt>
                <c:pt idx="181">
                  <c:v>1981</c:v>
                </c:pt>
                <c:pt idx="182">
                  <c:v>1982</c:v>
                </c:pt>
                <c:pt idx="183">
                  <c:v>1983</c:v>
                </c:pt>
                <c:pt idx="184">
                  <c:v>1984</c:v>
                </c:pt>
                <c:pt idx="185">
                  <c:v>1985</c:v>
                </c:pt>
                <c:pt idx="186">
                  <c:v>1986</c:v>
                </c:pt>
                <c:pt idx="187">
                  <c:v>1987</c:v>
                </c:pt>
                <c:pt idx="188">
                  <c:v>1988</c:v>
                </c:pt>
                <c:pt idx="189">
                  <c:v>1989</c:v>
                </c:pt>
                <c:pt idx="190">
                  <c:v>1990</c:v>
                </c:pt>
                <c:pt idx="191">
                  <c:v>1991</c:v>
                </c:pt>
                <c:pt idx="192">
                  <c:v>1992</c:v>
                </c:pt>
                <c:pt idx="193">
                  <c:v>1993</c:v>
                </c:pt>
                <c:pt idx="194">
                  <c:v>1994</c:v>
                </c:pt>
                <c:pt idx="195">
                  <c:v>1995</c:v>
                </c:pt>
                <c:pt idx="196">
                  <c:v>1996</c:v>
                </c:pt>
                <c:pt idx="197">
                  <c:v>1997</c:v>
                </c:pt>
                <c:pt idx="198">
                  <c:v>1998</c:v>
                </c:pt>
                <c:pt idx="199">
                  <c:v>1999</c:v>
                </c:pt>
                <c:pt idx="200">
                  <c:v>2000</c:v>
                </c:pt>
                <c:pt idx="201">
                  <c:v>2001</c:v>
                </c:pt>
                <c:pt idx="202">
                  <c:v>2002</c:v>
                </c:pt>
                <c:pt idx="203">
                  <c:v>2003</c:v>
                </c:pt>
                <c:pt idx="204">
                  <c:v>2004</c:v>
                </c:pt>
                <c:pt idx="205">
                  <c:v>2005</c:v>
                </c:pt>
                <c:pt idx="206">
                  <c:v>2006</c:v>
                </c:pt>
                <c:pt idx="207">
                  <c:v>2007</c:v>
                </c:pt>
                <c:pt idx="208">
                  <c:v>2008</c:v>
                </c:pt>
                <c:pt idx="209">
                  <c:v>2009</c:v>
                </c:pt>
                <c:pt idx="210">
                  <c:v>2010</c:v>
                </c:pt>
                <c:pt idx="211">
                  <c:v>2011</c:v>
                </c:pt>
                <c:pt idx="212">
                  <c:v>2012</c:v>
                </c:pt>
                <c:pt idx="213">
                  <c:v>2013</c:v>
                </c:pt>
                <c:pt idx="214">
                  <c:v>2014</c:v>
                </c:pt>
                <c:pt idx="215">
                  <c:v>2015</c:v>
                </c:pt>
                <c:pt idx="216">
                  <c:v>2016</c:v>
                </c:pt>
                <c:pt idx="217">
                  <c:v>2017</c:v>
                </c:pt>
                <c:pt idx="218">
                  <c:v>2018</c:v>
                </c:pt>
                <c:pt idx="219">
                  <c:v>2019</c:v>
                </c:pt>
                <c:pt idx="220">
                  <c:v>2020</c:v>
                </c:pt>
                <c:pt idx="221">
                  <c:v>2021</c:v>
                </c:pt>
                <c:pt idx="222">
                  <c:v>2022</c:v>
                </c:pt>
                <c:pt idx="223">
                  <c:v>2023</c:v>
                </c:pt>
                <c:pt idx="224">
                  <c:v>2024</c:v>
                </c:pt>
                <c:pt idx="225">
                  <c:v>2025</c:v>
                </c:pt>
                <c:pt idx="226">
                  <c:v>2026</c:v>
                </c:pt>
                <c:pt idx="227">
                  <c:v>2027</c:v>
                </c:pt>
                <c:pt idx="228">
                  <c:v>2028</c:v>
                </c:pt>
                <c:pt idx="229">
                  <c:v>2029</c:v>
                </c:pt>
                <c:pt idx="230">
                  <c:v>2030</c:v>
                </c:pt>
                <c:pt idx="231">
                  <c:v>2031</c:v>
                </c:pt>
                <c:pt idx="232">
                  <c:v>2032</c:v>
                </c:pt>
                <c:pt idx="233">
                  <c:v>2033</c:v>
                </c:pt>
                <c:pt idx="234">
                  <c:v>2034</c:v>
                </c:pt>
                <c:pt idx="235">
                  <c:v>2035</c:v>
                </c:pt>
                <c:pt idx="236">
                  <c:v>2036</c:v>
                </c:pt>
                <c:pt idx="237">
                  <c:v>2037</c:v>
                </c:pt>
                <c:pt idx="238">
                  <c:v>2038</c:v>
                </c:pt>
                <c:pt idx="239">
                  <c:v>2039</c:v>
                </c:pt>
                <c:pt idx="240">
                  <c:v>2040</c:v>
                </c:pt>
                <c:pt idx="241">
                  <c:v>2041</c:v>
                </c:pt>
                <c:pt idx="242">
                  <c:v>2042</c:v>
                </c:pt>
                <c:pt idx="243">
                  <c:v>2043</c:v>
                </c:pt>
                <c:pt idx="244">
                  <c:v>2044</c:v>
                </c:pt>
                <c:pt idx="245">
                  <c:v>2045</c:v>
                </c:pt>
                <c:pt idx="246">
                  <c:v>2046</c:v>
                </c:pt>
                <c:pt idx="247">
                  <c:v>2047</c:v>
                </c:pt>
                <c:pt idx="248">
                  <c:v>2048</c:v>
                </c:pt>
                <c:pt idx="249">
                  <c:v>2049</c:v>
                </c:pt>
                <c:pt idx="250">
                  <c:v>2050</c:v>
                </c:pt>
                <c:pt idx="251">
                  <c:v>2051</c:v>
                </c:pt>
                <c:pt idx="252">
                  <c:v>2052</c:v>
                </c:pt>
                <c:pt idx="253">
                  <c:v>2053</c:v>
                </c:pt>
                <c:pt idx="254">
                  <c:v>2054</c:v>
                </c:pt>
                <c:pt idx="255">
                  <c:v>2055</c:v>
                </c:pt>
                <c:pt idx="256">
                  <c:v>2056</c:v>
                </c:pt>
                <c:pt idx="257">
                  <c:v>2057</c:v>
                </c:pt>
                <c:pt idx="258">
                  <c:v>2058</c:v>
                </c:pt>
                <c:pt idx="259">
                  <c:v>2059</c:v>
                </c:pt>
                <c:pt idx="260">
                  <c:v>2060</c:v>
                </c:pt>
                <c:pt idx="261">
                  <c:v>2061</c:v>
                </c:pt>
                <c:pt idx="262">
                  <c:v>2062</c:v>
                </c:pt>
                <c:pt idx="263">
                  <c:v>2063</c:v>
                </c:pt>
                <c:pt idx="264">
                  <c:v>2064</c:v>
                </c:pt>
                <c:pt idx="265">
                  <c:v>2065</c:v>
                </c:pt>
                <c:pt idx="266">
                  <c:v>2066</c:v>
                </c:pt>
                <c:pt idx="267">
                  <c:v>2067</c:v>
                </c:pt>
                <c:pt idx="268">
                  <c:v>2068</c:v>
                </c:pt>
                <c:pt idx="269">
                  <c:v>2069</c:v>
                </c:pt>
                <c:pt idx="270">
                  <c:v>2070</c:v>
                </c:pt>
                <c:pt idx="271">
                  <c:v>2071</c:v>
                </c:pt>
                <c:pt idx="272">
                  <c:v>2072</c:v>
                </c:pt>
                <c:pt idx="273">
                  <c:v>2073</c:v>
                </c:pt>
                <c:pt idx="274">
                  <c:v>2074</c:v>
                </c:pt>
                <c:pt idx="275">
                  <c:v>2075</c:v>
                </c:pt>
                <c:pt idx="276">
                  <c:v>2076</c:v>
                </c:pt>
                <c:pt idx="277">
                  <c:v>2077</c:v>
                </c:pt>
                <c:pt idx="278">
                  <c:v>2078</c:v>
                </c:pt>
                <c:pt idx="279">
                  <c:v>2079</c:v>
                </c:pt>
                <c:pt idx="280">
                  <c:v>2080</c:v>
                </c:pt>
                <c:pt idx="281">
                  <c:v>2081</c:v>
                </c:pt>
                <c:pt idx="282">
                  <c:v>2082</c:v>
                </c:pt>
                <c:pt idx="283">
                  <c:v>2083</c:v>
                </c:pt>
                <c:pt idx="284">
                  <c:v>2084</c:v>
                </c:pt>
                <c:pt idx="285">
                  <c:v>2085</c:v>
                </c:pt>
              </c:numCache>
            </c:numRef>
          </c:xVal>
          <c:yVal>
            <c:numRef>
              <c:f>'Eastern United States'!$O$14:$O$299</c:f>
              <c:numCache>
                <c:formatCode>0.0</c:formatCode>
                <c:ptCount val="286"/>
                <c:pt idx="56">
                  <c:v>6.7152530395153009E-2</c:v>
                </c:pt>
                <c:pt idx="57">
                  <c:v>7.2955123747579731E-2</c:v>
                </c:pt>
                <c:pt idx="58">
                  <c:v>7.9257252343160126E-2</c:v>
                </c:pt>
                <c:pt idx="59">
                  <c:v>8.610158488725371E-2</c:v>
                </c:pt>
                <c:pt idx="60">
                  <c:v>9.3534374324700797E-2</c:v>
                </c:pt>
                <c:pt idx="61">
                  <c:v>0.10160574803989347</c:v>
                </c:pt>
                <c:pt idx="62">
                  <c:v>0.11037001958008488</c:v>
                </c:pt>
                <c:pt idx="63">
                  <c:v>0.11988602313303198</c:v>
                </c:pt>
                <c:pt idx="64">
                  <c:v>0.13021747198834258</c:v>
                </c:pt>
                <c:pt idx="65">
                  <c:v>0.14143334219217663</c:v>
                </c:pt>
                <c:pt idx="66">
                  <c:v>0.15360828256292017</c:v>
                </c:pt>
                <c:pt idx="67">
                  <c:v>0.16682305216604248</c:v>
                </c:pt>
                <c:pt idx="68">
                  <c:v>0.18116498624369376</c:v>
                </c:pt>
                <c:pt idx="69">
                  <c:v>0.19672849145184118</c:v>
                </c:pt>
                <c:pt idx="70">
                  <c:v>0.21361557106698698</c:v>
                </c:pt>
                <c:pt idx="71">
                  <c:v>0.23193638057672358</c:v>
                </c:pt>
                <c:pt idx="72">
                  <c:v>0.25180981375320027</c:v>
                </c:pt>
                <c:pt idx="73">
                  <c:v>0.27336411891433082</c:v>
                </c:pt>
                <c:pt idx="74">
                  <c:v>0.29673754459109108</c:v>
                </c:pt>
                <c:pt idx="75">
                  <c:v>0.32207901322586086</c:v>
                </c:pt>
                <c:pt idx="76">
                  <c:v>0.34954882081027716</c:v>
                </c:pt>
                <c:pt idx="77">
                  <c:v>0.37931935951375045</c:v>
                </c:pt>
                <c:pt idx="78">
                  <c:v>0.41157585933658952</c:v>
                </c:pt>
                <c:pt idx="79">
                  <c:v>0.44651714362434364</c:v>
                </c:pt>
                <c:pt idx="80">
                  <c:v>0.48435639188142049</c:v>
                </c:pt>
                <c:pt idx="81">
                  <c:v>0.52532190170099424</c:v>
                </c:pt>
                <c:pt idx="82">
                  <c:v>0.56965783976380668</c:v>
                </c:pt>
                <c:pt idx="83">
                  <c:v>0.61762496973135839</c:v>
                </c:pt>
                <c:pt idx="84">
                  <c:v>0.66950134245275295</c:v>
                </c:pt>
                <c:pt idx="85">
                  <c:v>0.72558293120723161</c:v>
                </c:pt>
                <c:pt idx="86">
                  <c:v>0.7861841917112472</c:v>
                </c:pt>
                <c:pt idx="87">
                  <c:v>0.85163852333440737</c:v>
                </c:pt>
                <c:pt idx="88">
                  <c:v>0.92229860441023537</c:v>
                </c:pt>
                <c:pt idx="89">
                  <c:v>0.99853657072984892</c:v>
                </c:pt>
                <c:pt idx="90">
                  <c:v>1.0807440023250601</c:v>
                </c:pt>
                <c:pt idx="91">
                  <c:v>1.1693316795642905</c:v>
                </c:pt>
                <c:pt idx="92">
                  <c:v>1.2647290655144048</c:v>
                </c:pt>
                <c:pt idx="93">
                  <c:v>1.3673834676162493</c:v>
                </c:pt>
                <c:pt idx="94">
                  <c:v>1.4777588281772867</c:v>
                </c:pt>
                <c:pt idx="95">
                  <c:v>1.5963340902457432</c:v>
                </c:pt>
                <c:pt idx="96">
                  <c:v>1.7236010833947617</c:v>
                </c:pt>
                <c:pt idx="97">
                  <c:v>1.8600618731641587</c:v>
                </c:pt>
                <c:pt idx="98">
                  <c:v>2.0062255187870051</c:v>
                </c:pt>
                <c:pt idx="99">
                  <c:v>2.1626041868215111</c:v>
                </c:pt>
                <c:pt idx="100">
                  <c:v>2.329708573904627</c:v>
                </c:pt>
                <c:pt idx="101">
                  <c:v>2.5080426005483849</c:v>
                </c:pt>
                <c:pt idx="102">
                  <c:v>2.6980973502084451</c:v>
                </c:pt>
                <c:pt idx="103">
                  <c:v>2.900344244212977</c:v>
                </c:pt>
                <c:pt idx="104">
                  <c:v>3.1152274638982145</c:v>
                </c:pt>
                <c:pt idx="105">
                  <c:v>3.3431556566489644</c:v>
                </c:pt>
                <c:pt idx="106">
                  <c:v>3.5844929924598721</c:v>
                </c:pt>
                <c:pt idx="107">
                  <c:v>3.8395496717951736</c:v>
                </c:pt>
                <c:pt idx="108">
                  <c:v>4.1085720232458796</c:v>
                </c:pt>
                <c:pt idx="109">
                  <c:v>4.3917323696535018</c:v>
                </c:pt>
                <c:pt idx="110">
                  <c:v>4.6891188824102539</c:v>
                </c:pt>
                <c:pt idx="111">
                  <c:v>5.0007256834992235</c:v>
                </c:pt>
                <c:pt idx="112">
                  <c:v>5.3264434909971827</c:v>
                </c:pt>
                <c:pt idx="113">
                  <c:v>5.6660511333562251</c:v>
                </c:pt>
                <c:pt idx="114">
                  <c:v>6.0192082777197786</c:v>
                </c:pt>
                <c:pt idx="115">
                  <c:v>6.3854497247172848</c:v>
                </c:pt>
                <c:pt idx="116">
                  <c:v>6.7641816137852668</c:v>
                </c:pt>
                <c:pt idx="117">
                  <c:v>7.1546798568163803</c:v>
                </c:pt>
                <c:pt idx="118">
                  <c:v>7.5560910724740662</c:v>
                </c:pt>
                <c:pt idx="119">
                  <c:v>7.9674362286593148</c:v>
                </c:pt>
                <c:pt idx="120">
                  <c:v>8.3876171176461689</c:v>
                </c:pt>
                <c:pt idx="121">
                  <c:v>8.8154256901494712</c:v>
                </c:pt>
                <c:pt idx="122">
                  <c:v>9.2495561654379692</c:v>
                </c:pt>
                <c:pt idx="123">
                  <c:v>9.6886197203052209</c:v>
                </c:pt>
                <c:pt idx="124">
                  <c:v>10.131161447004184</c:v>
                </c:pt>
                <c:pt idx="125">
                  <c:v>10.57567916636229</c:v>
                </c:pt>
                <c:pt idx="126">
                  <c:v>11.020643594299464</c:v>
                </c:pt>
                <c:pt idx="127">
                  <c:v>11.464519294139835</c:v>
                </c:pt>
                <c:pt idx="128">
                  <c:v>11.905785808275223</c:v>
                </c:pt>
                <c:pt idx="129">
                  <c:v>12.342958353813874</c:v>
                </c:pt>
                <c:pt idx="130">
                  <c:v>12.77460748850484</c:v>
                </c:pt>
                <c:pt idx="131">
                  <c:v>13.199377203835231</c:v>
                </c:pt>
              </c:numCache>
            </c:numRef>
          </c:yVal>
          <c:smooth val="1"/>
          <c:extLst>
            <c:ext xmlns:c16="http://schemas.microsoft.com/office/drawing/2014/chart" uri="{C3380CC4-5D6E-409C-BE32-E72D297353CC}">
              <c16:uniqueId val="{00000003-1982-8343-B114-CA35B8B98E1F}"/>
            </c:ext>
          </c:extLst>
        </c:ser>
        <c:ser>
          <c:idx val="1"/>
          <c:order val="4"/>
          <c:tx>
            <c:strRef>
              <c:f>'Eastern United States'!$H$12</c:f>
              <c:strCache>
                <c:ptCount val="1"/>
                <c:pt idx="0">
                  <c:v>Q historical</c:v>
                </c:pt>
              </c:strCache>
            </c:strRef>
          </c:tx>
          <c:spPr>
            <a:ln w="15875">
              <a:solidFill>
                <a:srgbClr val="333399"/>
              </a:solidFill>
            </a:ln>
          </c:spPr>
          <c:marker>
            <c:symbol val="none"/>
          </c:marker>
          <c:xVal>
            <c:numRef>
              <c:f>'Eastern United States'!$D$199:$D$300</c:f>
              <c:numCache>
                <c:formatCode>General</c:formatCode>
                <c:ptCount val="102"/>
                <c:pt idx="0">
                  <c:v>1985</c:v>
                </c:pt>
                <c:pt idx="1">
                  <c:v>1986</c:v>
                </c:pt>
                <c:pt idx="2">
                  <c:v>1987</c:v>
                </c:pt>
                <c:pt idx="3">
                  <c:v>1988</c:v>
                </c:pt>
                <c:pt idx="4">
                  <c:v>1989</c:v>
                </c:pt>
                <c:pt idx="5">
                  <c:v>1990</c:v>
                </c:pt>
                <c:pt idx="6">
                  <c:v>1991</c:v>
                </c:pt>
                <c:pt idx="7">
                  <c:v>1992</c:v>
                </c:pt>
                <c:pt idx="8">
                  <c:v>1993</c:v>
                </c:pt>
                <c:pt idx="9">
                  <c:v>1994</c:v>
                </c:pt>
                <c:pt idx="10">
                  <c:v>1995</c:v>
                </c:pt>
                <c:pt idx="11">
                  <c:v>1996</c:v>
                </c:pt>
                <c:pt idx="12">
                  <c:v>1997</c:v>
                </c:pt>
                <c:pt idx="13">
                  <c:v>1998</c:v>
                </c:pt>
                <c:pt idx="14">
                  <c:v>1999</c:v>
                </c:pt>
                <c:pt idx="15">
                  <c:v>2000</c:v>
                </c:pt>
                <c:pt idx="16">
                  <c:v>2001</c:v>
                </c:pt>
                <c:pt idx="17">
                  <c:v>2002</c:v>
                </c:pt>
                <c:pt idx="18">
                  <c:v>2003</c:v>
                </c:pt>
                <c:pt idx="19">
                  <c:v>2004</c:v>
                </c:pt>
                <c:pt idx="20">
                  <c:v>2005</c:v>
                </c:pt>
                <c:pt idx="21">
                  <c:v>2006</c:v>
                </c:pt>
                <c:pt idx="22">
                  <c:v>2007</c:v>
                </c:pt>
                <c:pt idx="23">
                  <c:v>2008</c:v>
                </c:pt>
                <c:pt idx="24">
                  <c:v>2009</c:v>
                </c:pt>
                <c:pt idx="25">
                  <c:v>2010</c:v>
                </c:pt>
                <c:pt idx="26">
                  <c:v>2011</c:v>
                </c:pt>
                <c:pt idx="27">
                  <c:v>2012</c:v>
                </c:pt>
                <c:pt idx="28">
                  <c:v>2013</c:v>
                </c:pt>
                <c:pt idx="29">
                  <c:v>2014</c:v>
                </c:pt>
                <c:pt idx="30">
                  <c:v>2015</c:v>
                </c:pt>
                <c:pt idx="31">
                  <c:v>2016</c:v>
                </c:pt>
                <c:pt idx="32">
                  <c:v>2017</c:v>
                </c:pt>
                <c:pt idx="33">
                  <c:v>2018</c:v>
                </c:pt>
                <c:pt idx="34">
                  <c:v>2019</c:v>
                </c:pt>
                <c:pt idx="35">
                  <c:v>2020</c:v>
                </c:pt>
                <c:pt idx="36">
                  <c:v>2021</c:v>
                </c:pt>
                <c:pt idx="37">
                  <c:v>2022</c:v>
                </c:pt>
                <c:pt idx="38">
                  <c:v>2023</c:v>
                </c:pt>
                <c:pt idx="39">
                  <c:v>2024</c:v>
                </c:pt>
                <c:pt idx="40">
                  <c:v>2025</c:v>
                </c:pt>
                <c:pt idx="41">
                  <c:v>2026</c:v>
                </c:pt>
                <c:pt idx="42">
                  <c:v>2027</c:v>
                </c:pt>
                <c:pt idx="43">
                  <c:v>2028</c:v>
                </c:pt>
                <c:pt idx="44">
                  <c:v>2029</c:v>
                </c:pt>
                <c:pt idx="45">
                  <c:v>2030</c:v>
                </c:pt>
                <c:pt idx="46">
                  <c:v>2031</c:v>
                </c:pt>
                <c:pt idx="47">
                  <c:v>2032</c:v>
                </c:pt>
                <c:pt idx="48">
                  <c:v>2033</c:v>
                </c:pt>
                <c:pt idx="49">
                  <c:v>2034</c:v>
                </c:pt>
                <c:pt idx="50">
                  <c:v>2035</c:v>
                </c:pt>
                <c:pt idx="51">
                  <c:v>2036</c:v>
                </c:pt>
                <c:pt idx="52">
                  <c:v>2037</c:v>
                </c:pt>
                <c:pt idx="53">
                  <c:v>2038</c:v>
                </c:pt>
                <c:pt idx="54">
                  <c:v>2039</c:v>
                </c:pt>
                <c:pt idx="55">
                  <c:v>2040</c:v>
                </c:pt>
                <c:pt idx="56">
                  <c:v>2041</c:v>
                </c:pt>
                <c:pt idx="57">
                  <c:v>2042</c:v>
                </c:pt>
                <c:pt idx="58">
                  <c:v>2043</c:v>
                </c:pt>
                <c:pt idx="59">
                  <c:v>2044</c:v>
                </c:pt>
                <c:pt idx="60">
                  <c:v>2045</c:v>
                </c:pt>
                <c:pt idx="61">
                  <c:v>2046</c:v>
                </c:pt>
                <c:pt idx="62">
                  <c:v>2047</c:v>
                </c:pt>
                <c:pt idx="63">
                  <c:v>2048</c:v>
                </c:pt>
                <c:pt idx="64">
                  <c:v>2049</c:v>
                </c:pt>
                <c:pt idx="65">
                  <c:v>2050</c:v>
                </c:pt>
                <c:pt idx="66">
                  <c:v>2051</c:v>
                </c:pt>
                <c:pt idx="67">
                  <c:v>2052</c:v>
                </c:pt>
                <c:pt idx="68">
                  <c:v>2053</c:v>
                </c:pt>
                <c:pt idx="69">
                  <c:v>2054</c:v>
                </c:pt>
                <c:pt idx="70">
                  <c:v>2055</c:v>
                </c:pt>
                <c:pt idx="71">
                  <c:v>2056</c:v>
                </c:pt>
                <c:pt idx="72">
                  <c:v>2057</c:v>
                </c:pt>
                <c:pt idx="73">
                  <c:v>2058</c:v>
                </c:pt>
                <c:pt idx="74">
                  <c:v>2059</c:v>
                </c:pt>
                <c:pt idx="75">
                  <c:v>2060</c:v>
                </c:pt>
                <c:pt idx="76">
                  <c:v>2061</c:v>
                </c:pt>
                <c:pt idx="77">
                  <c:v>2062</c:v>
                </c:pt>
                <c:pt idx="78">
                  <c:v>2063</c:v>
                </c:pt>
                <c:pt idx="79">
                  <c:v>2064</c:v>
                </c:pt>
                <c:pt idx="80">
                  <c:v>2065</c:v>
                </c:pt>
                <c:pt idx="81">
                  <c:v>2066</c:v>
                </c:pt>
                <c:pt idx="82">
                  <c:v>2067</c:v>
                </c:pt>
                <c:pt idx="83">
                  <c:v>2068</c:v>
                </c:pt>
                <c:pt idx="84">
                  <c:v>2069</c:v>
                </c:pt>
                <c:pt idx="85">
                  <c:v>2070</c:v>
                </c:pt>
                <c:pt idx="86">
                  <c:v>2071</c:v>
                </c:pt>
                <c:pt idx="87">
                  <c:v>2072</c:v>
                </c:pt>
                <c:pt idx="88">
                  <c:v>2073</c:v>
                </c:pt>
                <c:pt idx="89">
                  <c:v>2074</c:v>
                </c:pt>
                <c:pt idx="90">
                  <c:v>2075</c:v>
                </c:pt>
                <c:pt idx="91">
                  <c:v>2076</c:v>
                </c:pt>
                <c:pt idx="92">
                  <c:v>2077</c:v>
                </c:pt>
                <c:pt idx="93">
                  <c:v>2078</c:v>
                </c:pt>
                <c:pt idx="94">
                  <c:v>2079</c:v>
                </c:pt>
                <c:pt idx="95">
                  <c:v>2080</c:v>
                </c:pt>
                <c:pt idx="96">
                  <c:v>2081</c:v>
                </c:pt>
                <c:pt idx="97">
                  <c:v>2082</c:v>
                </c:pt>
                <c:pt idx="98">
                  <c:v>2083</c:v>
                </c:pt>
                <c:pt idx="99">
                  <c:v>2084</c:v>
                </c:pt>
                <c:pt idx="100">
                  <c:v>2085</c:v>
                </c:pt>
                <c:pt idx="101">
                  <c:v>2086</c:v>
                </c:pt>
              </c:numCache>
            </c:numRef>
          </c:xVal>
          <c:yVal>
            <c:numRef>
              <c:f>'Eastern United States'!$H$199:$H$300</c:f>
              <c:numCache>
                <c:formatCode>0.0</c:formatCode>
                <c:ptCount val="102"/>
                <c:pt idx="0">
                  <c:v>99.676186064132025</c:v>
                </c:pt>
                <c:pt idx="1">
                  <c:v>99.30215705883019</c:v>
                </c:pt>
                <c:pt idx="2">
                  <c:v>99.155128560403753</c:v>
                </c:pt>
                <c:pt idx="3">
                  <c:v>99.075789891937205</c:v>
                </c:pt>
                <c:pt idx="4">
                  <c:v>99.285587077586655</c:v>
                </c:pt>
                <c:pt idx="5">
                  <c:v>100.07408123077322</c:v>
                </c:pt>
                <c:pt idx="6">
                  <c:v>100.69861580162842</c:v>
                </c:pt>
                <c:pt idx="7">
                  <c:v>101.11965534293945</c:v>
                </c:pt>
                <c:pt idx="8">
                  <c:v>100.55032952454015</c:v>
                </c:pt>
                <c:pt idx="9">
                  <c:v>99.810298099138834</c:v>
                </c:pt>
                <c:pt idx="10">
                  <c:v>98.768297740263151</c:v>
                </c:pt>
                <c:pt idx="11">
                  <c:v>97.702748273946213</c:v>
                </c:pt>
                <c:pt idx="12">
                  <c:v>96.759079690110411</c:v>
                </c:pt>
                <c:pt idx="13">
                  <c:v>95.856183825424509</c:v>
                </c:pt>
                <c:pt idx="14">
                  <c:v>94.759422642905292</c:v>
                </c:pt>
                <c:pt idx="15">
                  <c:v>93.448562617008932</c:v>
                </c:pt>
                <c:pt idx="16">
                  <c:v>92.150568474452612</c:v>
                </c:pt>
                <c:pt idx="17">
                  <c:v>90.749604355214245</c:v>
                </c:pt>
                <c:pt idx="18">
                  <c:v>89.235980021189476</c:v>
                </c:pt>
                <c:pt idx="19">
                  <c:v>87.748916417492012</c:v>
                </c:pt>
                <c:pt idx="20">
                  <c:v>86.354916753961533</c:v>
                </c:pt>
                <c:pt idx="21">
                  <c:v>85.059868068613412</c:v>
                </c:pt>
                <c:pt idx="22">
                  <c:v>83.84018374635437</c:v>
                </c:pt>
                <c:pt idx="23">
                  <c:v>82.744394825349474</c:v>
                </c:pt>
                <c:pt idx="24">
                  <c:v>81.667552204362536</c:v>
                </c:pt>
              </c:numCache>
            </c:numRef>
          </c:yVal>
          <c:smooth val="1"/>
          <c:extLst>
            <c:ext xmlns:c16="http://schemas.microsoft.com/office/drawing/2014/chart" uri="{C3380CC4-5D6E-409C-BE32-E72D297353CC}">
              <c16:uniqueId val="{00000004-1982-8343-B114-CA35B8B98E1F}"/>
            </c:ext>
          </c:extLst>
        </c:ser>
        <c:dLbls>
          <c:showLegendKey val="0"/>
          <c:showVal val="0"/>
          <c:showCatName val="0"/>
          <c:showSerName val="0"/>
          <c:showPercent val="0"/>
          <c:showBubbleSize val="0"/>
        </c:dLbls>
        <c:axId val="136761344"/>
        <c:axId val="136762880"/>
      </c:scatterChart>
      <c:valAx>
        <c:axId val="136761344"/>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6762880"/>
        <c:crossesAt val="-1000"/>
        <c:crossBetween val="midCat"/>
        <c:majorUnit val="60"/>
        <c:minorUnit val="10"/>
      </c:valAx>
      <c:valAx>
        <c:axId val="136762880"/>
        <c:scaling>
          <c:orientation val="minMax"/>
          <c:max val="110"/>
          <c:min val="0"/>
        </c:scaling>
        <c:delete val="0"/>
        <c:axPos val="r"/>
        <c:title>
          <c:tx>
            <c:rich>
              <a:bodyPr rot="-5400000" vert="horz"/>
              <a:lstStyle/>
              <a:p>
                <a:pPr>
                  <a:defRPr sz="1200" b="0">
                    <a:solidFill>
                      <a:srgbClr val="333399"/>
                    </a:solidFill>
                  </a:defRPr>
                </a:pPr>
                <a:r>
                  <a:rPr lang="en-US" sz="1200" b="0">
                    <a:solidFill>
                      <a:srgbClr val="333399"/>
                    </a:solidFill>
                  </a:rPr>
                  <a:t>Cumulatrive production, Gt</a:t>
                </a:r>
              </a:p>
            </c:rich>
          </c:tx>
          <c:layout>
            <c:manualLayout>
              <c:xMode val="edge"/>
              <c:yMode val="edge"/>
              <c:x val="0.96179653679653765"/>
              <c:y val="0.13136920384951881"/>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6761344"/>
        <c:crosses val="max"/>
        <c:crossBetween val="midCat"/>
        <c:majorUnit val="5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482598766063326E-2"/>
          <c:y val="7.5578547780783975E-2"/>
          <c:w val="0.86860738998534259"/>
          <c:h val="0.77264654418197765"/>
        </c:manualLayout>
      </c:layout>
      <c:scatterChart>
        <c:scatterStyle val="smoothMarker"/>
        <c:varyColors val="0"/>
        <c:ser>
          <c:idx val="3"/>
          <c:order val="0"/>
          <c:tx>
            <c:v>early probit early</c:v>
          </c:tx>
          <c:spPr>
            <a:ln w="15875">
              <a:solidFill>
                <a:srgbClr val="008000"/>
              </a:solidFill>
              <a:prstDash val="lgDash"/>
            </a:ln>
          </c:spPr>
          <c:marker>
            <c:symbol val="none"/>
          </c:marker>
          <c:xVal>
            <c:numRef>
              <c:f>Canada!$D$14:$D$32</c:f>
              <c:numCache>
                <c:formatCode>General</c:formatCode>
                <c:ptCount val="19"/>
                <c:pt idx="0">
                  <c:v>1858</c:v>
                </c:pt>
                <c:pt idx="1">
                  <c:v>1859</c:v>
                </c:pt>
                <c:pt idx="2">
                  <c:v>1860</c:v>
                </c:pt>
                <c:pt idx="3">
                  <c:v>1861</c:v>
                </c:pt>
                <c:pt idx="4">
                  <c:v>1862</c:v>
                </c:pt>
                <c:pt idx="5">
                  <c:v>1863</c:v>
                </c:pt>
                <c:pt idx="6">
                  <c:v>1864</c:v>
                </c:pt>
                <c:pt idx="7">
                  <c:v>1865</c:v>
                </c:pt>
                <c:pt idx="8">
                  <c:v>1866</c:v>
                </c:pt>
                <c:pt idx="9">
                  <c:v>1867</c:v>
                </c:pt>
                <c:pt idx="10">
                  <c:v>1868</c:v>
                </c:pt>
                <c:pt idx="11">
                  <c:v>1869</c:v>
                </c:pt>
                <c:pt idx="12">
                  <c:v>1870</c:v>
                </c:pt>
                <c:pt idx="13">
                  <c:v>1871</c:v>
                </c:pt>
                <c:pt idx="14">
                  <c:v>1872</c:v>
                </c:pt>
                <c:pt idx="15">
                  <c:v>1873</c:v>
                </c:pt>
                <c:pt idx="16">
                  <c:v>1874</c:v>
                </c:pt>
                <c:pt idx="17">
                  <c:v>1875</c:v>
                </c:pt>
                <c:pt idx="18">
                  <c:v>1876</c:v>
                </c:pt>
              </c:numCache>
            </c:numRef>
          </c:xVal>
          <c:yVal>
            <c:numRef>
              <c:f>Canada!$M$14:$M$32</c:f>
              <c:numCache>
                <c:formatCode>0.00</c:formatCode>
                <c:ptCount val="19"/>
                <c:pt idx="0">
                  <c:v>-3.5180910492173334</c:v>
                </c:pt>
                <c:pt idx="1">
                  <c:v>-3.3073681721833736</c:v>
                </c:pt>
                <c:pt idx="2">
                  <c:v>-3.1669656029829278</c:v>
                </c:pt>
                <c:pt idx="3">
                  <c:v>-3.0659903507817181</c:v>
                </c:pt>
                <c:pt idx="4">
                  <c:v>-2.9739744154611554</c:v>
                </c:pt>
                <c:pt idx="5">
                  <c:v>-2.8967173002980822</c:v>
                </c:pt>
                <c:pt idx="6">
                  <c:v>-2.8383060468564714</c:v>
                </c:pt>
                <c:pt idx="7">
                  <c:v>-2.7460419459409313</c:v>
                </c:pt>
                <c:pt idx="8">
                  <c:v>-2.6816772589649962</c:v>
                </c:pt>
                <c:pt idx="9">
                  <c:v>-2.6349131963075321</c:v>
                </c:pt>
                <c:pt idx="10">
                  <c:v>-2.5937696641736063</c:v>
                </c:pt>
                <c:pt idx="11">
                  <c:v>-2.5529132255810412</c:v>
                </c:pt>
                <c:pt idx="12">
                  <c:v>-2.5125946869028182</c:v>
                </c:pt>
                <c:pt idx="13">
                  <c:v>-2.4641756662319039</c:v>
                </c:pt>
                <c:pt idx="14">
                  <c:v>-2.4209251714136735</c:v>
                </c:pt>
                <c:pt idx="15">
                  <c:v>-2.3817786865694641</c:v>
                </c:pt>
                <c:pt idx="16">
                  <c:v>-2.344180480746763</c:v>
                </c:pt>
                <c:pt idx="17">
                  <c:v>-2.3106981150997221</c:v>
                </c:pt>
                <c:pt idx="18">
                  <c:v>-2.2806185191913912</c:v>
                </c:pt>
              </c:numCache>
            </c:numRef>
          </c:yVal>
          <c:smooth val="1"/>
          <c:extLst>
            <c:ext xmlns:c16="http://schemas.microsoft.com/office/drawing/2014/chart" uri="{C3380CC4-5D6E-409C-BE32-E72D297353CC}">
              <c16:uniqueId val="{00000000-E43E-AA47-BF51-B183070333A1}"/>
            </c:ext>
          </c:extLst>
        </c:ser>
        <c:ser>
          <c:idx val="0"/>
          <c:order val="1"/>
          <c:tx>
            <c:strRef>
              <c:f>Canada!$M$12</c:f>
              <c:strCache>
                <c:ptCount val="1"/>
                <c:pt idx="0">
                  <c:v>probit early</c:v>
                </c:pt>
              </c:strCache>
            </c:strRef>
          </c:tx>
          <c:spPr>
            <a:ln w="15875">
              <a:solidFill>
                <a:srgbClr val="008000"/>
              </a:solidFill>
            </a:ln>
          </c:spPr>
          <c:marker>
            <c:symbol val="none"/>
          </c:marker>
          <c:xVal>
            <c:numRef>
              <c:f>Canada!$D$33:$D$125</c:f>
              <c:numCache>
                <c:formatCode>General</c:formatCode>
                <c:ptCount val="93"/>
                <c:pt idx="0">
                  <c:v>1877</c:v>
                </c:pt>
                <c:pt idx="1">
                  <c:v>1878</c:v>
                </c:pt>
                <c:pt idx="2">
                  <c:v>1879</c:v>
                </c:pt>
                <c:pt idx="3">
                  <c:v>1880</c:v>
                </c:pt>
                <c:pt idx="4">
                  <c:v>1881</c:v>
                </c:pt>
                <c:pt idx="5">
                  <c:v>1882</c:v>
                </c:pt>
                <c:pt idx="6">
                  <c:v>1883</c:v>
                </c:pt>
                <c:pt idx="7">
                  <c:v>1884</c:v>
                </c:pt>
                <c:pt idx="8">
                  <c:v>1885</c:v>
                </c:pt>
                <c:pt idx="9">
                  <c:v>1886</c:v>
                </c:pt>
                <c:pt idx="10">
                  <c:v>1887</c:v>
                </c:pt>
                <c:pt idx="11">
                  <c:v>1888</c:v>
                </c:pt>
                <c:pt idx="12">
                  <c:v>1889</c:v>
                </c:pt>
                <c:pt idx="13">
                  <c:v>1890</c:v>
                </c:pt>
                <c:pt idx="14">
                  <c:v>1891</c:v>
                </c:pt>
                <c:pt idx="15">
                  <c:v>1892</c:v>
                </c:pt>
                <c:pt idx="16">
                  <c:v>1893</c:v>
                </c:pt>
                <c:pt idx="17">
                  <c:v>1894</c:v>
                </c:pt>
                <c:pt idx="18">
                  <c:v>1895</c:v>
                </c:pt>
                <c:pt idx="19">
                  <c:v>1896</c:v>
                </c:pt>
                <c:pt idx="20">
                  <c:v>1897</c:v>
                </c:pt>
                <c:pt idx="21">
                  <c:v>1898</c:v>
                </c:pt>
                <c:pt idx="22">
                  <c:v>1899</c:v>
                </c:pt>
                <c:pt idx="23">
                  <c:v>1900</c:v>
                </c:pt>
                <c:pt idx="24">
                  <c:v>1901</c:v>
                </c:pt>
                <c:pt idx="25">
                  <c:v>1902</c:v>
                </c:pt>
                <c:pt idx="26">
                  <c:v>1903</c:v>
                </c:pt>
                <c:pt idx="27">
                  <c:v>1904</c:v>
                </c:pt>
                <c:pt idx="28">
                  <c:v>1905</c:v>
                </c:pt>
                <c:pt idx="29">
                  <c:v>1906</c:v>
                </c:pt>
                <c:pt idx="30">
                  <c:v>1907</c:v>
                </c:pt>
                <c:pt idx="31">
                  <c:v>1908</c:v>
                </c:pt>
                <c:pt idx="32">
                  <c:v>1909</c:v>
                </c:pt>
                <c:pt idx="33">
                  <c:v>1910</c:v>
                </c:pt>
                <c:pt idx="34">
                  <c:v>1911</c:v>
                </c:pt>
                <c:pt idx="35">
                  <c:v>1912</c:v>
                </c:pt>
                <c:pt idx="36">
                  <c:v>1913</c:v>
                </c:pt>
                <c:pt idx="37">
                  <c:v>1914</c:v>
                </c:pt>
                <c:pt idx="38">
                  <c:v>1915</c:v>
                </c:pt>
                <c:pt idx="39">
                  <c:v>1916</c:v>
                </c:pt>
                <c:pt idx="40">
                  <c:v>1917</c:v>
                </c:pt>
                <c:pt idx="41">
                  <c:v>1918</c:v>
                </c:pt>
                <c:pt idx="42">
                  <c:v>1919</c:v>
                </c:pt>
                <c:pt idx="43">
                  <c:v>1920</c:v>
                </c:pt>
                <c:pt idx="44">
                  <c:v>1921</c:v>
                </c:pt>
                <c:pt idx="45">
                  <c:v>1922</c:v>
                </c:pt>
                <c:pt idx="46">
                  <c:v>1923</c:v>
                </c:pt>
                <c:pt idx="47">
                  <c:v>1924</c:v>
                </c:pt>
                <c:pt idx="48">
                  <c:v>1925</c:v>
                </c:pt>
                <c:pt idx="49">
                  <c:v>1926</c:v>
                </c:pt>
                <c:pt idx="50">
                  <c:v>1927</c:v>
                </c:pt>
                <c:pt idx="51">
                  <c:v>1928</c:v>
                </c:pt>
                <c:pt idx="52">
                  <c:v>1929</c:v>
                </c:pt>
                <c:pt idx="53">
                  <c:v>1930</c:v>
                </c:pt>
                <c:pt idx="54">
                  <c:v>1931</c:v>
                </c:pt>
                <c:pt idx="55">
                  <c:v>1932</c:v>
                </c:pt>
                <c:pt idx="56">
                  <c:v>1933</c:v>
                </c:pt>
                <c:pt idx="57">
                  <c:v>1934</c:v>
                </c:pt>
                <c:pt idx="58">
                  <c:v>1935</c:v>
                </c:pt>
                <c:pt idx="59">
                  <c:v>1936</c:v>
                </c:pt>
                <c:pt idx="60">
                  <c:v>1937</c:v>
                </c:pt>
                <c:pt idx="61">
                  <c:v>1938</c:v>
                </c:pt>
                <c:pt idx="62">
                  <c:v>1939</c:v>
                </c:pt>
                <c:pt idx="63">
                  <c:v>1940</c:v>
                </c:pt>
                <c:pt idx="64">
                  <c:v>1941</c:v>
                </c:pt>
                <c:pt idx="65">
                  <c:v>1942</c:v>
                </c:pt>
                <c:pt idx="66">
                  <c:v>1943</c:v>
                </c:pt>
                <c:pt idx="67">
                  <c:v>1944</c:v>
                </c:pt>
                <c:pt idx="68">
                  <c:v>1945</c:v>
                </c:pt>
                <c:pt idx="69">
                  <c:v>1946</c:v>
                </c:pt>
                <c:pt idx="70">
                  <c:v>1947</c:v>
                </c:pt>
                <c:pt idx="71">
                  <c:v>1948</c:v>
                </c:pt>
                <c:pt idx="72">
                  <c:v>1949</c:v>
                </c:pt>
                <c:pt idx="73">
                  <c:v>1950</c:v>
                </c:pt>
                <c:pt idx="74">
                  <c:v>1951</c:v>
                </c:pt>
                <c:pt idx="75">
                  <c:v>1952</c:v>
                </c:pt>
                <c:pt idx="76">
                  <c:v>1953</c:v>
                </c:pt>
                <c:pt idx="77">
                  <c:v>1954</c:v>
                </c:pt>
                <c:pt idx="78">
                  <c:v>1955</c:v>
                </c:pt>
                <c:pt idx="79">
                  <c:v>1956</c:v>
                </c:pt>
                <c:pt idx="80">
                  <c:v>1957</c:v>
                </c:pt>
                <c:pt idx="81">
                  <c:v>1958</c:v>
                </c:pt>
                <c:pt idx="82">
                  <c:v>1959</c:v>
                </c:pt>
                <c:pt idx="83">
                  <c:v>1960</c:v>
                </c:pt>
                <c:pt idx="84">
                  <c:v>1961</c:v>
                </c:pt>
                <c:pt idx="85">
                  <c:v>1962</c:v>
                </c:pt>
                <c:pt idx="86">
                  <c:v>1963</c:v>
                </c:pt>
                <c:pt idx="87">
                  <c:v>1964</c:v>
                </c:pt>
                <c:pt idx="88">
                  <c:v>1965</c:v>
                </c:pt>
                <c:pt idx="89">
                  <c:v>1966</c:v>
                </c:pt>
                <c:pt idx="90">
                  <c:v>1967</c:v>
                </c:pt>
                <c:pt idx="91">
                  <c:v>1968</c:v>
                </c:pt>
                <c:pt idx="92">
                  <c:v>1969</c:v>
                </c:pt>
              </c:numCache>
            </c:numRef>
          </c:xVal>
          <c:yVal>
            <c:numRef>
              <c:f>Canada!$M$33:$M$125</c:f>
              <c:numCache>
                <c:formatCode>0.00</c:formatCode>
                <c:ptCount val="93"/>
                <c:pt idx="0">
                  <c:v>-2.2513248598470441</c:v>
                </c:pt>
                <c:pt idx="1">
                  <c:v>-2.2224869302435888</c:v>
                </c:pt>
                <c:pt idx="2">
                  <c:v>-2.1945364204210205</c:v>
                </c:pt>
                <c:pt idx="3">
                  <c:v>-2.1601507644935638</c:v>
                </c:pt>
                <c:pt idx="4">
                  <c:v>-2.1270184977866022</c:v>
                </c:pt>
                <c:pt idx="5">
                  <c:v>-2.0900456177263607</c:v>
                </c:pt>
                <c:pt idx="6">
                  <c:v>-2.0562410113855054</c:v>
                </c:pt>
                <c:pt idx="7">
                  <c:v>-2.0218413055644011</c:v>
                </c:pt>
                <c:pt idx="8">
                  <c:v>-1.9906840367165266</c:v>
                </c:pt>
                <c:pt idx="9">
                  <c:v>-1.9584446241064954</c:v>
                </c:pt>
                <c:pt idx="10">
                  <c:v>-1.9238004011403675</c:v>
                </c:pt>
                <c:pt idx="11">
                  <c:v>-1.8890833659440551</c:v>
                </c:pt>
                <c:pt idx="12">
                  <c:v>-1.8558353400418561</c:v>
                </c:pt>
                <c:pt idx="13">
                  <c:v>-1.8196449326761608</c:v>
                </c:pt>
                <c:pt idx="14">
                  <c:v>-1.7804562346248631</c:v>
                </c:pt>
                <c:pt idx="15">
                  <c:v>-1.7467070364479647</c:v>
                </c:pt>
                <c:pt idx="16">
                  <c:v>-1.7101886480504773</c:v>
                </c:pt>
                <c:pt idx="17">
                  <c:v>-1.6752540775015052</c:v>
                </c:pt>
                <c:pt idx="18">
                  <c:v>-1.6453427974463892</c:v>
                </c:pt>
                <c:pt idx="19">
                  <c:v>-1.6146932244529859</c:v>
                </c:pt>
                <c:pt idx="20">
                  <c:v>-1.5851789144836117</c:v>
                </c:pt>
                <c:pt idx="21">
                  <c:v>-1.5541720330416846</c:v>
                </c:pt>
                <c:pt idx="22">
                  <c:v>-1.5194023126981702</c:v>
                </c:pt>
                <c:pt idx="23">
                  <c:v>-1.4808265692213227</c:v>
                </c:pt>
                <c:pt idx="24">
                  <c:v>-1.4399902578352695</c:v>
                </c:pt>
                <c:pt idx="25">
                  <c:v>-1.395768470834629</c:v>
                </c:pt>
                <c:pt idx="26">
                  <c:v>-1.3514526785157825</c:v>
                </c:pt>
                <c:pt idx="27">
                  <c:v>-1.3081346880075533</c:v>
                </c:pt>
                <c:pt idx="28">
                  <c:v>-1.2651493616553058</c:v>
                </c:pt>
                <c:pt idx="29">
                  <c:v>-1.2193722668601019</c:v>
                </c:pt>
                <c:pt idx="30">
                  <c:v>-1.1727885214865164</c:v>
                </c:pt>
                <c:pt idx="31">
                  <c:v>-1.1270806068482901</c:v>
                </c:pt>
                <c:pt idx="32">
                  <c:v>-1.0851190400472419</c:v>
                </c:pt>
                <c:pt idx="33">
                  <c:v>-1.0360153288202842</c:v>
                </c:pt>
                <c:pt idx="34">
                  <c:v>-0.99491478320925741</c:v>
                </c:pt>
                <c:pt idx="35">
                  <c:v>-0.9445716513105995</c:v>
                </c:pt>
                <c:pt idx="36">
                  <c:v>-0.89489895381064444</c:v>
                </c:pt>
                <c:pt idx="37">
                  <c:v>-0.85161591420894989</c:v>
                </c:pt>
                <c:pt idx="38">
                  <c:v>-0.81098733245373844</c:v>
                </c:pt>
                <c:pt idx="39">
                  <c:v>-0.76811079269187188</c:v>
                </c:pt>
                <c:pt idx="40">
                  <c:v>-0.72783459551062135</c:v>
                </c:pt>
                <c:pt idx="41">
                  <c:v>-0.68614885506242307</c:v>
                </c:pt>
                <c:pt idx="42">
                  <c:v>-0.64845364993667887</c:v>
                </c:pt>
                <c:pt idx="43">
                  <c:v>-0.60376356956574695</c:v>
                </c:pt>
                <c:pt idx="44">
                  <c:v>-0.56504595528803314</c:v>
                </c:pt>
                <c:pt idx="45">
                  <c:v>-0.52690774597829959</c:v>
                </c:pt>
                <c:pt idx="46">
                  <c:v>-0.48504676299192889</c:v>
                </c:pt>
                <c:pt idx="47">
                  <c:v>-0.45205498393258309</c:v>
                </c:pt>
                <c:pt idx="48">
                  <c:v>-0.42073822713024878</c:v>
                </c:pt>
                <c:pt idx="49">
                  <c:v>-0.3821501992978717</c:v>
                </c:pt>
                <c:pt idx="50">
                  <c:v>-0.34181460199351787</c:v>
                </c:pt>
                <c:pt idx="51">
                  <c:v>-0.30171519549025866</c:v>
                </c:pt>
                <c:pt idx="52">
                  <c:v>-0.26225359467385567</c:v>
                </c:pt>
                <c:pt idx="53">
                  <c:v>-0.22901061387292568</c:v>
                </c:pt>
                <c:pt idx="54">
                  <c:v>-0.20184839514577932</c:v>
                </c:pt>
                <c:pt idx="55">
                  <c:v>-0.17594559213615185</c:v>
                </c:pt>
                <c:pt idx="56">
                  <c:v>-0.1497978702464427</c:v>
                </c:pt>
                <c:pt idx="57">
                  <c:v>-0.11958791296138073</c:v>
                </c:pt>
                <c:pt idx="58">
                  <c:v>-8.9318804887643488E-2</c:v>
                </c:pt>
                <c:pt idx="59">
                  <c:v>-5.6218662180199767E-2</c:v>
                </c:pt>
                <c:pt idx="60">
                  <c:v>-2.1865545643449377E-2</c:v>
                </c:pt>
                <c:pt idx="61">
                  <c:v>9.1212848749418485E-3</c:v>
                </c:pt>
                <c:pt idx="62">
                  <c:v>4.3149189260177565E-2</c:v>
                </c:pt>
                <c:pt idx="63">
                  <c:v>8.1301805080620307E-2</c:v>
                </c:pt>
                <c:pt idx="64">
                  <c:v>0.12101237818081871</c:v>
                </c:pt>
                <c:pt idx="65">
                  <c:v>0.16232123328529524</c:v>
                </c:pt>
                <c:pt idx="66">
                  <c:v>0.20167983999943731</c:v>
                </c:pt>
                <c:pt idx="67">
                  <c:v>0.23949664361392151</c:v>
                </c:pt>
                <c:pt idx="68">
                  <c:v>0.27648979579069433</c:v>
                </c:pt>
                <c:pt idx="69">
                  <c:v>0.31683605915366486</c:v>
                </c:pt>
                <c:pt idx="70">
                  <c:v>0.35322040107349051</c:v>
                </c:pt>
                <c:pt idx="71">
                  <c:v>0.39612394064231216</c:v>
                </c:pt>
                <c:pt idx="72">
                  <c:v>0.4413703840305318</c:v>
                </c:pt>
                <c:pt idx="73">
                  <c:v>0.48758510038476022</c:v>
                </c:pt>
                <c:pt idx="74">
                  <c:v>0.53348522111244812</c:v>
                </c:pt>
                <c:pt idx="75">
                  <c:v>0.57795545792582947</c:v>
                </c:pt>
                <c:pt idx="76">
                  <c:v>0.61918556708043571</c:v>
                </c:pt>
                <c:pt idx="77">
                  <c:v>0.65883724201935878</c:v>
                </c:pt>
                <c:pt idx="78">
                  <c:v>0.69928759408407215</c:v>
                </c:pt>
                <c:pt idx="79">
                  <c:v>0.74119588797153524</c:v>
                </c:pt>
                <c:pt idx="80">
                  <c:v>0.77936882256048301</c:v>
                </c:pt>
                <c:pt idx="81">
                  <c:v>0.81416462963012448</c:v>
                </c:pt>
                <c:pt idx="82">
                  <c:v>0.84668472734311295</c:v>
                </c:pt>
                <c:pt idx="83">
                  <c:v>0.88135137202177605</c:v>
                </c:pt>
                <c:pt idx="84">
                  <c:v>0.91508990862649975</c:v>
                </c:pt>
                <c:pt idx="85">
                  <c:v>0.94951734105429708</c:v>
                </c:pt>
                <c:pt idx="86">
                  <c:v>0.98613394807750776</c:v>
                </c:pt>
                <c:pt idx="87">
                  <c:v>1.0268515208975173</c:v>
                </c:pt>
                <c:pt idx="88">
                  <c:v>1.070380179041152</c:v>
                </c:pt>
                <c:pt idx="89">
                  <c:v>1.1152406786348266</c:v>
                </c:pt>
                <c:pt idx="90">
                  <c:v>1.161405016186881</c:v>
                </c:pt>
                <c:pt idx="91">
                  <c:v>1.209496503583362</c:v>
                </c:pt>
                <c:pt idx="92">
                  <c:v>1.2590393328083989</c:v>
                </c:pt>
              </c:numCache>
            </c:numRef>
          </c:yVal>
          <c:smooth val="1"/>
          <c:extLst>
            <c:ext xmlns:c16="http://schemas.microsoft.com/office/drawing/2014/chart" uri="{C3380CC4-5D6E-409C-BE32-E72D297353CC}">
              <c16:uniqueId val="{00000001-E43E-AA47-BF51-B183070333A1}"/>
            </c:ext>
          </c:extLst>
        </c:ser>
        <c:ser>
          <c:idx val="4"/>
          <c:order val="2"/>
          <c:tx>
            <c:v>late probit early</c:v>
          </c:tx>
          <c:spPr>
            <a:ln w="15875">
              <a:solidFill>
                <a:srgbClr val="008000"/>
              </a:solidFill>
              <a:prstDash val="lgDash"/>
            </a:ln>
          </c:spPr>
          <c:marker>
            <c:symbol val="none"/>
          </c:marker>
          <c:xVal>
            <c:numRef>
              <c:f>Canada!$D$126:$D$198</c:f>
              <c:numCache>
                <c:formatCode>General</c:formatCode>
                <c:ptCount val="73"/>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numCache>
            </c:numRef>
          </c:xVal>
          <c:yVal>
            <c:numRef>
              <c:f>Canada!$M$126:$M$198</c:f>
              <c:numCache>
                <c:formatCode>0.00</c:formatCode>
                <c:ptCount val="73"/>
                <c:pt idx="0">
                  <c:v>1.342914199821434</c:v>
                </c:pt>
                <c:pt idx="1">
                  <c:v>1.4487026367758034</c:v>
                </c:pt>
                <c:pt idx="2">
                  <c:v>1.5910297928355146</c:v>
                </c:pt>
              </c:numCache>
            </c:numRef>
          </c:yVal>
          <c:smooth val="1"/>
          <c:extLst>
            <c:ext xmlns:c16="http://schemas.microsoft.com/office/drawing/2014/chart" uri="{C3380CC4-5D6E-409C-BE32-E72D297353CC}">
              <c16:uniqueId val="{00000002-E43E-AA47-BF51-B183070333A1}"/>
            </c:ext>
          </c:extLst>
        </c:ser>
        <c:ser>
          <c:idx val="1"/>
          <c:order val="3"/>
          <c:tx>
            <c:strRef>
              <c:f>Canada!$G$8</c:f>
              <c:strCache>
                <c:ptCount val="1"/>
                <c:pt idx="0">
                  <c:v>trend early</c:v>
                </c:pt>
              </c:strCache>
            </c:strRef>
          </c:tx>
          <c:spPr>
            <a:ln w="15875">
              <a:solidFill>
                <a:srgbClr val="808080"/>
              </a:solidFill>
              <a:prstDash val="dash"/>
            </a:ln>
          </c:spPr>
          <c:marker>
            <c:symbol val="none"/>
          </c:marker>
          <c:xVal>
            <c:numRef>
              <c:f>Canada!$E$8:$E$9</c:f>
              <c:numCache>
                <c:formatCode>General</c:formatCode>
                <c:ptCount val="2"/>
                <c:pt idx="0">
                  <c:v>1877</c:v>
                </c:pt>
                <c:pt idx="1">
                  <c:v>1969</c:v>
                </c:pt>
              </c:numCache>
            </c:numRef>
          </c:xVal>
          <c:yVal>
            <c:numRef>
              <c:f>Canada!$F$8:$F$9</c:f>
              <c:numCache>
                <c:formatCode>0.00</c:formatCode>
                <c:ptCount val="2"/>
                <c:pt idx="0">
                  <c:v>-2.3044542583665257</c:v>
                </c:pt>
                <c:pt idx="1">
                  <c:v>1.2289172060535409</c:v>
                </c:pt>
              </c:numCache>
            </c:numRef>
          </c:yVal>
          <c:smooth val="1"/>
          <c:extLst>
            <c:ext xmlns:c16="http://schemas.microsoft.com/office/drawing/2014/chart" uri="{C3380CC4-5D6E-409C-BE32-E72D297353CC}">
              <c16:uniqueId val="{00000003-E43E-AA47-BF51-B183070333A1}"/>
            </c:ext>
          </c:extLst>
        </c:ser>
        <c:dLbls>
          <c:showLegendKey val="0"/>
          <c:showVal val="0"/>
          <c:showCatName val="0"/>
          <c:showSerName val="0"/>
          <c:showPercent val="0"/>
          <c:showBubbleSize val="0"/>
        </c:dLbls>
        <c:axId val="137090560"/>
        <c:axId val="137092096"/>
      </c:scatterChart>
      <c:valAx>
        <c:axId val="137090560"/>
        <c:scaling>
          <c:orientation val="minMax"/>
          <c:max val="1980"/>
          <c:min val="1860"/>
        </c:scaling>
        <c:delete val="0"/>
        <c:axPos val="b"/>
        <c:numFmt formatCode="General" sourceLinked="1"/>
        <c:majorTickMark val="in"/>
        <c:minorTickMark val="in"/>
        <c:tickLblPos val="nextTo"/>
        <c:spPr>
          <a:ln>
            <a:solidFill>
              <a:srgbClr val="333399"/>
            </a:solidFill>
          </a:ln>
        </c:spPr>
        <c:crossAx val="137092096"/>
        <c:crossesAt val="-100"/>
        <c:crossBetween val="midCat"/>
        <c:majorUnit val="60"/>
        <c:minorUnit val="10"/>
      </c:valAx>
      <c:valAx>
        <c:axId val="137092096"/>
        <c:scaling>
          <c:orientation val="minMax"/>
          <c:max val="2"/>
          <c:min val="-4"/>
        </c:scaling>
        <c:delete val="0"/>
        <c:axPos val="r"/>
        <c:title>
          <c:tx>
            <c:rich>
              <a:bodyPr rot="-5400000" vert="horz"/>
              <a:lstStyle/>
              <a:p>
                <a:pPr>
                  <a:defRPr b="0"/>
                </a:pPr>
                <a:r>
                  <a:rPr lang="en-US" b="0"/>
                  <a:t>probit (</a:t>
                </a:r>
                <a:r>
                  <a:rPr lang="en-US" b="0" i="1"/>
                  <a:t>q</a:t>
                </a:r>
                <a:r>
                  <a:rPr lang="en-US" b="0"/>
                  <a:t>/</a:t>
                </a:r>
                <a:r>
                  <a:rPr lang="en-US" b="0" i="1"/>
                  <a:t>Q</a:t>
                </a:r>
                <a:r>
                  <a:rPr lang="en-US" b="0"/>
                  <a:t>)</a:t>
                </a:r>
              </a:p>
            </c:rich>
          </c:tx>
          <c:layout>
            <c:manualLayout>
              <c:xMode val="edge"/>
              <c:yMode val="edge"/>
              <c:x val="0.96179653679653765"/>
              <c:y val="0.31632290755326609"/>
            </c:manualLayout>
          </c:layout>
          <c:overlay val="0"/>
        </c:title>
        <c:numFmt formatCode="0" sourceLinked="0"/>
        <c:majorTickMark val="in"/>
        <c:minorTickMark val="in"/>
        <c:tickLblPos val="nextTo"/>
        <c:spPr>
          <a:ln>
            <a:solidFill>
              <a:srgbClr val="333399"/>
            </a:solidFill>
          </a:ln>
        </c:spPr>
        <c:crossAx val="137090560"/>
        <c:crosses val="max"/>
        <c:crossBetween val="midCat"/>
        <c:majorUnit val="2"/>
        <c:minorUnit val="1"/>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4374816784265549"/>
          <c:h val="0.77264654418197765"/>
        </c:manualLayout>
      </c:layout>
      <c:scatterChart>
        <c:scatterStyle val="smoothMarker"/>
        <c:varyColors val="0"/>
        <c:ser>
          <c:idx val="0"/>
          <c:order val="0"/>
          <c:tx>
            <c:strRef>
              <c:f>Canada!$E$12</c:f>
              <c:strCache>
                <c:ptCount val="1"/>
                <c:pt idx="0">
                  <c:v>p Mt</c:v>
                </c:pt>
              </c:strCache>
            </c:strRef>
          </c:tx>
          <c:spPr>
            <a:ln w="15875">
              <a:solidFill>
                <a:srgbClr val="008000"/>
              </a:solidFill>
            </a:ln>
          </c:spPr>
          <c:marker>
            <c:symbol val="none"/>
          </c:marker>
          <c:xVal>
            <c:numRef>
              <c:f>Canada!$D$13:$D$265</c:f>
              <c:numCache>
                <c:formatCode>General</c:formatCode>
                <c:ptCount val="253"/>
                <c:pt idx="0">
                  <c:v>1857</c:v>
                </c:pt>
                <c:pt idx="1">
                  <c:v>1858</c:v>
                </c:pt>
                <c:pt idx="2">
                  <c:v>1859</c:v>
                </c:pt>
                <c:pt idx="3">
                  <c:v>1860</c:v>
                </c:pt>
                <c:pt idx="4">
                  <c:v>1861</c:v>
                </c:pt>
                <c:pt idx="5">
                  <c:v>1862</c:v>
                </c:pt>
                <c:pt idx="6">
                  <c:v>1863</c:v>
                </c:pt>
                <c:pt idx="7">
                  <c:v>1864</c:v>
                </c:pt>
                <c:pt idx="8">
                  <c:v>1865</c:v>
                </c:pt>
                <c:pt idx="9">
                  <c:v>1866</c:v>
                </c:pt>
                <c:pt idx="10">
                  <c:v>1867</c:v>
                </c:pt>
                <c:pt idx="11">
                  <c:v>1868</c:v>
                </c:pt>
                <c:pt idx="12">
                  <c:v>1869</c:v>
                </c:pt>
                <c:pt idx="13">
                  <c:v>1870</c:v>
                </c:pt>
                <c:pt idx="14">
                  <c:v>1871</c:v>
                </c:pt>
                <c:pt idx="15">
                  <c:v>1872</c:v>
                </c:pt>
                <c:pt idx="16">
                  <c:v>1873</c:v>
                </c:pt>
                <c:pt idx="17">
                  <c:v>1874</c:v>
                </c:pt>
                <c:pt idx="18">
                  <c:v>1875</c:v>
                </c:pt>
                <c:pt idx="19">
                  <c:v>1876</c:v>
                </c:pt>
                <c:pt idx="20">
                  <c:v>1877</c:v>
                </c:pt>
                <c:pt idx="21">
                  <c:v>1878</c:v>
                </c:pt>
                <c:pt idx="22">
                  <c:v>1879</c:v>
                </c:pt>
                <c:pt idx="23">
                  <c:v>1880</c:v>
                </c:pt>
                <c:pt idx="24">
                  <c:v>1881</c:v>
                </c:pt>
                <c:pt idx="25">
                  <c:v>1882</c:v>
                </c:pt>
                <c:pt idx="26">
                  <c:v>1883</c:v>
                </c:pt>
                <c:pt idx="27">
                  <c:v>1884</c:v>
                </c:pt>
                <c:pt idx="28">
                  <c:v>1885</c:v>
                </c:pt>
                <c:pt idx="29">
                  <c:v>1886</c:v>
                </c:pt>
                <c:pt idx="30">
                  <c:v>1887</c:v>
                </c:pt>
                <c:pt idx="31">
                  <c:v>1888</c:v>
                </c:pt>
                <c:pt idx="32">
                  <c:v>1889</c:v>
                </c:pt>
                <c:pt idx="33">
                  <c:v>1890</c:v>
                </c:pt>
                <c:pt idx="34">
                  <c:v>1891</c:v>
                </c:pt>
                <c:pt idx="35">
                  <c:v>1892</c:v>
                </c:pt>
                <c:pt idx="36">
                  <c:v>1893</c:v>
                </c:pt>
                <c:pt idx="37">
                  <c:v>1894</c:v>
                </c:pt>
                <c:pt idx="38">
                  <c:v>1895</c:v>
                </c:pt>
                <c:pt idx="39">
                  <c:v>1896</c:v>
                </c:pt>
                <c:pt idx="40">
                  <c:v>1897</c:v>
                </c:pt>
                <c:pt idx="41">
                  <c:v>1898</c:v>
                </c:pt>
                <c:pt idx="42">
                  <c:v>1899</c:v>
                </c:pt>
                <c:pt idx="43">
                  <c:v>1900</c:v>
                </c:pt>
                <c:pt idx="44">
                  <c:v>1901</c:v>
                </c:pt>
                <c:pt idx="45">
                  <c:v>1902</c:v>
                </c:pt>
                <c:pt idx="46">
                  <c:v>1903</c:v>
                </c:pt>
                <c:pt idx="47">
                  <c:v>1904</c:v>
                </c:pt>
                <c:pt idx="48">
                  <c:v>1905</c:v>
                </c:pt>
                <c:pt idx="49">
                  <c:v>1906</c:v>
                </c:pt>
                <c:pt idx="50">
                  <c:v>1907</c:v>
                </c:pt>
                <c:pt idx="51">
                  <c:v>1908</c:v>
                </c:pt>
                <c:pt idx="52">
                  <c:v>1909</c:v>
                </c:pt>
                <c:pt idx="53">
                  <c:v>1910</c:v>
                </c:pt>
                <c:pt idx="54">
                  <c:v>1911</c:v>
                </c:pt>
                <c:pt idx="55">
                  <c:v>1912</c:v>
                </c:pt>
                <c:pt idx="56">
                  <c:v>1913</c:v>
                </c:pt>
                <c:pt idx="57">
                  <c:v>1914</c:v>
                </c:pt>
                <c:pt idx="58">
                  <c:v>1915</c:v>
                </c:pt>
                <c:pt idx="59">
                  <c:v>1916</c:v>
                </c:pt>
                <c:pt idx="60">
                  <c:v>1917</c:v>
                </c:pt>
                <c:pt idx="61">
                  <c:v>1918</c:v>
                </c:pt>
                <c:pt idx="62">
                  <c:v>1919</c:v>
                </c:pt>
                <c:pt idx="63">
                  <c:v>1920</c:v>
                </c:pt>
                <c:pt idx="64">
                  <c:v>1921</c:v>
                </c:pt>
                <c:pt idx="65">
                  <c:v>1922</c:v>
                </c:pt>
                <c:pt idx="66">
                  <c:v>1923</c:v>
                </c:pt>
                <c:pt idx="67">
                  <c:v>1924</c:v>
                </c:pt>
                <c:pt idx="68">
                  <c:v>1925</c:v>
                </c:pt>
                <c:pt idx="69">
                  <c:v>1926</c:v>
                </c:pt>
                <c:pt idx="70">
                  <c:v>1927</c:v>
                </c:pt>
                <c:pt idx="71">
                  <c:v>1928</c:v>
                </c:pt>
                <c:pt idx="72">
                  <c:v>1929</c:v>
                </c:pt>
                <c:pt idx="73">
                  <c:v>1930</c:v>
                </c:pt>
                <c:pt idx="74">
                  <c:v>1931</c:v>
                </c:pt>
                <c:pt idx="75">
                  <c:v>1932</c:v>
                </c:pt>
                <c:pt idx="76">
                  <c:v>1933</c:v>
                </c:pt>
                <c:pt idx="77">
                  <c:v>1934</c:v>
                </c:pt>
                <c:pt idx="78">
                  <c:v>1935</c:v>
                </c:pt>
                <c:pt idx="79">
                  <c:v>1936</c:v>
                </c:pt>
                <c:pt idx="80">
                  <c:v>1937</c:v>
                </c:pt>
                <c:pt idx="81">
                  <c:v>1938</c:v>
                </c:pt>
                <c:pt idx="82">
                  <c:v>1939</c:v>
                </c:pt>
                <c:pt idx="83">
                  <c:v>1940</c:v>
                </c:pt>
                <c:pt idx="84">
                  <c:v>1941</c:v>
                </c:pt>
                <c:pt idx="85">
                  <c:v>1942</c:v>
                </c:pt>
                <c:pt idx="86">
                  <c:v>1943</c:v>
                </c:pt>
                <c:pt idx="87">
                  <c:v>1944</c:v>
                </c:pt>
                <c:pt idx="88">
                  <c:v>1945</c:v>
                </c:pt>
                <c:pt idx="89">
                  <c:v>1946</c:v>
                </c:pt>
                <c:pt idx="90">
                  <c:v>1947</c:v>
                </c:pt>
                <c:pt idx="91">
                  <c:v>1948</c:v>
                </c:pt>
                <c:pt idx="92">
                  <c:v>1949</c:v>
                </c:pt>
                <c:pt idx="93">
                  <c:v>1950</c:v>
                </c:pt>
                <c:pt idx="94">
                  <c:v>1951</c:v>
                </c:pt>
                <c:pt idx="95">
                  <c:v>1952</c:v>
                </c:pt>
                <c:pt idx="96">
                  <c:v>1953</c:v>
                </c:pt>
                <c:pt idx="97">
                  <c:v>1954</c:v>
                </c:pt>
                <c:pt idx="98">
                  <c:v>1955</c:v>
                </c:pt>
                <c:pt idx="99">
                  <c:v>1956</c:v>
                </c:pt>
                <c:pt idx="100">
                  <c:v>1957</c:v>
                </c:pt>
                <c:pt idx="101">
                  <c:v>1958</c:v>
                </c:pt>
                <c:pt idx="102">
                  <c:v>1959</c:v>
                </c:pt>
                <c:pt idx="103">
                  <c:v>1960</c:v>
                </c:pt>
                <c:pt idx="104">
                  <c:v>1961</c:v>
                </c:pt>
                <c:pt idx="105">
                  <c:v>1962</c:v>
                </c:pt>
                <c:pt idx="106">
                  <c:v>1963</c:v>
                </c:pt>
                <c:pt idx="107">
                  <c:v>1964</c:v>
                </c:pt>
                <c:pt idx="108">
                  <c:v>1965</c:v>
                </c:pt>
                <c:pt idx="109">
                  <c:v>1966</c:v>
                </c:pt>
                <c:pt idx="110">
                  <c:v>1967</c:v>
                </c:pt>
                <c:pt idx="111">
                  <c:v>1968</c:v>
                </c:pt>
                <c:pt idx="112">
                  <c:v>1969</c:v>
                </c:pt>
                <c:pt idx="113">
                  <c:v>1970</c:v>
                </c:pt>
                <c:pt idx="114">
                  <c:v>1971</c:v>
                </c:pt>
                <c:pt idx="115">
                  <c:v>1972</c:v>
                </c:pt>
                <c:pt idx="116">
                  <c:v>1973</c:v>
                </c:pt>
                <c:pt idx="117">
                  <c:v>1974</c:v>
                </c:pt>
                <c:pt idx="118">
                  <c:v>1975</c:v>
                </c:pt>
                <c:pt idx="119">
                  <c:v>1976</c:v>
                </c:pt>
                <c:pt idx="120">
                  <c:v>1977</c:v>
                </c:pt>
                <c:pt idx="121">
                  <c:v>1978</c:v>
                </c:pt>
                <c:pt idx="122">
                  <c:v>1979</c:v>
                </c:pt>
                <c:pt idx="123">
                  <c:v>1980</c:v>
                </c:pt>
                <c:pt idx="124">
                  <c:v>1981</c:v>
                </c:pt>
                <c:pt idx="125">
                  <c:v>1982</c:v>
                </c:pt>
                <c:pt idx="126">
                  <c:v>1983</c:v>
                </c:pt>
                <c:pt idx="127">
                  <c:v>1984</c:v>
                </c:pt>
                <c:pt idx="128">
                  <c:v>1985</c:v>
                </c:pt>
                <c:pt idx="129">
                  <c:v>1986</c:v>
                </c:pt>
                <c:pt idx="130">
                  <c:v>1987</c:v>
                </c:pt>
                <c:pt idx="131">
                  <c:v>1988</c:v>
                </c:pt>
                <c:pt idx="132">
                  <c:v>1989</c:v>
                </c:pt>
                <c:pt idx="133">
                  <c:v>1990</c:v>
                </c:pt>
                <c:pt idx="134">
                  <c:v>1991</c:v>
                </c:pt>
                <c:pt idx="135">
                  <c:v>1992</c:v>
                </c:pt>
                <c:pt idx="136">
                  <c:v>1993</c:v>
                </c:pt>
                <c:pt idx="137">
                  <c:v>1994</c:v>
                </c:pt>
                <c:pt idx="138">
                  <c:v>1995</c:v>
                </c:pt>
                <c:pt idx="139">
                  <c:v>1996</c:v>
                </c:pt>
                <c:pt idx="140">
                  <c:v>1997</c:v>
                </c:pt>
                <c:pt idx="141">
                  <c:v>1998</c:v>
                </c:pt>
                <c:pt idx="142">
                  <c:v>1999</c:v>
                </c:pt>
                <c:pt idx="143">
                  <c:v>2000</c:v>
                </c:pt>
                <c:pt idx="144">
                  <c:v>2001</c:v>
                </c:pt>
                <c:pt idx="145">
                  <c:v>2002</c:v>
                </c:pt>
                <c:pt idx="146">
                  <c:v>2003</c:v>
                </c:pt>
                <c:pt idx="147">
                  <c:v>2004</c:v>
                </c:pt>
                <c:pt idx="148">
                  <c:v>2005</c:v>
                </c:pt>
                <c:pt idx="149">
                  <c:v>2006</c:v>
                </c:pt>
                <c:pt idx="150">
                  <c:v>2007</c:v>
                </c:pt>
                <c:pt idx="151">
                  <c:v>2008</c:v>
                </c:pt>
                <c:pt idx="152">
                  <c:v>2009</c:v>
                </c:pt>
                <c:pt idx="153">
                  <c:v>2010</c:v>
                </c:pt>
                <c:pt idx="154">
                  <c:v>2011</c:v>
                </c:pt>
                <c:pt idx="155">
                  <c:v>2012</c:v>
                </c:pt>
                <c:pt idx="156">
                  <c:v>2013</c:v>
                </c:pt>
                <c:pt idx="157">
                  <c:v>2014</c:v>
                </c:pt>
                <c:pt idx="158">
                  <c:v>2015</c:v>
                </c:pt>
                <c:pt idx="159">
                  <c:v>2016</c:v>
                </c:pt>
                <c:pt idx="160">
                  <c:v>2017</c:v>
                </c:pt>
                <c:pt idx="161">
                  <c:v>2018</c:v>
                </c:pt>
                <c:pt idx="162">
                  <c:v>2019</c:v>
                </c:pt>
                <c:pt idx="163">
                  <c:v>2020</c:v>
                </c:pt>
                <c:pt idx="164">
                  <c:v>2021</c:v>
                </c:pt>
                <c:pt idx="165">
                  <c:v>2022</c:v>
                </c:pt>
                <c:pt idx="166">
                  <c:v>2023</c:v>
                </c:pt>
                <c:pt idx="167">
                  <c:v>2024</c:v>
                </c:pt>
                <c:pt idx="168">
                  <c:v>2025</c:v>
                </c:pt>
                <c:pt idx="169">
                  <c:v>2026</c:v>
                </c:pt>
                <c:pt idx="170">
                  <c:v>2027</c:v>
                </c:pt>
                <c:pt idx="171">
                  <c:v>2028</c:v>
                </c:pt>
                <c:pt idx="172">
                  <c:v>2029</c:v>
                </c:pt>
                <c:pt idx="173">
                  <c:v>2030</c:v>
                </c:pt>
                <c:pt idx="174">
                  <c:v>2031</c:v>
                </c:pt>
                <c:pt idx="175">
                  <c:v>2032</c:v>
                </c:pt>
                <c:pt idx="176">
                  <c:v>2033</c:v>
                </c:pt>
                <c:pt idx="177">
                  <c:v>2034</c:v>
                </c:pt>
                <c:pt idx="178">
                  <c:v>2035</c:v>
                </c:pt>
                <c:pt idx="179">
                  <c:v>2036</c:v>
                </c:pt>
                <c:pt idx="180">
                  <c:v>2037</c:v>
                </c:pt>
                <c:pt idx="181">
                  <c:v>2038</c:v>
                </c:pt>
                <c:pt idx="182">
                  <c:v>2039</c:v>
                </c:pt>
                <c:pt idx="183">
                  <c:v>2040</c:v>
                </c:pt>
                <c:pt idx="184">
                  <c:v>2041</c:v>
                </c:pt>
                <c:pt idx="185">
                  <c:v>2042</c:v>
                </c:pt>
                <c:pt idx="186">
                  <c:v>2043</c:v>
                </c:pt>
                <c:pt idx="187">
                  <c:v>2044</c:v>
                </c:pt>
                <c:pt idx="188">
                  <c:v>2045</c:v>
                </c:pt>
                <c:pt idx="189">
                  <c:v>2046</c:v>
                </c:pt>
                <c:pt idx="190">
                  <c:v>2047</c:v>
                </c:pt>
                <c:pt idx="191">
                  <c:v>2048</c:v>
                </c:pt>
                <c:pt idx="192">
                  <c:v>2049</c:v>
                </c:pt>
                <c:pt idx="193">
                  <c:v>2050</c:v>
                </c:pt>
                <c:pt idx="194">
                  <c:v>2051</c:v>
                </c:pt>
                <c:pt idx="195">
                  <c:v>2052</c:v>
                </c:pt>
                <c:pt idx="196">
                  <c:v>2053</c:v>
                </c:pt>
                <c:pt idx="197">
                  <c:v>2054</c:v>
                </c:pt>
                <c:pt idx="198">
                  <c:v>2055</c:v>
                </c:pt>
                <c:pt idx="199">
                  <c:v>2056</c:v>
                </c:pt>
                <c:pt idx="200">
                  <c:v>2057</c:v>
                </c:pt>
                <c:pt idx="201">
                  <c:v>2058</c:v>
                </c:pt>
                <c:pt idx="202">
                  <c:v>2059</c:v>
                </c:pt>
                <c:pt idx="203">
                  <c:v>2060</c:v>
                </c:pt>
                <c:pt idx="204">
                  <c:v>2061</c:v>
                </c:pt>
                <c:pt idx="205">
                  <c:v>2062</c:v>
                </c:pt>
                <c:pt idx="206">
                  <c:v>2063</c:v>
                </c:pt>
                <c:pt idx="207">
                  <c:v>2064</c:v>
                </c:pt>
                <c:pt idx="208">
                  <c:v>2065</c:v>
                </c:pt>
                <c:pt idx="209">
                  <c:v>2066</c:v>
                </c:pt>
                <c:pt idx="210">
                  <c:v>2067</c:v>
                </c:pt>
                <c:pt idx="211">
                  <c:v>2068</c:v>
                </c:pt>
                <c:pt idx="212">
                  <c:v>2069</c:v>
                </c:pt>
                <c:pt idx="213">
                  <c:v>2070</c:v>
                </c:pt>
                <c:pt idx="214">
                  <c:v>2071</c:v>
                </c:pt>
                <c:pt idx="215">
                  <c:v>2072</c:v>
                </c:pt>
                <c:pt idx="216">
                  <c:v>2073</c:v>
                </c:pt>
                <c:pt idx="217">
                  <c:v>2074</c:v>
                </c:pt>
                <c:pt idx="218">
                  <c:v>2075</c:v>
                </c:pt>
                <c:pt idx="219">
                  <c:v>2076</c:v>
                </c:pt>
                <c:pt idx="220">
                  <c:v>2077</c:v>
                </c:pt>
                <c:pt idx="221">
                  <c:v>2078</c:v>
                </c:pt>
                <c:pt idx="222">
                  <c:v>2079</c:v>
                </c:pt>
                <c:pt idx="223">
                  <c:v>2080</c:v>
                </c:pt>
                <c:pt idx="224">
                  <c:v>2081</c:v>
                </c:pt>
                <c:pt idx="225">
                  <c:v>2082</c:v>
                </c:pt>
                <c:pt idx="226">
                  <c:v>2083</c:v>
                </c:pt>
                <c:pt idx="227">
                  <c:v>2084</c:v>
                </c:pt>
                <c:pt idx="228">
                  <c:v>2085</c:v>
                </c:pt>
                <c:pt idx="229">
                  <c:v>2086</c:v>
                </c:pt>
                <c:pt idx="230">
                  <c:v>2087</c:v>
                </c:pt>
                <c:pt idx="231">
                  <c:v>2088</c:v>
                </c:pt>
                <c:pt idx="232">
                  <c:v>2089</c:v>
                </c:pt>
                <c:pt idx="233">
                  <c:v>2090</c:v>
                </c:pt>
                <c:pt idx="234">
                  <c:v>2091</c:v>
                </c:pt>
                <c:pt idx="235">
                  <c:v>2092</c:v>
                </c:pt>
                <c:pt idx="236">
                  <c:v>2093</c:v>
                </c:pt>
                <c:pt idx="237">
                  <c:v>2094</c:v>
                </c:pt>
                <c:pt idx="238">
                  <c:v>2095</c:v>
                </c:pt>
                <c:pt idx="239">
                  <c:v>2096</c:v>
                </c:pt>
                <c:pt idx="240">
                  <c:v>2097</c:v>
                </c:pt>
                <c:pt idx="241">
                  <c:v>2098</c:v>
                </c:pt>
                <c:pt idx="242">
                  <c:v>2099</c:v>
                </c:pt>
                <c:pt idx="243">
                  <c:v>2100</c:v>
                </c:pt>
                <c:pt idx="244">
                  <c:v>2101</c:v>
                </c:pt>
                <c:pt idx="245">
                  <c:v>2102</c:v>
                </c:pt>
                <c:pt idx="246">
                  <c:v>2103</c:v>
                </c:pt>
                <c:pt idx="247">
                  <c:v>2104</c:v>
                </c:pt>
                <c:pt idx="248">
                  <c:v>2105</c:v>
                </c:pt>
                <c:pt idx="249">
                  <c:v>2106</c:v>
                </c:pt>
                <c:pt idx="250">
                  <c:v>2107</c:v>
                </c:pt>
                <c:pt idx="251">
                  <c:v>2108</c:v>
                </c:pt>
                <c:pt idx="252">
                  <c:v>2109</c:v>
                </c:pt>
              </c:numCache>
            </c:numRef>
          </c:xVal>
          <c:yVal>
            <c:numRef>
              <c:f>Canada!$E$13:$E$265</c:f>
              <c:numCache>
                <c:formatCode>#,##0.0</c:formatCode>
                <c:ptCount val="253"/>
                <c:pt idx="1">
                  <c:v>0.22800000000000001</c:v>
                </c:pt>
                <c:pt idx="2">
                  <c:v>0.26600000000000001</c:v>
                </c:pt>
                <c:pt idx="3">
                  <c:v>0.314</c:v>
                </c:pt>
                <c:pt idx="4">
                  <c:v>0.33</c:v>
                </c:pt>
                <c:pt idx="5">
                  <c:v>0.40400000000000003</c:v>
                </c:pt>
                <c:pt idx="6">
                  <c:v>0.436</c:v>
                </c:pt>
                <c:pt idx="7">
                  <c:v>0.40100000000000002</c:v>
                </c:pt>
                <c:pt idx="8">
                  <c:v>0.78500000000000003</c:v>
                </c:pt>
                <c:pt idx="9">
                  <c:v>0.67849999999999999</c:v>
                </c:pt>
                <c:pt idx="10">
                  <c:v>0.57199999999999995</c:v>
                </c:pt>
                <c:pt idx="11">
                  <c:v>0.56499999999999995</c:v>
                </c:pt>
                <c:pt idx="12">
                  <c:v>0.624</c:v>
                </c:pt>
                <c:pt idx="13">
                  <c:v>0.68300000000000005</c:v>
                </c:pt>
                <c:pt idx="14">
                  <c:v>0.91700000000000004</c:v>
                </c:pt>
                <c:pt idx="15">
                  <c:v>0.91700000000000004</c:v>
                </c:pt>
                <c:pt idx="16">
                  <c:v>0.91700000000000004</c:v>
                </c:pt>
                <c:pt idx="17">
                  <c:v>0.96499999999999997</c:v>
                </c:pt>
                <c:pt idx="18">
                  <c:v>0.93400000000000005</c:v>
                </c:pt>
                <c:pt idx="19">
                  <c:v>0.90300000000000002</c:v>
                </c:pt>
                <c:pt idx="20">
                  <c:v>0.94099999999999995</c:v>
                </c:pt>
                <c:pt idx="21">
                  <c:v>0.98899999999999999</c:v>
                </c:pt>
                <c:pt idx="22">
                  <c:v>1.0209999999999999</c:v>
                </c:pt>
                <c:pt idx="23">
                  <c:v>1.345</c:v>
                </c:pt>
                <c:pt idx="24">
                  <c:v>1.3939999999999999</c:v>
                </c:pt>
                <c:pt idx="25">
                  <c:v>1.6759999999999999</c:v>
                </c:pt>
                <c:pt idx="26">
                  <c:v>1.65</c:v>
                </c:pt>
                <c:pt idx="27">
                  <c:v>1.8009999999999999</c:v>
                </c:pt>
                <c:pt idx="28">
                  <c:v>1.7430000000000001</c:v>
                </c:pt>
                <c:pt idx="29">
                  <c:v>1.921</c:v>
                </c:pt>
                <c:pt idx="30">
                  <c:v>2.2040000000000002</c:v>
                </c:pt>
                <c:pt idx="31">
                  <c:v>2.3610000000000002</c:v>
                </c:pt>
                <c:pt idx="32">
                  <c:v>2.411</c:v>
                </c:pt>
                <c:pt idx="33">
                  <c:v>2.7989999999999999</c:v>
                </c:pt>
                <c:pt idx="34">
                  <c:v>3.246</c:v>
                </c:pt>
                <c:pt idx="35">
                  <c:v>2.9830000000000001</c:v>
                </c:pt>
                <c:pt idx="36">
                  <c:v>3.4319999999999999</c:v>
                </c:pt>
                <c:pt idx="37">
                  <c:v>3.49</c:v>
                </c:pt>
                <c:pt idx="38">
                  <c:v>3.1549999999999998</c:v>
                </c:pt>
                <c:pt idx="39">
                  <c:v>3.3980000000000001</c:v>
                </c:pt>
                <c:pt idx="40">
                  <c:v>3.4350000000000001</c:v>
                </c:pt>
                <c:pt idx="41">
                  <c:v>3.786</c:v>
                </c:pt>
                <c:pt idx="42">
                  <c:v>4.468</c:v>
                </c:pt>
                <c:pt idx="43">
                  <c:v>5.2409999999999997</c:v>
                </c:pt>
                <c:pt idx="44">
                  <c:v>5.8840000000000003</c:v>
                </c:pt>
                <c:pt idx="45">
                  <c:v>6.774</c:v>
                </c:pt>
                <c:pt idx="46">
                  <c:v>7.2210000000000001</c:v>
                </c:pt>
                <c:pt idx="47">
                  <c:v>7.4889999999999999</c:v>
                </c:pt>
                <c:pt idx="48">
                  <c:v>7.8630000000000004</c:v>
                </c:pt>
                <c:pt idx="49">
                  <c:v>8.8569999999999993</c:v>
                </c:pt>
                <c:pt idx="50">
                  <c:v>9.5350000000000001</c:v>
                </c:pt>
                <c:pt idx="51">
                  <c:v>9.8759999999999994</c:v>
                </c:pt>
                <c:pt idx="52">
                  <c:v>9.5259999999999998</c:v>
                </c:pt>
                <c:pt idx="53">
                  <c:v>11.711</c:v>
                </c:pt>
                <c:pt idx="54">
                  <c:v>10.272</c:v>
                </c:pt>
                <c:pt idx="55">
                  <c:v>13.166</c:v>
                </c:pt>
                <c:pt idx="56">
                  <c:v>13.619</c:v>
                </c:pt>
                <c:pt idx="57">
                  <c:v>12.372</c:v>
                </c:pt>
                <c:pt idx="58">
                  <c:v>12.036</c:v>
                </c:pt>
                <c:pt idx="59">
                  <c:v>13.138999999999999</c:v>
                </c:pt>
                <c:pt idx="60">
                  <c:v>12.743</c:v>
                </c:pt>
                <c:pt idx="61">
                  <c:v>13.587999999999999</c:v>
                </c:pt>
                <c:pt idx="62">
                  <c:v>12.627000000000001</c:v>
                </c:pt>
                <c:pt idx="63">
                  <c:v>15.374000000000001</c:v>
                </c:pt>
                <c:pt idx="64">
                  <c:v>13.66</c:v>
                </c:pt>
                <c:pt idx="65">
                  <c:v>13.750999999999999</c:v>
                </c:pt>
                <c:pt idx="66">
                  <c:v>15.414</c:v>
                </c:pt>
                <c:pt idx="67">
                  <c:v>12.372</c:v>
                </c:pt>
                <c:pt idx="68">
                  <c:v>11.916</c:v>
                </c:pt>
                <c:pt idx="69">
                  <c:v>14.898999999999999</c:v>
                </c:pt>
                <c:pt idx="70">
                  <c:v>15.81</c:v>
                </c:pt>
                <c:pt idx="71">
                  <c:v>15.935</c:v>
                </c:pt>
                <c:pt idx="72">
                  <c:v>15.871</c:v>
                </c:pt>
                <c:pt idx="73">
                  <c:v>13.499000000000001</c:v>
                </c:pt>
                <c:pt idx="74">
                  <c:v>11.106999999999999</c:v>
                </c:pt>
                <c:pt idx="75">
                  <c:v>10.648999999999999</c:v>
                </c:pt>
                <c:pt idx="76">
                  <c:v>10.798999999999999</c:v>
                </c:pt>
                <c:pt idx="77">
                  <c:v>12.529</c:v>
                </c:pt>
                <c:pt idx="78">
                  <c:v>12.599</c:v>
                </c:pt>
                <c:pt idx="79">
                  <c:v>13.816000000000001</c:v>
                </c:pt>
                <c:pt idx="80">
                  <c:v>14.366</c:v>
                </c:pt>
                <c:pt idx="81">
                  <c:v>12.968</c:v>
                </c:pt>
                <c:pt idx="82">
                  <c:v>14.236000000000001</c:v>
                </c:pt>
                <c:pt idx="83">
                  <c:v>15.936</c:v>
                </c:pt>
                <c:pt idx="84">
                  <c:v>16.533999999999999</c:v>
                </c:pt>
                <c:pt idx="85">
                  <c:v>17.114999999999998</c:v>
                </c:pt>
                <c:pt idx="86">
                  <c:v>16.201000000000001</c:v>
                </c:pt>
                <c:pt idx="87">
                  <c:v>15.446</c:v>
                </c:pt>
                <c:pt idx="88">
                  <c:v>14.975</c:v>
                </c:pt>
                <c:pt idx="89">
                  <c:v>16.158000000000001</c:v>
                </c:pt>
                <c:pt idx="90">
                  <c:v>14.396000000000001</c:v>
                </c:pt>
                <c:pt idx="91">
                  <c:v>16.738</c:v>
                </c:pt>
                <c:pt idx="92">
                  <c:v>17.346</c:v>
                </c:pt>
                <c:pt idx="93">
                  <c:v>17.363</c:v>
                </c:pt>
                <c:pt idx="94">
                  <c:v>16.861999999999998</c:v>
                </c:pt>
                <c:pt idx="95">
                  <c:v>15.948</c:v>
                </c:pt>
                <c:pt idx="96">
                  <c:v>14.425000000000001</c:v>
                </c:pt>
                <c:pt idx="97">
                  <c:v>13.53</c:v>
                </c:pt>
                <c:pt idx="98">
                  <c:v>13.443</c:v>
                </c:pt>
                <c:pt idx="99">
                  <c:v>13.532</c:v>
                </c:pt>
                <c:pt idx="100">
                  <c:v>11.965999999999999</c:v>
                </c:pt>
                <c:pt idx="101">
                  <c:v>10.602</c:v>
                </c:pt>
                <c:pt idx="102">
                  <c:v>9.641</c:v>
                </c:pt>
                <c:pt idx="103">
                  <c:v>9.9890000000000008</c:v>
                </c:pt>
                <c:pt idx="104">
                  <c:v>9.4329999999999998</c:v>
                </c:pt>
                <c:pt idx="105">
                  <c:v>9.33</c:v>
                </c:pt>
                <c:pt idx="106">
                  <c:v>9.5939999999999994</c:v>
                </c:pt>
                <c:pt idx="107">
                  <c:v>10.269</c:v>
                </c:pt>
                <c:pt idx="108">
                  <c:v>10.513</c:v>
                </c:pt>
                <c:pt idx="109">
                  <c:v>10.334</c:v>
                </c:pt>
                <c:pt idx="110">
                  <c:v>10.108000000000001</c:v>
                </c:pt>
                <c:pt idx="111">
                  <c:v>9.9689999999999994</c:v>
                </c:pt>
                <c:pt idx="112">
                  <c:v>9.6809999999999992</c:v>
                </c:pt>
                <c:pt idx="113">
                  <c:v>15.063000000000001</c:v>
                </c:pt>
                <c:pt idx="114">
                  <c:v>16.722000000000001</c:v>
                </c:pt>
                <c:pt idx="115">
                  <c:v>18.788</c:v>
                </c:pt>
                <c:pt idx="116">
                  <c:v>16.617999999999999</c:v>
                </c:pt>
                <c:pt idx="117">
                  <c:v>17.783999999999999</c:v>
                </c:pt>
                <c:pt idx="118">
                  <c:v>25.257999999999999</c:v>
                </c:pt>
                <c:pt idx="119">
                  <c:v>25.475000000000001</c:v>
                </c:pt>
                <c:pt idx="120">
                  <c:v>28.52</c:v>
                </c:pt>
                <c:pt idx="121">
                  <c:v>30.484000000000002</c:v>
                </c:pt>
                <c:pt idx="122">
                  <c:v>33.197000000000003</c:v>
                </c:pt>
                <c:pt idx="123">
                  <c:v>36.686999999999998</c:v>
                </c:pt>
                <c:pt idx="124">
                  <c:v>40.1</c:v>
                </c:pt>
                <c:pt idx="125">
                  <c:v>42.8</c:v>
                </c:pt>
                <c:pt idx="126">
                  <c:v>44.78</c:v>
                </c:pt>
                <c:pt idx="127">
                  <c:v>57.4</c:v>
                </c:pt>
                <c:pt idx="128">
                  <c:v>60.74</c:v>
                </c:pt>
                <c:pt idx="129">
                  <c:v>57.81</c:v>
                </c:pt>
                <c:pt idx="130">
                  <c:v>61.21</c:v>
                </c:pt>
                <c:pt idx="131">
                  <c:v>70.650000000000006</c:v>
                </c:pt>
                <c:pt idx="132">
                  <c:v>70.510000000000005</c:v>
                </c:pt>
                <c:pt idx="133">
                  <c:v>68.36</c:v>
                </c:pt>
                <c:pt idx="134">
                  <c:v>71.134199999999993</c:v>
                </c:pt>
                <c:pt idx="135">
                  <c:v>65.613399999999999</c:v>
                </c:pt>
                <c:pt idx="136">
                  <c:v>69.029399999999995</c:v>
                </c:pt>
                <c:pt idx="137">
                  <c:v>72.823300000000003</c:v>
                </c:pt>
                <c:pt idx="138">
                  <c:v>74.980199999999996</c:v>
                </c:pt>
                <c:pt idx="139">
                  <c:v>75.853300000000004</c:v>
                </c:pt>
                <c:pt idx="140">
                  <c:v>78.673400000000001</c:v>
                </c:pt>
                <c:pt idx="141">
                  <c:v>75.138000000000005</c:v>
                </c:pt>
                <c:pt idx="142">
                  <c:v>72.479300000000009</c:v>
                </c:pt>
                <c:pt idx="143">
                  <c:v>69.163100000000014</c:v>
                </c:pt>
                <c:pt idx="144">
                  <c:v>70.355500000000006</c:v>
                </c:pt>
                <c:pt idx="145">
                  <c:v>66.607699999999994</c:v>
                </c:pt>
                <c:pt idx="146">
                  <c:v>62.125800000000005</c:v>
                </c:pt>
                <c:pt idx="147">
                  <c:v>65.99730000000001</c:v>
                </c:pt>
                <c:pt idx="148">
                  <c:v>65.345100000000002</c:v>
                </c:pt>
                <c:pt idx="149">
                  <c:v>66.003600000000006</c:v>
                </c:pt>
                <c:pt idx="150">
                  <c:v>69.364999999999995</c:v>
                </c:pt>
                <c:pt idx="151">
                  <c:v>67.749399999999994</c:v>
                </c:pt>
                <c:pt idx="152">
                  <c:v>62.935000000000002</c:v>
                </c:pt>
              </c:numCache>
            </c:numRef>
          </c:yVal>
          <c:smooth val="1"/>
          <c:extLst>
            <c:ext xmlns:c16="http://schemas.microsoft.com/office/drawing/2014/chart" uri="{C3380CC4-5D6E-409C-BE32-E72D297353CC}">
              <c16:uniqueId val="{00000000-6BD8-2F45-8D05-80C74155ADD7}"/>
            </c:ext>
          </c:extLst>
        </c:ser>
        <c:dLbls>
          <c:showLegendKey val="0"/>
          <c:showVal val="0"/>
          <c:showCatName val="0"/>
          <c:showSerName val="0"/>
          <c:showPercent val="0"/>
          <c:showBubbleSize val="0"/>
        </c:dLbls>
        <c:axId val="137117696"/>
        <c:axId val="137139712"/>
      </c:scatterChart>
      <c:valAx>
        <c:axId val="137117696"/>
        <c:scaling>
          <c:orientation val="minMax"/>
          <c:max val="2020"/>
          <c:min val="188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139712"/>
        <c:crossesAt val="-1000"/>
        <c:crossBetween val="midCat"/>
        <c:majorUnit val="70"/>
        <c:minorUnit val="10"/>
      </c:valAx>
      <c:valAx>
        <c:axId val="137139712"/>
        <c:scaling>
          <c:orientation val="minMax"/>
          <c:max val="8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179653679653765"/>
              <c:y val="0.17303587051618549"/>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7117696"/>
        <c:crosses val="max"/>
        <c:crossBetween val="midCat"/>
        <c:majorUnit val="4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318096601561166E-2"/>
          <c:y val="7.5578521434820634E-2"/>
          <c:w val="0.87077189214993533"/>
          <c:h val="0.77264654418197765"/>
        </c:manualLayout>
      </c:layout>
      <c:scatterChart>
        <c:scatterStyle val="smoothMarker"/>
        <c:varyColors val="0"/>
        <c:ser>
          <c:idx val="3"/>
          <c:order val="0"/>
          <c:tx>
            <c:strRef>
              <c:f>Canada!$G$12</c:f>
              <c:strCache>
                <c:ptCount val="1"/>
                <c:pt idx="0">
                  <c:v>logit</c:v>
                </c:pt>
              </c:strCache>
            </c:strRef>
          </c:tx>
          <c:spPr>
            <a:ln w="15875">
              <a:solidFill>
                <a:srgbClr val="008000"/>
              </a:solidFill>
              <a:prstDash val="solid"/>
            </a:ln>
          </c:spPr>
          <c:marker>
            <c:symbol val="none"/>
          </c:marker>
          <c:xVal>
            <c:numRef>
              <c:f>Canada!$D$139:$D$198</c:f>
              <c:numCache>
                <c:formatCode>General</c:formatCode>
                <c:ptCount val="60"/>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pt idx="30">
                  <c:v>2013</c:v>
                </c:pt>
                <c:pt idx="31">
                  <c:v>2014</c:v>
                </c:pt>
                <c:pt idx="32">
                  <c:v>2015</c:v>
                </c:pt>
                <c:pt idx="33">
                  <c:v>2016</c:v>
                </c:pt>
                <c:pt idx="34">
                  <c:v>2017</c:v>
                </c:pt>
                <c:pt idx="35">
                  <c:v>2018</c:v>
                </c:pt>
                <c:pt idx="36">
                  <c:v>2019</c:v>
                </c:pt>
                <c:pt idx="37">
                  <c:v>2020</c:v>
                </c:pt>
                <c:pt idx="38">
                  <c:v>2021</c:v>
                </c:pt>
                <c:pt idx="39">
                  <c:v>2022</c:v>
                </c:pt>
                <c:pt idx="40">
                  <c:v>2023</c:v>
                </c:pt>
                <c:pt idx="41">
                  <c:v>2024</c:v>
                </c:pt>
                <c:pt idx="42">
                  <c:v>2025</c:v>
                </c:pt>
                <c:pt idx="43">
                  <c:v>2026</c:v>
                </c:pt>
                <c:pt idx="44">
                  <c:v>2027</c:v>
                </c:pt>
                <c:pt idx="45">
                  <c:v>2028</c:v>
                </c:pt>
                <c:pt idx="46">
                  <c:v>2029</c:v>
                </c:pt>
                <c:pt idx="47">
                  <c:v>2030</c:v>
                </c:pt>
                <c:pt idx="48">
                  <c:v>2031</c:v>
                </c:pt>
                <c:pt idx="49">
                  <c:v>2032</c:v>
                </c:pt>
                <c:pt idx="50">
                  <c:v>2033</c:v>
                </c:pt>
                <c:pt idx="51">
                  <c:v>2034</c:v>
                </c:pt>
                <c:pt idx="52">
                  <c:v>2035</c:v>
                </c:pt>
                <c:pt idx="53">
                  <c:v>2036</c:v>
                </c:pt>
                <c:pt idx="54">
                  <c:v>2037</c:v>
                </c:pt>
                <c:pt idx="55">
                  <c:v>2038</c:v>
                </c:pt>
                <c:pt idx="56">
                  <c:v>2039</c:v>
                </c:pt>
                <c:pt idx="57">
                  <c:v>2040</c:v>
                </c:pt>
                <c:pt idx="58">
                  <c:v>2041</c:v>
                </c:pt>
                <c:pt idx="59">
                  <c:v>2042</c:v>
                </c:pt>
              </c:numCache>
            </c:numRef>
          </c:xVal>
          <c:yVal>
            <c:numRef>
              <c:f>Canada!$G$139:$G$198</c:f>
              <c:numCache>
                <c:formatCode>0.0</c:formatCode>
                <c:ptCount val="60"/>
                <c:pt idx="0">
                  <c:v>-0.84817876546099213</c:v>
                </c:pt>
                <c:pt idx="1">
                  <c:v>-0.78737506875333574</c:v>
                </c:pt>
                <c:pt idx="2">
                  <c:v>-0.7245048980746136</c:v>
                </c:pt>
                <c:pt idx="3">
                  <c:v>-0.66591767977583816</c:v>
                </c:pt>
                <c:pt idx="4">
                  <c:v>-0.60506180407405774</c:v>
                </c:pt>
                <c:pt idx="5">
                  <c:v>-0.53614052544180191</c:v>
                </c:pt>
                <c:pt idx="6">
                  <c:v>-0.46857445713162499</c:v>
                </c:pt>
                <c:pt idx="7">
                  <c:v>-0.40405815207228324</c:v>
                </c:pt>
                <c:pt idx="8">
                  <c:v>-0.33779151068938895</c:v>
                </c:pt>
                <c:pt idx="9">
                  <c:v>-0.27731586466656188</c:v>
                </c:pt>
                <c:pt idx="10">
                  <c:v>-0.21422915685732291</c:v>
                </c:pt>
                <c:pt idx="11">
                  <c:v>-0.1481300467529848</c:v>
                </c:pt>
                <c:pt idx="12">
                  <c:v>-8.0407681726235122E-2</c:v>
                </c:pt>
                <c:pt idx="13">
                  <c:v>-1.2083200368594052E-2</c:v>
                </c:pt>
                <c:pt idx="14">
                  <c:v>5.8753763264950104E-2</c:v>
                </c:pt>
                <c:pt idx="15">
                  <c:v>0.12654289772237493</c:v>
                </c:pt>
                <c:pt idx="16">
                  <c:v>0.19220801037283994</c:v>
                </c:pt>
                <c:pt idx="17">
                  <c:v>0.25525437032733739</c:v>
                </c:pt>
                <c:pt idx="18">
                  <c:v>0.31991050559967421</c:v>
                </c:pt>
                <c:pt idx="19">
                  <c:v>0.38173753919488213</c:v>
                </c:pt>
                <c:pt idx="20">
                  <c:v>0.44005925187691503</c:v>
                </c:pt>
                <c:pt idx="21">
                  <c:v>0.50283548345153894</c:v>
                </c:pt>
                <c:pt idx="22">
                  <c:v>0.56596229288652389</c:v>
                </c:pt>
                <c:pt idx="23">
                  <c:v>0.63086111366273778</c:v>
                </c:pt>
                <c:pt idx="24">
                  <c:v>0.70048309430295241</c:v>
                </c:pt>
                <c:pt idx="25">
                  <c:v>0.77009512472963748</c:v>
                </c:pt>
                <c:pt idx="26">
                  <c:v>0.83639120335792028</c:v>
                </c:pt>
              </c:numCache>
            </c:numRef>
          </c:yVal>
          <c:smooth val="1"/>
          <c:extLst>
            <c:ext xmlns:c16="http://schemas.microsoft.com/office/drawing/2014/chart" uri="{C3380CC4-5D6E-409C-BE32-E72D297353CC}">
              <c16:uniqueId val="{00000000-5272-DE48-A014-BEDD0F2D2216}"/>
            </c:ext>
          </c:extLst>
        </c:ser>
        <c:ser>
          <c:idx val="0"/>
          <c:order val="1"/>
          <c:tx>
            <c:v>early logit</c:v>
          </c:tx>
          <c:spPr>
            <a:ln w="15875">
              <a:solidFill>
                <a:srgbClr val="008000"/>
              </a:solidFill>
              <a:prstDash val="lgDash"/>
            </a:ln>
          </c:spPr>
          <c:marker>
            <c:symbol val="none"/>
          </c:marker>
          <c:xVal>
            <c:numRef>
              <c:f>Canada!$D$127:$D$138</c:f>
              <c:numCache>
                <c:formatCode>General</c:formatCode>
                <c:ptCount val="12"/>
                <c:pt idx="0">
                  <c:v>1971</c:v>
                </c:pt>
                <c:pt idx="1">
                  <c:v>1972</c:v>
                </c:pt>
                <c:pt idx="2">
                  <c:v>1973</c:v>
                </c:pt>
                <c:pt idx="3">
                  <c:v>1974</c:v>
                </c:pt>
                <c:pt idx="4">
                  <c:v>1975</c:v>
                </c:pt>
                <c:pt idx="5">
                  <c:v>1976</c:v>
                </c:pt>
                <c:pt idx="6">
                  <c:v>1977</c:v>
                </c:pt>
                <c:pt idx="7">
                  <c:v>1978</c:v>
                </c:pt>
                <c:pt idx="8">
                  <c:v>1979</c:v>
                </c:pt>
                <c:pt idx="9">
                  <c:v>1980</c:v>
                </c:pt>
                <c:pt idx="10">
                  <c:v>1981</c:v>
                </c:pt>
                <c:pt idx="11">
                  <c:v>1982</c:v>
                </c:pt>
              </c:numCache>
            </c:numRef>
          </c:xVal>
          <c:yVal>
            <c:numRef>
              <c:f>Canada!$G$127:$G$138</c:f>
              <c:numCache>
                <c:formatCode>0.0</c:formatCode>
                <c:ptCount val="12"/>
                <c:pt idx="0">
                  <c:v>-1.2733244664995491</c:v>
                </c:pt>
                <c:pt idx="1">
                  <c:v>-1.2487487176073331</c:v>
                </c:pt>
                <c:pt idx="2">
                  <c:v>-1.2272871026437959</c:v>
                </c:pt>
                <c:pt idx="3">
                  <c:v>-1.2045951021081738</c:v>
                </c:pt>
                <c:pt idx="4">
                  <c:v>-1.1728349020321844</c:v>
                </c:pt>
                <c:pt idx="5">
                  <c:v>-1.1413317075817477</c:v>
                </c:pt>
                <c:pt idx="6">
                  <c:v>-1.1066594326697272</c:v>
                </c:pt>
                <c:pt idx="7">
                  <c:v>-1.0702558024215716</c:v>
                </c:pt>
                <c:pt idx="8">
                  <c:v>-1.0313357256097089</c:v>
                </c:pt>
                <c:pt idx="9">
                  <c:v>-0.98914282621649874</c:v>
                </c:pt>
                <c:pt idx="10">
                  <c:v>-0.94393743812253061</c:v>
                </c:pt>
                <c:pt idx="11">
                  <c:v>-0.89665893842633304</c:v>
                </c:pt>
              </c:numCache>
            </c:numRef>
          </c:yVal>
          <c:smooth val="1"/>
          <c:extLst>
            <c:ext xmlns:c16="http://schemas.microsoft.com/office/drawing/2014/chart" uri="{C3380CC4-5D6E-409C-BE32-E72D297353CC}">
              <c16:uniqueId val="{00000001-5272-DE48-A014-BEDD0F2D2216}"/>
            </c:ext>
          </c:extLst>
        </c:ser>
        <c:ser>
          <c:idx val="1"/>
          <c:order val="2"/>
          <c:tx>
            <c:strRef>
              <c:f>Canada!$G$3</c:f>
              <c:strCache>
                <c:ptCount val="1"/>
                <c:pt idx="0">
                  <c:v>trend current</c:v>
                </c:pt>
              </c:strCache>
            </c:strRef>
          </c:tx>
          <c:spPr>
            <a:ln w="15875">
              <a:solidFill>
                <a:srgbClr val="808080"/>
              </a:solidFill>
              <a:prstDash val="dash"/>
            </a:ln>
          </c:spPr>
          <c:marker>
            <c:symbol val="none"/>
          </c:marker>
          <c:xVal>
            <c:numRef>
              <c:f>Canada!$E$3:$E$4</c:f>
              <c:numCache>
                <c:formatCode>General</c:formatCode>
                <c:ptCount val="2"/>
                <c:pt idx="0">
                  <c:v>1983</c:v>
                </c:pt>
                <c:pt idx="1">
                  <c:v>2009</c:v>
                </c:pt>
              </c:numCache>
            </c:numRef>
          </c:xVal>
          <c:yVal>
            <c:numRef>
              <c:f>Canada!$F$3:$F$4</c:f>
              <c:numCache>
                <c:formatCode>0.00</c:formatCode>
                <c:ptCount val="2"/>
                <c:pt idx="0">
                  <c:v>-0.85728861452592542</c:v>
                </c:pt>
                <c:pt idx="1">
                  <c:v>0.8329423803707221</c:v>
                </c:pt>
              </c:numCache>
            </c:numRef>
          </c:yVal>
          <c:smooth val="1"/>
          <c:extLst>
            <c:ext xmlns:c16="http://schemas.microsoft.com/office/drawing/2014/chart" uri="{C3380CC4-5D6E-409C-BE32-E72D297353CC}">
              <c16:uniqueId val="{00000002-5272-DE48-A014-BEDD0F2D2216}"/>
            </c:ext>
          </c:extLst>
        </c:ser>
        <c:dLbls>
          <c:showLegendKey val="0"/>
          <c:showVal val="0"/>
          <c:showCatName val="0"/>
          <c:showSerName val="0"/>
          <c:showPercent val="0"/>
          <c:showBubbleSize val="0"/>
        </c:dLbls>
        <c:axId val="137181824"/>
        <c:axId val="137187712"/>
      </c:scatterChart>
      <c:valAx>
        <c:axId val="137181824"/>
        <c:scaling>
          <c:orientation val="minMax"/>
          <c:max val="2010"/>
          <c:min val="1970"/>
        </c:scaling>
        <c:delete val="0"/>
        <c:axPos val="b"/>
        <c:numFmt formatCode="General" sourceLinked="1"/>
        <c:majorTickMark val="in"/>
        <c:minorTickMark val="in"/>
        <c:tickLblPos val="nextTo"/>
        <c:spPr>
          <a:ln>
            <a:solidFill>
              <a:srgbClr val="333399"/>
            </a:solidFill>
          </a:ln>
        </c:spPr>
        <c:crossAx val="137187712"/>
        <c:crossesAt val="-100"/>
        <c:crossBetween val="midCat"/>
        <c:majorUnit val="20"/>
        <c:minorUnit val="10"/>
      </c:valAx>
      <c:valAx>
        <c:axId val="137187712"/>
        <c:scaling>
          <c:orientation val="minMax"/>
          <c:max val="2"/>
          <c:min val="-2"/>
        </c:scaling>
        <c:delete val="0"/>
        <c:axPos val="r"/>
        <c:title>
          <c:tx>
            <c:rich>
              <a:bodyPr rot="-5400000" vert="horz"/>
              <a:lstStyle/>
              <a:p>
                <a:pPr>
                  <a:defRPr b="0"/>
                </a:pPr>
                <a:r>
                  <a:rPr lang="en-US" b="0"/>
                  <a:t>logit (</a:t>
                </a:r>
                <a:r>
                  <a:rPr lang="en-US" b="0" i="1"/>
                  <a:t>q</a:t>
                </a:r>
                <a:r>
                  <a:rPr lang="en-US" b="0"/>
                  <a:t>/</a:t>
                </a:r>
                <a:r>
                  <a:rPr lang="en-US" b="0" i="1"/>
                  <a:t>Q</a:t>
                </a:r>
                <a:r>
                  <a:rPr lang="en-US" b="0"/>
                  <a:t>)</a:t>
                </a:r>
              </a:p>
            </c:rich>
          </c:tx>
          <c:layout>
            <c:manualLayout>
              <c:xMode val="edge"/>
              <c:yMode val="edge"/>
              <c:x val="0.96179653679653765"/>
              <c:y val="0.3302117964421114"/>
            </c:manualLayout>
          </c:layout>
          <c:overlay val="0"/>
        </c:title>
        <c:numFmt formatCode="0" sourceLinked="0"/>
        <c:majorTickMark val="in"/>
        <c:minorTickMark val="in"/>
        <c:tickLblPos val="nextTo"/>
        <c:spPr>
          <a:ln>
            <a:solidFill>
              <a:srgbClr val="333399"/>
            </a:solidFill>
          </a:ln>
        </c:spPr>
        <c:crossAx val="137181824"/>
        <c:crosses val="max"/>
        <c:crossBetween val="midCat"/>
        <c:majorUnit val="2"/>
        <c:minorUnit val="1"/>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4931933508311463"/>
          <c:h val="0.77264654418197765"/>
        </c:manualLayout>
      </c:layout>
      <c:scatterChart>
        <c:scatterStyle val="smoothMarker"/>
        <c:varyColors val="0"/>
        <c:ser>
          <c:idx val="0"/>
          <c:order val="0"/>
          <c:tx>
            <c:v>early r m probit early</c:v>
          </c:tx>
          <c:spPr>
            <a:ln w="15875">
              <a:solidFill>
                <a:srgbClr val="008000"/>
              </a:solidFill>
              <a:prstDash val="lgDash"/>
            </a:ln>
          </c:spPr>
          <c:marker>
            <c:symbol val="none"/>
          </c:marker>
          <c:xVal>
            <c:numRef>
              <c:f>Canada!$D$16:$D$32</c:f>
              <c:numCache>
                <c:formatCode>General</c:formatCode>
                <c:ptCount val="17"/>
                <c:pt idx="0">
                  <c:v>1860</c:v>
                </c:pt>
                <c:pt idx="1">
                  <c:v>1861</c:v>
                </c:pt>
                <c:pt idx="2">
                  <c:v>1862</c:v>
                </c:pt>
                <c:pt idx="3">
                  <c:v>1863</c:v>
                </c:pt>
                <c:pt idx="4">
                  <c:v>1864</c:v>
                </c:pt>
                <c:pt idx="5">
                  <c:v>1865</c:v>
                </c:pt>
                <c:pt idx="6">
                  <c:v>1866</c:v>
                </c:pt>
                <c:pt idx="7">
                  <c:v>1867</c:v>
                </c:pt>
                <c:pt idx="8">
                  <c:v>1868</c:v>
                </c:pt>
                <c:pt idx="9">
                  <c:v>1869</c:v>
                </c:pt>
                <c:pt idx="10">
                  <c:v>1870</c:v>
                </c:pt>
                <c:pt idx="11">
                  <c:v>1871</c:v>
                </c:pt>
                <c:pt idx="12">
                  <c:v>1872</c:v>
                </c:pt>
                <c:pt idx="13">
                  <c:v>1873</c:v>
                </c:pt>
                <c:pt idx="14">
                  <c:v>1874</c:v>
                </c:pt>
                <c:pt idx="15">
                  <c:v>1875</c:v>
                </c:pt>
                <c:pt idx="16">
                  <c:v>1876</c:v>
                </c:pt>
              </c:numCache>
            </c:numRef>
          </c:xVal>
          <c:yVal>
            <c:numRef>
              <c:f>Canada!$N$16:$N$32</c:f>
              <c:numCache>
                <c:formatCode>0.0</c:formatCode>
                <c:ptCount val="17"/>
                <c:pt idx="0">
                  <c:v>-65.491202395498533</c:v>
                </c:pt>
                <c:pt idx="1">
                  <c:v>-45.941539544402872</c:v>
                </c:pt>
                <c:pt idx="2">
                  <c:v>-29.191210399325485</c:v>
                </c:pt>
                <c:pt idx="3">
                  <c:v>-17.052266617474459</c:v>
                </c:pt>
                <c:pt idx="4">
                  <c:v>-10.801702121527057</c:v>
                </c:pt>
                <c:pt idx="5">
                  <c:v>6.0261662292676306</c:v>
                </c:pt>
                <c:pt idx="6">
                  <c:v>14.136877807987844</c:v>
                </c:pt>
                <c:pt idx="7">
                  <c:v>16.748283852813131</c:v>
                </c:pt>
                <c:pt idx="8">
                  <c:v>17.603558180249024</c:v>
                </c:pt>
                <c:pt idx="9">
                  <c:v>18.369130286207906</c:v>
                </c:pt>
                <c:pt idx="10">
                  <c:v>18.966635855315587</c:v>
                </c:pt>
                <c:pt idx="11">
                  <c:v>22.095132634938409</c:v>
                </c:pt>
                <c:pt idx="12">
                  <c:v>23.608726311725206</c:v>
                </c:pt>
                <c:pt idx="13">
                  <c:v>23.84002429530716</c:v>
                </c:pt>
                <c:pt idx="14">
                  <c:v>23.587563337335069</c:v>
                </c:pt>
                <c:pt idx="15">
                  <c:v>22.04911034606431</c:v>
                </c:pt>
                <c:pt idx="16">
                  <c:v>19.447463793243543</c:v>
                </c:pt>
              </c:numCache>
            </c:numRef>
          </c:yVal>
          <c:smooth val="1"/>
          <c:extLst>
            <c:ext xmlns:c16="http://schemas.microsoft.com/office/drawing/2014/chart" uri="{C3380CC4-5D6E-409C-BE32-E72D297353CC}">
              <c16:uniqueId val="{00000000-9BB3-A240-A5B3-B3BA67D4EAD9}"/>
            </c:ext>
          </c:extLst>
        </c:ser>
        <c:ser>
          <c:idx val="1"/>
          <c:order val="1"/>
          <c:tx>
            <c:v>r m probit early</c:v>
          </c:tx>
          <c:spPr>
            <a:ln w="15875">
              <a:solidFill>
                <a:srgbClr val="008000"/>
              </a:solidFill>
              <a:prstDash val="solid"/>
            </a:ln>
          </c:spPr>
          <c:marker>
            <c:symbol val="none"/>
          </c:marker>
          <c:xVal>
            <c:numRef>
              <c:f>Canada!$D$33:$D$125</c:f>
              <c:numCache>
                <c:formatCode>General</c:formatCode>
                <c:ptCount val="93"/>
                <c:pt idx="0">
                  <c:v>1877</c:v>
                </c:pt>
                <c:pt idx="1">
                  <c:v>1878</c:v>
                </c:pt>
                <c:pt idx="2">
                  <c:v>1879</c:v>
                </c:pt>
                <c:pt idx="3">
                  <c:v>1880</c:v>
                </c:pt>
                <c:pt idx="4">
                  <c:v>1881</c:v>
                </c:pt>
                <c:pt idx="5">
                  <c:v>1882</c:v>
                </c:pt>
                <c:pt idx="6">
                  <c:v>1883</c:v>
                </c:pt>
                <c:pt idx="7">
                  <c:v>1884</c:v>
                </c:pt>
                <c:pt idx="8">
                  <c:v>1885</c:v>
                </c:pt>
                <c:pt idx="9">
                  <c:v>1886</c:v>
                </c:pt>
                <c:pt idx="10">
                  <c:v>1887</c:v>
                </c:pt>
                <c:pt idx="11">
                  <c:v>1888</c:v>
                </c:pt>
                <c:pt idx="12">
                  <c:v>1889</c:v>
                </c:pt>
                <c:pt idx="13">
                  <c:v>1890</c:v>
                </c:pt>
                <c:pt idx="14">
                  <c:v>1891</c:v>
                </c:pt>
                <c:pt idx="15">
                  <c:v>1892</c:v>
                </c:pt>
                <c:pt idx="16">
                  <c:v>1893</c:v>
                </c:pt>
                <c:pt idx="17">
                  <c:v>1894</c:v>
                </c:pt>
                <c:pt idx="18">
                  <c:v>1895</c:v>
                </c:pt>
                <c:pt idx="19">
                  <c:v>1896</c:v>
                </c:pt>
                <c:pt idx="20">
                  <c:v>1897</c:v>
                </c:pt>
                <c:pt idx="21">
                  <c:v>1898</c:v>
                </c:pt>
                <c:pt idx="22">
                  <c:v>1899</c:v>
                </c:pt>
                <c:pt idx="23">
                  <c:v>1900</c:v>
                </c:pt>
                <c:pt idx="24">
                  <c:v>1901</c:v>
                </c:pt>
                <c:pt idx="25">
                  <c:v>1902</c:v>
                </c:pt>
                <c:pt idx="26">
                  <c:v>1903</c:v>
                </c:pt>
                <c:pt idx="27">
                  <c:v>1904</c:v>
                </c:pt>
                <c:pt idx="28">
                  <c:v>1905</c:v>
                </c:pt>
                <c:pt idx="29">
                  <c:v>1906</c:v>
                </c:pt>
                <c:pt idx="30">
                  <c:v>1907</c:v>
                </c:pt>
                <c:pt idx="31">
                  <c:v>1908</c:v>
                </c:pt>
                <c:pt idx="32">
                  <c:v>1909</c:v>
                </c:pt>
                <c:pt idx="33">
                  <c:v>1910</c:v>
                </c:pt>
                <c:pt idx="34">
                  <c:v>1911</c:v>
                </c:pt>
                <c:pt idx="35">
                  <c:v>1912</c:v>
                </c:pt>
                <c:pt idx="36">
                  <c:v>1913</c:v>
                </c:pt>
                <c:pt idx="37">
                  <c:v>1914</c:v>
                </c:pt>
                <c:pt idx="38">
                  <c:v>1915</c:v>
                </c:pt>
                <c:pt idx="39">
                  <c:v>1916</c:v>
                </c:pt>
                <c:pt idx="40">
                  <c:v>1917</c:v>
                </c:pt>
                <c:pt idx="41">
                  <c:v>1918</c:v>
                </c:pt>
                <c:pt idx="42">
                  <c:v>1919</c:v>
                </c:pt>
                <c:pt idx="43">
                  <c:v>1920</c:v>
                </c:pt>
                <c:pt idx="44">
                  <c:v>1921</c:v>
                </c:pt>
                <c:pt idx="45">
                  <c:v>1922</c:v>
                </c:pt>
                <c:pt idx="46">
                  <c:v>1923</c:v>
                </c:pt>
                <c:pt idx="47">
                  <c:v>1924</c:v>
                </c:pt>
                <c:pt idx="48">
                  <c:v>1925</c:v>
                </c:pt>
                <c:pt idx="49">
                  <c:v>1926</c:v>
                </c:pt>
                <c:pt idx="50">
                  <c:v>1927</c:v>
                </c:pt>
                <c:pt idx="51">
                  <c:v>1928</c:v>
                </c:pt>
                <c:pt idx="52">
                  <c:v>1929</c:v>
                </c:pt>
                <c:pt idx="53">
                  <c:v>1930</c:v>
                </c:pt>
                <c:pt idx="54">
                  <c:v>1931</c:v>
                </c:pt>
                <c:pt idx="55">
                  <c:v>1932</c:v>
                </c:pt>
                <c:pt idx="56">
                  <c:v>1933</c:v>
                </c:pt>
                <c:pt idx="57">
                  <c:v>1934</c:v>
                </c:pt>
                <c:pt idx="58">
                  <c:v>1935</c:v>
                </c:pt>
                <c:pt idx="59">
                  <c:v>1936</c:v>
                </c:pt>
                <c:pt idx="60">
                  <c:v>1937</c:v>
                </c:pt>
                <c:pt idx="61">
                  <c:v>1938</c:v>
                </c:pt>
                <c:pt idx="62">
                  <c:v>1939</c:v>
                </c:pt>
                <c:pt idx="63">
                  <c:v>1940</c:v>
                </c:pt>
                <c:pt idx="64">
                  <c:v>1941</c:v>
                </c:pt>
                <c:pt idx="65">
                  <c:v>1942</c:v>
                </c:pt>
                <c:pt idx="66">
                  <c:v>1943</c:v>
                </c:pt>
                <c:pt idx="67">
                  <c:v>1944</c:v>
                </c:pt>
                <c:pt idx="68">
                  <c:v>1945</c:v>
                </c:pt>
                <c:pt idx="69">
                  <c:v>1946</c:v>
                </c:pt>
                <c:pt idx="70">
                  <c:v>1947</c:v>
                </c:pt>
                <c:pt idx="71">
                  <c:v>1948</c:v>
                </c:pt>
                <c:pt idx="72">
                  <c:v>1949</c:v>
                </c:pt>
                <c:pt idx="73">
                  <c:v>1950</c:v>
                </c:pt>
                <c:pt idx="74">
                  <c:v>1951</c:v>
                </c:pt>
                <c:pt idx="75">
                  <c:v>1952</c:v>
                </c:pt>
                <c:pt idx="76">
                  <c:v>1953</c:v>
                </c:pt>
                <c:pt idx="77">
                  <c:v>1954</c:v>
                </c:pt>
                <c:pt idx="78">
                  <c:v>1955</c:v>
                </c:pt>
                <c:pt idx="79">
                  <c:v>1956</c:v>
                </c:pt>
                <c:pt idx="80">
                  <c:v>1957</c:v>
                </c:pt>
                <c:pt idx="81">
                  <c:v>1958</c:v>
                </c:pt>
                <c:pt idx="82">
                  <c:v>1959</c:v>
                </c:pt>
                <c:pt idx="83">
                  <c:v>1960</c:v>
                </c:pt>
                <c:pt idx="84">
                  <c:v>1961</c:v>
                </c:pt>
                <c:pt idx="85">
                  <c:v>1962</c:v>
                </c:pt>
                <c:pt idx="86">
                  <c:v>1963</c:v>
                </c:pt>
                <c:pt idx="87">
                  <c:v>1964</c:v>
                </c:pt>
                <c:pt idx="88">
                  <c:v>1965</c:v>
                </c:pt>
                <c:pt idx="89">
                  <c:v>1966</c:v>
                </c:pt>
                <c:pt idx="90">
                  <c:v>1967</c:v>
                </c:pt>
                <c:pt idx="91">
                  <c:v>1968</c:v>
                </c:pt>
                <c:pt idx="92">
                  <c:v>1969</c:v>
                </c:pt>
              </c:numCache>
            </c:numRef>
          </c:xVal>
          <c:yVal>
            <c:numRef>
              <c:f>Canada!$N$33:$N$125</c:f>
              <c:numCache>
                <c:formatCode>0.0</c:formatCode>
                <c:ptCount val="93"/>
                <c:pt idx="0">
                  <c:v>16.600251786754853</c:v>
                </c:pt>
                <c:pt idx="1">
                  <c:v>13.610647269597308</c:v>
                </c:pt>
                <c:pt idx="2">
                  <c:v>10.343768922624463</c:v>
                </c:pt>
                <c:pt idx="3">
                  <c:v>9.0875484901494588</c:v>
                </c:pt>
                <c:pt idx="4">
                  <c:v>7.4397072747025277</c:v>
                </c:pt>
                <c:pt idx="5">
                  <c:v>6.9918636209944793</c:v>
                </c:pt>
                <c:pt idx="6">
                  <c:v>5.5540945599454403</c:v>
                </c:pt>
                <c:pt idx="7">
                  <c:v>4.3022640091296012</c:v>
                </c:pt>
                <c:pt idx="8">
                  <c:v>2.0373357824845755</c:v>
                </c:pt>
                <c:pt idx="9">
                  <c:v>0.11052278811857263</c:v>
                </c:pt>
                <c:pt idx="10">
                  <c:v>-1.0649085131915683</c:v>
                </c:pt>
                <c:pt idx="11">
                  <c:v>-2.2175896726236601</c:v>
                </c:pt>
                <c:pt idx="12">
                  <c:v>-3.8292619902263141</c:v>
                </c:pt>
                <c:pt idx="13">
                  <c:v>-4.5215888134732154</c:v>
                </c:pt>
                <c:pt idx="14">
                  <c:v>-4.2771013362038275</c:v>
                </c:pt>
                <c:pt idx="15">
                  <c:v>-5.7321826480660718</c:v>
                </c:pt>
                <c:pt idx="16">
                  <c:v>-6.3220319755997139</c:v>
                </c:pt>
                <c:pt idx="17">
                  <c:v>-7.4067443319340214</c:v>
                </c:pt>
                <c:pt idx="18">
                  <c:v>-10.060981081913582</c:v>
                </c:pt>
                <c:pt idx="19">
                  <c:v>-12.484538603264895</c:v>
                </c:pt>
                <c:pt idx="20">
                  <c:v>-15.262808441492353</c:v>
                </c:pt>
                <c:pt idx="21">
                  <c:v>-17.574725131659562</c:v>
                </c:pt>
                <c:pt idx="22">
                  <c:v>-18.710944845388354</c:v>
                </c:pt>
                <c:pt idx="23">
                  <c:v>-18.657974692863064</c:v>
                </c:pt>
                <c:pt idx="24">
                  <c:v>-17.898691321675727</c:v>
                </c:pt>
                <c:pt idx="25">
                  <c:v>-16.081617928652236</c:v>
                </c:pt>
                <c:pt idx="26">
                  <c:v>-14.235172624878714</c:v>
                </c:pt>
                <c:pt idx="27">
                  <c:v>-12.700489956314669</c:v>
                </c:pt>
                <c:pt idx="28">
                  <c:v>-11.269748023080098</c:v>
                </c:pt>
                <c:pt idx="29">
                  <c:v>-8.9667195521689536</c:v>
                </c:pt>
                <c:pt idx="30">
                  <c:v>-6.4116535450121148</c:v>
                </c:pt>
                <c:pt idx="31">
                  <c:v>-4.1302403766731857</c:v>
                </c:pt>
                <c:pt idx="32">
                  <c:v>-3.0193715606312992</c:v>
                </c:pt>
                <c:pt idx="33">
                  <c:v>0.32305641232422033</c:v>
                </c:pt>
                <c:pt idx="34">
                  <c:v>1.1648996239665479</c:v>
                </c:pt>
                <c:pt idx="35">
                  <c:v>4.8945839143898553</c:v>
                </c:pt>
                <c:pt idx="36">
                  <c:v>8.4147913401186258</c:v>
                </c:pt>
                <c:pt idx="37">
                  <c:v>9.9385536168691431</c:v>
                </c:pt>
                <c:pt idx="38">
                  <c:v>10.632931977428896</c:v>
                </c:pt>
                <c:pt idx="39">
                  <c:v>12.029683599429632</c:v>
                </c:pt>
                <c:pt idx="40">
                  <c:v>12.613959590745097</c:v>
                </c:pt>
                <c:pt idx="41">
                  <c:v>13.638646612256494</c:v>
                </c:pt>
                <c:pt idx="42">
                  <c:v>13.416493033974845</c:v>
                </c:pt>
                <c:pt idx="43">
                  <c:v>15.379884436867343</c:v>
                </c:pt>
                <c:pt idx="44">
                  <c:v>15.477182044270684</c:v>
                </c:pt>
                <c:pt idx="45">
                  <c:v>15.393444883297263</c:v>
                </c:pt>
                <c:pt idx="46">
                  <c:v>16.472886340930259</c:v>
                </c:pt>
                <c:pt idx="47">
                  <c:v>14.781149836089263</c:v>
                </c:pt>
                <c:pt idx="48">
                  <c:v>12.566053534419105</c:v>
                </c:pt>
                <c:pt idx="49">
                  <c:v>12.622861927175066</c:v>
                </c:pt>
                <c:pt idx="50">
                  <c:v>13.225697454776594</c:v>
                </c:pt>
                <c:pt idx="51">
                  <c:v>13.754735294522689</c:v>
                </c:pt>
                <c:pt idx="52">
                  <c:v>14.084491092915474</c:v>
                </c:pt>
                <c:pt idx="53">
                  <c:v>12.471242436154267</c:v>
                </c:pt>
                <c:pt idx="54">
                  <c:v>8.9580629634410442</c:v>
                </c:pt>
                <c:pt idx="55">
                  <c:v>5.0513797320254952</c:v>
                </c:pt>
                <c:pt idx="56">
                  <c:v>1.2212212720167788</c:v>
                </c:pt>
                <c:pt idx="57">
                  <c:v>-1.339693939262192</c:v>
                </c:pt>
                <c:pt idx="58">
                  <c:v>-3.8821275186620632</c:v>
                </c:pt>
                <c:pt idx="59">
                  <c:v>-5.5400058603564322</c:v>
                </c:pt>
                <c:pt idx="60">
                  <c:v>-6.8063932078307481</c:v>
                </c:pt>
                <c:pt idx="61">
                  <c:v>-9.1245747981949776</c:v>
                </c:pt>
                <c:pt idx="62">
                  <c:v>-10.492574506239803</c:v>
                </c:pt>
                <c:pt idx="63">
                  <c:v>-10.571810360746252</c:v>
                </c:pt>
                <c:pt idx="64">
                  <c:v>-10.164263307152044</c:v>
                </c:pt>
                <c:pt idx="65">
                  <c:v>-9.2573339071243979</c:v>
                </c:pt>
                <c:pt idx="66">
                  <c:v>-8.9597585601902487</c:v>
                </c:pt>
                <c:pt idx="67">
                  <c:v>-9.1439187565360491</c:v>
                </c:pt>
                <c:pt idx="68">
                  <c:v>-9.5854283984156226</c:v>
                </c:pt>
                <c:pt idx="69">
                  <c:v>-8.9792602665772137</c:v>
                </c:pt>
                <c:pt idx="70">
                  <c:v>-9.6109923434421063</c:v>
                </c:pt>
                <c:pt idx="71">
                  <c:v>-8.2058046463842729</c:v>
                </c:pt>
                <c:pt idx="72">
                  <c:v>-6.0685779201269199</c:v>
                </c:pt>
                <c:pt idx="73">
                  <c:v>-3.6288148301619998</c:v>
                </c:pt>
                <c:pt idx="74">
                  <c:v>-1.2873469732904681</c:v>
                </c:pt>
                <c:pt idx="75">
                  <c:v>0.60735442913649962</c:v>
                </c:pt>
                <c:pt idx="76">
                  <c:v>1.4896796997845598</c:v>
                </c:pt>
                <c:pt idx="77">
                  <c:v>1.8788240547939097</c:v>
                </c:pt>
                <c:pt idx="78">
                  <c:v>2.5175146451061323</c:v>
                </c:pt>
                <c:pt idx="79">
                  <c:v>3.6117383681567077</c:v>
                </c:pt>
                <c:pt idx="80">
                  <c:v>3.5388511018628179</c:v>
                </c:pt>
                <c:pt idx="81">
                  <c:v>2.4107821715809905</c:v>
                </c:pt>
                <c:pt idx="82">
                  <c:v>0.57166908558453144</c:v>
                </c:pt>
                <c:pt idx="83">
                  <c:v>-0.59675656379013731</c:v>
                </c:pt>
                <c:pt idx="84">
                  <c:v>-2.055169078102864</c:v>
                </c:pt>
                <c:pt idx="85">
                  <c:v>-3.2983364656771244</c:v>
                </c:pt>
                <c:pt idx="86">
                  <c:v>-3.8574974368094104</c:v>
                </c:pt>
                <c:pt idx="87">
                  <c:v>-3.1353138662607307</c:v>
                </c:pt>
                <c:pt idx="88">
                  <c:v>-1.5348082091347521</c:v>
                </c:pt>
                <c:pt idx="89">
                  <c:v>0.48183058758610287</c:v>
                </c:pt>
                <c:pt idx="90">
                  <c:v>2.9058528481024553</c:v>
                </c:pt>
                <c:pt idx="91">
                  <c:v>5.9320120335559778</c:v>
                </c:pt>
                <c:pt idx="92">
                  <c:v>9.4116421871373461</c:v>
                </c:pt>
              </c:numCache>
            </c:numRef>
          </c:yVal>
          <c:smooth val="1"/>
          <c:extLst>
            <c:ext xmlns:c16="http://schemas.microsoft.com/office/drawing/2014/chart" uri="{C3380CC4-5D6E-409C-BE32-E72D297353CC}">
              <c16:uniqueId val="{00000001-9BB3-A240-A5B3-B3BA67D4EAD9}"/>
            </c:ext>
          </c:extLst>
        </c:ser>
        <c:ser>
          <c:idx val="2"/>
          <c:order val="2"/>
          <c:tx>
            <c:v>zero early</c:v>
          </c:tx>
          <c:spPr>
            <a:ln w="15875">
              <a:solidFill>
                <a:srgbClr val="808080"/>
              </a:solidFill>
            </a:ln>
          </c:spPr>
          <c:marker>
            <c:symbol val="none"/>
          </c:marker>
          <c:xVal>
            <c:numRef>
              <c:f>Canada!$E$8:$E$9</c:f>
              <c:numCache>
                <c:formatCode>General</c:formatCode>
                <c:ptCount val="2"/>
                <c:pt idx="0">
                  <c:v>1877</c:v>
                </c:pt>
                <c:pt idx="1">
                  <c:v>1969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2-9BB3-A240-A5B3-B3BA67D4EAD9}"/>
            </c:ext>
          </c:extLst>
        </c:ser>
        <c:ser>
          <c:idx val="3"/>
          <c:order val="3"/>
          <c:tx>
            <c:v>late r m probit early</c:v>
          </c:tx>
          <c:spPr>
            <a:ln w="15875">
              <a:solidFill>
                <a:srgbClr val="008000"/>
              </a:solidFill>
              <a:prstDash val="lgDash"/>
            </a:ln>
          </c:spPr>
          <c:marker>
            <c:symbol val="none"/>
          </c:marker>
          <c:xVal>
            <c:numRef>
              <c:f>Canada!$D$126:$D$129</c:f>
              <c:numCache>
                <c:formatCode>General</c:formatCode>
                <c:ptCount val="4"/>
                <c:pt idx="0">
                  <c:v>1970</c:v>
                </c:pt>
                <c:pt idx="1">
                  <c:v>1971</c:v>
                </c:pt>
                <c:pt idx="2">
                  <c:v>1972</c:v>
                </c:pt>
                <c:pt idx="3">
                  <c:v>1973</c:v>
                </c:pt>
              </c:numCache>
            </c:numRef>
          </c:xVal>
          <c:yVal>
            <c:numRef>
              <c:f>Canada!$N$126:$N$129</c:f>
              <c:numCache>
                <c:formatCode>0.0</c:formatCode>
                <c:ptCount val="4"/>
                <c:pt idx="0">
                  <c:v>23.618298949615252</c:v>
                </c:pt>
                <c:pt idx="1">
                  <c:v>44.6718387694917</c:v>
                </c:pt>
                <c:pt idx="2">
                  <c:v>77.14188158049032</c:v>
                </c:pt>
              </c:numCache>
            </c:numRef>
          </c:yVal>
          <c:smooth val="1"/>
          <c:extLst>
            <c:ext xmlns:c16="http://schemas.microsoft.com/office/drawing/2014/chart" uri="{C3380CC4-5D6E-409C-BE32-E72D297353CC}">
              <c16:uniqueId val="{00000003-9BB3-A240-A5B3-B3BA67D4EAD9}"/>
            </c:ext>
          </c:extLst>
        </c:ser>
        <c:ser>
          <c:idx val="4"/>
          <c:order val="4"/>
          <c:tx>
            <c:v>zero</c:v>
          </c:tx>
          <c:spPr>
            <a:ln w="15875">
              <a:solidFill>
                <a:srgbClr val="808080"/>
              </a:solidFill>
              <a:prstDash val="solid"/>
            </a:ln>
          </c:spPr>
          <c:marker>
            <c:symbol val="none"/>
          </c:marker>
          <c:xVal>
            <c:numRef>
              <c:f>Canada!$E$3:$E$4</c:f>
              <c:numCache>
                <c:formatCode>General</c:formatCode>
                <c:ptCount val="2"/>
                <c:pt idx="0">
                  <c:v>1983</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4-9BB3-A240-A5B3-B3BA67D4EAD9}"/>
            </c:ext>
          </c:extLst>
        </c:ser>
        <c:ser>
          <c:idx val="5"/>
          <c:order val="5"/>
          <c:tx>
            <c:v>early r m</c:v>
          </c:tx>
          <c:spPr>
            <a:ln w="15875">
              <a:solidFill>
                <a:srgbClr val="008000"/>
              </a:solidFill>
              <a:prstDash val="lgDash"/>
            </a:ln>
          </c:spPr>
          <c:marker>
            <c:symbol val="none"/>
          </c:marker>
          <c:xVal>
            <c:numRef>
              <c:f>Canada!$D$132:$D$138</c:f>
              <c:numCache>
                <c:formatCode>General</c:formatCode>
                <c:ptCount val="7"/>
                <c:pt idx="0">
                  <c:v>1976</c:v>
                </c:pt>
                <c:pt idx="1">
                  <c:v>1977</c:v>
                </c:pt>
                <c:pt idx="2">
                  <c:v>1978</c:v>
                </c:pt>
                <c:pt idx="3">
                  <c:v>1979</c:v>
                </c:pt>
                <c:pt idx="4">
                  <c:v>1980</c:v>
                </c:pt>
                <c:pt idx="5">
                  <c:v>1981</c:v>
                </c:pt>
                <c:pt idx="6">
                  <c:v>1982</c:v>
                </c:pt>
              </c:numCache>
            </c:numRef>
          </c:xVal>
          <c:yVal>
            <c:numRef>
              <c:f>Canada!$I$132:$I$138</c:f>
              <c:numCache>
                <c:formatCode>0.0</c:formatCode>
                <c:ptCount val="7"/>
                <c:pt idx="0">
                  <c:v>31.568441650287241</c:v>
                </c:pt>
                <c:pt idx="1">
                  <c:v>25.968602223139897</c:v>
                </c:pt>
                <c:pt idx="2">
                  <c:v>20.688353944482515</c:v>
                </c:pt>
                <c:pt idx="3">
                  <c:v>15.872616925083094</c:v>
                </c:pt>
                <c:pt idx="4">
                  <c:v>11.661010730682392</c:v>
                </c:pt>
                <c:pt idx="5">
                  <c:v>8.0054802901095172</c:v>
                </c:pt>
                <c:pt idx="6">
                  <c:v>4.7326258398898062</c:v>
                </c:pt>
              </c:numCache>
            </c:numRef>
          </c:yVal>
          <c:smooth val="1"/>
          <c:extLst>
            <c:ext xmlns:c16="http://schemas.microsoft.com/office/drawing/2014/chart" uri="{C3380CC4-5D6E-409C-BE32-E72D297353CC}">
              <c16:uniqueId val="{00000005-9BB3-A240-A5B3-B3BA67D4EAD9}"/>
            </c:ext>
          </c:extLst>
        </c:ser>
        <c:ser>
          <c:idx val="6"/>
          <c:order val="6"/>
          <c:tx>
            <c:strRef>
              <c:f>Canada!$I$12</c:f>
              <c:strCache>
                <c:ptCount val="1"/>
                <c:pt idx="0">
                  <c:v>r m</c:v>
                </c:pt>
              </c:strCache>
            </c:strRef>
          </c:tx>
          <c:spPr>
            <a:ln w="15875">
              <a:solidFill>
                <a:srgbClr val="008000"/>
              </a:solidFill>
            </a:ln>
          </c:spPr>
          <c:marker>
            <c:symbol val="none"/>
          </c:marker>
          <c:xVal>
            <c:numRef>
              <c:f>Canada!$D$139:$D$198</c:f>
              <c:numCache>
                <c:formatCode>General</c:formatCode>
                <c:ptCount val="60"/>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pt idx="30">
                  <c:v>2013</c:v>
                </c:pt>
                <c:pt idx="31">
                  <c:v>2014</c:v>
                </c:pt>
                <c:pt idx="32">
                  <c:v>2015</c:v>
                </c:pt>
                <c:pt idx="33">
                  <c:v>2016</c:v>
                </c:pt>
                <c:pt idx="34">
                  <c:v>2017</c:v>
                </c:pt>
                <c:pt idx="35">
                  <c:v>2018</c:v>
                </c:pt>
                <c:pt idx="36">
                  <c:v>2019</c:v>
                </c:pt>
                <c:pt idx="37">
                  <c:v>2020</c:v>
                </c:pt>
                <c:pt idx="38">
                  <c:v>2021</c:v>
                </c:pt>
                <c:pt idx="39">
                  <c:v>2022</c:v>
                </c:pt>
                <c:pt idx="40">
                  <c:v>2023</c:v>
                </c:pt>
                <c:pt idx="41">
                  <c:v>2024</c:v>
                </c:pt>
                <c:pt idx="42">
                  <c:v>2025</c:v>
                </c:pt>
                <c:pt idx="43">
                  <c:v>2026</c:v>
                </c:pt>
                <c:pt idx="44">
                  <c:v>2027</c:v>
                </c:pt>
                <c:pt idx="45">
                  <c:v>2028</c:v>
                </c:pt>
                <c:pt idx="46">
                  <c:v>2029</c:v>
                </c:pt>
                <c:pt idx="47">
                  <c:v>2030</c:v>
                </c:pt>
                <c:pt idx="48">
                  <c:v>2031</c:v>
                </c:pt>
                <c:pt idx="49">
                  <c:v>2032</c:v>
                </c:pt>
                <c:pt idx="50">
                  <c:v>2033</c:v>
                </c:pt>
                <c:pt idx="51">
                  <c:v>2034</c:v>
                </c:pt>
                <c:pt idx="52">
                  <c:v>2035</c:v>
                </c:pt>
                <c:pt idx="53">
                  <c:v>2036</c:v>
                </c:pt>
                <c:pt idx="54">
                  <c:v>2037</c:v>
                </c:pt>
                <c:pt idx="55">
                  <c:v>2038</c:v>
                </c:pt>
                <c:pt idx="56">
                  <c:v>2039</c:v>
                </c:pt>
                <c:pt idx="57">
                  <c:v>2040</c:v>
                </c:pt>
                <c:pt idx="58">
                  <c:v>2041</c:v>
                </c:pt>
                <c:pt idx="59">
                  <c:v>2042</c:v>
                </c:pt>
              </c:numCache>
            </c:numRef>
          </c:xVal>
          <c:yVal>
            <c:numRef>
              <c:f>Canada!$I$139:$I$198</c:f>
              <c:numCache>
                <c:formatCode>0.0</c:formatCode>
                <c:ptCount val="60"/>
                <c:pt idx="0">
                  <c:v>1.681588443734654</c:v>
                </c:pt>
                <c:pt idx="1">
                  <c:v>0.90535219559205871</c:v>
                </c:pt>
                <c:pt idx="2">
                  <c:v>0.51056669644367503</c:v>
                </c:pt>
                <c:pt idx="3">
                  <c:v>-0.67480964299920743</c:v>
                </c:pt>
                <c:pt idx="4">
                  <c:v>-1.4414141625684351</c:v>
                </c:pt>
                <c:pt idx="5">
                  <c:v>-0.71922471142897848</c:v>
                </c:pt>
                <c:pt idx="6">
                  <c:v>-0.24719374262895144</c:v>
                </c:pt>
                <c:pt idx="7">
                  <c:v>-0.33811904260801384</c:v>
                </c:pt>
                <c:pt idx="8">
                  <c:v>-0.10594949070309667</c:v>
                </c:pt>
                <c:pt idx="9">
                  <c:v>-0.94274066534671874</c:v>
                </c:pt>
                <c:pt idx="10">
                  <c:v>-1.2975555421817262</c:v>
                </c:pt>
                <c:pt idx="11">
                  <c:v>-1.0963106148183215</c:v>
                </c:pt>
                <c:pt idx="12">
                  <c:v>-0.59542881100514933</c:v>
                </c:pt>
                <c:pt idx="13">
                  <c:v>1.6597739182543592E-2</c:v>
                </c:pt>
                <c:pt idx="14">
                  <c:v>1.0924037801296436</c:v>
                </c:pt>
                <c:pt idx="15">
                  <c:v>1.6056105634470441</c:v>
                </c:pt>
                <c:pt idx="16">
                  <c:v>1.7267438338740249</c:v>
                </c:pt>
                <c:pt idx="17">
                  <c:v>1.3644811403082713</c:v>
                </c:pt>
                <c:pt idx="18">
                  <c:v>1.2993671209087552</c:v>
                </c:pt>
                <c:pt idx="19">
                  <c:v>0.71202878665098979</c:v>
                </c:pt>
                <c:pt idx="20">
                  <c:v>-0.5223572755285204</c:v>
                </c:pt>
                <c:pt idx="21">
                  <c:v>-0.93448300839190779</c:v>
                </c:pt>
                <c:pt idx="22">
                  <c:v>-1.2818955199445554</c:v>
                </c:pt>
                <c:pt idx="23">
                  <c:v>-1.3022121847579911</c:v>
                </c:pt>
                <c:pt idx="24">
                  <c:v>-0.45068004191489308</c:v>
                </c:pt>
                <c:pt idx="25">
                  <c:v>0.39901538948197413</c:v>
                </c:pt>
                <c:pt idx="26">
                  <c:v>0.63661876705373288</c:v>
                </c:pt>
              </c:numCache>
            </c:numRef>
          </c:yVal>
          <c:smooth val="1"/>
          <c:extLst>
            <c:ext xmlns:c16="http://schemas.microsoft.com/office/drawing/2014/chart" uri="{C3380CC4-5D6E-409C-BE32-E72D297353CC}">
              <c16:uniqueId val="{00000006-9BB3-A240-A5B3-B3BA67D4EAD9}"/>
            </c:ext>
          </c:extLst>
        </c:ser>
        <c:dLbls>
          <c:showLegendKey val="0"/>
          <c:showVal val="0"/>
          <c:showCatName val="0"/>
          <c:showSerName val="0"/>
          <c:showPercent val="0"/>
          <c:showBubbleSize val="0"/>
        </c:dLbls>
        <c:axId val="137239168"/>
        <c:axId val="137286016"/>
      </c:scatterChart>
      <c:valAx>
        <c:axId val="137239168"/>
        <c:scaling>
          <c:orientation val="minMax"/>
          <c:max val="2020"/>
          <c:min val="1860"/>
        </c:scaling>
        <c:delete val="0"/>
        <c:axPos val="b"/>
        <c:numFmt formatCode="General" sourceLinked="1"/>
        <c:majorTickMark val="in"/>
        <c:minorTickMark val="in"/>
        <c:tickLblPos val="nextTo"/>
        <c:spPr>
          <a:ln>
            <a:solidFill>
              <a:srgbClr val="333399"/>
            </a:solidFill>
          </a:ln>
        </c:spPr>
        <c:crossAx val="137286016"/>
        <c:crossesAt val="-100"/>
        <c:crossBetween val="midCat"/>
        <c:majorUnit val="80"/>
        <c:minorUnit val="10"/>
      </c:valAx>
      <c:valAx>
        <c:axId val="137286016"/>
        <c:scaling>
          <c:orientation val="minMax"/>
          <c:max val="30"/>
          <c:min val="-30"/>
        </c:scaling>
        <c:delete val="0"/>
        <c:axPos val="r"/>
        <c:title>
          <c:tx>
            <c:rich>
              <a:bodyPr rot="-5400000" vert="horz"/>
              <a:lstStyle/>
              <a:p>
                <a:pPr>
                  <a:defRPr b="0"/>
                </a:pPr>
                <a:r>
                  <a:rPr lang="en-US" b="0"/>
                  <a:t>Residual</a:t>
                </a:r>
                <a:r>
                  <a:rPr lang="en-US" b="0" baseline="0"/>
                  <a:t>, months</a:t>
                </a:r>
                <a:endParaRPr lang="en-US" b="0"/>
              </a:p>
            </c:rich>
          </c:tx>
          <c:layout>
            <c:manualLayout>
              <c:xMode val="edge"/>
              <c:yMode val="edge"/>
              <c:x val="0.96179653679653765"/>
              <c:y val="0.26076735199766732"/>
            </c:manualLayout>
          </c:layout>
          <c:overlay val="0"/>
        </c:title>
        <c:numFmt formatCode="0" sourceLinked="0"/>
        <c:majorTickMark val="in"/>
        <c:minorTickMark val="in"/>
        <c:tickLblPos val="nextTo"/>
        <c:spPr>
          <a:ln>
            <a:solidFill>
              <a:srgbClr val="333399"/>
            </a:solidFill>
          </a:ln>
        </c:spPr>
        <c:crossAx val="137239168"/>
        <c:crosses val="max"/>
        <c:crossBetween val="midCat"/>
        <c:majorUnit val="30"/>
        <c:minorUnit val="10"/>
      </c:valAx>
    </c:plotArea>
    <c:plotVisOnly val="1"/>
    <c:dispBlanksAs val="gap"/>
    <c:showDLblsOverMax val="0"/>
  </c:chart>
  <c:spPr>
    <a:ln>
      <a:noFill/>
    </a:ln>
  </c:spPr>
  <c:txPr>
    <a:bodyPr/>
    <a:lstStyle/>
    <a:p>
      <a:pPr>
        <a:defRPr sz="1200">
          <a:solidFill>
            <a:srgbClr val="333399"/>
          </a:solidFill>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5673518082966849"/>
          <c:h val="0.77264654418197765"/>
        </c:manualLayout>
      </c:layout>
      <c:scatterChart>
        <c:scatterStyle val="smoothMarker"/>
        <c:varyColors val="0"/>
        <c:ser>
          <c:idx val="0"/>
          <c:order val="0"/>
          <c:tx>
            <c:strRef>
              <c:f>Canada!$F$12</c:f>
              <c:strCache>
                <c:ptCount val="1"/>
                <c:pt idx="0">
                  <c:v>q Gt</c:v>
                </c:pt>
              </c:strCache>
            </c:strRef>
          </c:tx>
          <c:spPr>
            <a:ln w="15875">
              <a:solidFill>
                <a:srgbClr val="008000"/>
              </a:solidFill>
            </a:ln>
          </c:spPr>
          <c:marker>
            <c:symbol val="none"/>
          </c:marker>
          <c:xVal>
            <c:numRef>
              <c:f>Canada!$D$14:$D$259</c:f>
              <c:numCache>
                <c:formatCode>General</c:formatCode>
                <c:ptCount val="246"/>
                <c:pt idx="0">
                  <c:v>1858</c:v>
                </c:pt>
                <c:pt idx="1">
                  <c:v>1859</c:v>
                </c:pt>
                <c:pt idx="2">
                  <c:v>1860</c:v>
                </c:pt>
                <c:pt idx="3">
                  <c:v>1861</c:v>
                </c:pt>
                <c:pt idx="4">
                  <c:v>1862</c:v>
                </c:pt>
                <c:pt idx="5">
                  <c:v>1863</c:v>
                </c:pt>
                <c:pt idx="6">
                  <c:v>1864</c:v>
                </c:pt>
                <c:pt idx="7">
                  <c:v>1865</c:v>
                </c:pt>
                <c:pt idx="8">
                  <c:v>1866</c:v>
                </c:pt>
                <c:pt idx="9">
                  <c:v>1867</c:v>
                </c:pt>
                <c:pt idx="10">
                  <c:v>1868</c:v>
                </c:pt>
                <c:pt idx="11">
                  <c:v>1869</c:v>
                </c:pt>
                <c:pt idx="12">
                  <c:v>1870</c:v>
                </c:pt>
                <c:pt idx="13">
                  <c:v>1871</c:v>
                </c:pt>
                <c:pt idx="14">
                  <c:v>1872</c:v>
                </c:pt>
                <c:pt idx="15">
                  <c:v>1873</c:v>
                </c:pt>
                <c:pt idx="16">
                  <c:v>1874</c:v>
                </c:pt>
                <c:pt idx="17">
                  <c:v>1875</c:v>
                </c:pt>
                <c:pt idx="18">
                  <c:v>1876</c:v>
                </c:pt>
                <c:pt idx="19">
                  <c:v>1877</c:v>
                </c:pt>
                <c:pt idx="20">
                  <c:v>1878</c:v>
                </c:pt>
                <c:pt idx="21">
                  <c:v>1879</c:v>
                </c:pt>
                <c:pt idx="22">
                  <c:v>1880</c:v>
                </c:pt>
                <c:pt idx="23">
                  <c:v>1881</c:v>
                </c:pt>
                <c:pt idx="24">
                  <c:v>1882</c:v>
                </c:pt>
                <c:pt idx="25">
                  <c:v>1883</c:v>
                </c:pt>
                <c:pt idx="26">
                  <c:v>1884</c:v>
                </c:pt>
                <c:pt idx="27">
                  <c:v>1885</c:v>
                </c:pt>
                <c:pt idx="28">
                  <c:v>1886</c:v>
                </c:pt>
                <c:pt idx="29">
                  <c:v>1887</c:v>
                </c:pt>
                <c:pt idx="30">
                  <c:v>1888</c:v>
                </c:pt>
                <c:pt idx="31">
                  <c:v>1889</c:v>
                </c:pt>
                <c:pt idx="32">
                  <c:v>1890</c:v>
                </c:pt>
                <c:pt idx="33">
                  <c:v>1891</c:v>
                </c:pt>
                <c:pt idx="34">
                  <c:v>1892</c:v>
                </c:pt>
                <c:pt idx="35">
                  <c:v>1893</c:v>
                </c:pt>
                <c:pt idx="36">
                  <c:v>1894</c:v>
                </c:pt>
                <c:pt idx="37">
                  <c:v>1895</c:v>
                </c:pt>
                <c:pt idx="38">
                  <c:v>1896</c:v>
                </c:pt>
                <c:pt idx="39">
                  <c:v>1897</c:v>
                </c:pt>
                <c:pt idx="40">
                  <c:v>1898</c:v>
                </c:pt>
                <c:pt idx="41">
                  <c:v>1899</c:v>
                </c:pt>
                <c:pt idx="42">
                  <c:v>1900</c:v>
                </c:pt>
                <c:pt idx="43">
                  <c:v>1901</c:v>
                </c:pt>
                <c:pt idx="44">
                  <c:v>1902</c:v>
                </c:pt>
                <c:pt idx="45">
                  <c:v>1903</c:v>
                </c:pt>
                <c:pt idx="46">
                  <c:v>1904</c:v>
                </c:pt>
                <c:pt idx="47">
                  <c:v>1905</c:v>
                </c:pt>
                <c:pt idx="48">
                  <c:v>1906</c:v>
                </c:pt>
                <c:pt idx="49">
                  <c:v>1907</c:v>
                </c:pt>
                <c:pt idx="50">
                  <c:v>1908</c:v>
                </c:pt>
                <c:pt idx="51">
                  <c:v>1909</c:v>
                </c:pt>
                <c:pt idx="52">
                  <c:v>1910</c:v>
                </c:pt>
                <c:pt idx="53">
                  <c:v>1911</c:v>
                </c:pt>
                <c:pt idx="54">
                  <c:v>1912</c:v>
                </c:pt>
                <c:pt idx="55">
                  <c:v>1913</c:v>
                </c:pt>
                <c:pt idx="56">
                  <c:v>1914</c:v>
                </c:pt>
                <c:pt idx="57">
                  <c:v>1915</c:v>
                </c:pt>
                <c:pt idx="58">
                  <c:v>1916</c:v>
                </c:pt>
                <c:pt idx="59">
                  <c:v>1917</c:v>
                </c:pt>
                <c:pt idx="60">
                  <c:v>1918</c:v>
                </c:pt>
                <c:pt idx="61">
                  <c:v>1919</c:v>
                </c:pt>
                <c:pt idx="62">
                  <c:v>1920</c:v>
                </c:pt>
                <c:pt idx="63">
                  <c:v>1921</c:v>
                </c:pt>
                <c:pt idx="64">
                  <c:v>1922</c:v>
                </c:pt>
                <c:pt idx="65">
                  <c:v>1923</c:v>
                </c:pt>
                <c:pt idx="66">
                  <c:v>1924</c:v>
                </c:pt>
                <c:pt idx="67">
                  <c:v>1925</c:v>
                </c:pt>
                <c:pt idx="68">
                  <c:v>1926</c:v>
                </c:pt>
                <c:pt idx="69">
                  <c:v>1927</c:v>
                </c:pt>
                <c:pt idx="70">
                  <c:v>1928</c:v>
                </c:pt>
                <c:pt idx="71">
                  <c:v>1929</c:v>
                </c:pt>
                <c:pt idx="72">
                  <c:v>1930</c:v>
                </c:pt>
                <c:pt idx="73">
                  <c:v>1931</c:v>
                </c:pt>
                <c:pt idx="74">
                  <c:v>1932</c:v>
                </c:pt>
                <c:pt idx="75">
                  <c:v>1933</c:v>
                </c:pt>
                <c:pt idx="76">
                  <c:v>1934</c:v>
                </c:pt>
                <c:pt idx="77">
                  <c:v>1935</c:v>
                </c:pt>
                <c:pt idx="78">
                  <c:v>1936</c:v>
                </c:pt>
                <c:pt idx="79">
                  <c:v>1937</c:v>
                </c:pt>
                <c:pt idx="80">
                  <c:v>1938</c:v>
                </c:pt>
                <c:pt idx="81">
                  <c:v>1939</c:v>
                </c:pt>
                <c:pt idx="82">
                  <c:v>1940</c:v>
                </c:pt>
                <c:pt idx="83">
                  <c:v>1941</c:v>
                </c:pt>
                <c:pt idx="84">
                  <c:v>1942</c:v>
                </c:pt>
                <c:pt idx="85">
                  <c:v>1943</c:v>
                </c:pt>
                <c:pt idx="86">
                  <c:v>1944</c:v>
                </c:pt>
                <c:pt idx="87">
                  <c:v>1945</c:v>
                </c:pt>
                <c:pt idx="88">
                  <c:v>1946</c:v>
                </c:pt>
                <c:pt idx="89">
                  <c:v>1947</c:v>
                </c:pt>
                <c:pt idx="90">
                  <c:v>1948</c:v>
                </c:pt>
                <c:pt idx="91">
                  <c:v>1949</c:v>
                </c:pt>
                <c:pt idx="92">
                  <c:v>1950</c:v>
                </c:pt>
                <c:pt idx="93">
                  <c:v>1951</c:v>
                </c:pt>
                <c:pt idx="94">
                  <c:v>1952</c:v>
                </c:pt>
                <c:pt idx="95">
                  <c:v>1953</c:v>
                </c:pt>
                <c:pt idx="96">
                  <c:v>1954</c:v>
                </c:pt>
                <c:pt idx="97">
                  <c:v>1955</c:v>
                </c:pt>
                <c:pt idx="98">
                  <c:v>1956</c:v>
                </c:pt>
                <c:pt idx="99">
                  <c:v>1957</c:v>
                </c:pt>
                <c:pt idx="100">
                  <c:v>1958</c:v>
                </c:pt>
                <c:pt idx="101">
                  <c:v>1959</c:v>
                </c:pt>
                <c:pt idx="102">
                  <c:v>1960</c:v>
                </c:pt>
                <c:pt idx="103">
                  <c:v>1961</c:v>
                </c:pt>
                <c:pt idx="104">
                  <c:v>1962</c:v>
                </c:pt>
                <c:pt idx="105">
                  <c:v>1963</c:v>
                </c:pt>
                <c:pt idx="106">
                  <c:v>1964</c:v>
                </c:pt>
                <c:pt idx="107">
                  <c:v>1965</c:v>
                </c:pt>
                <c:pt idx="108">
                  <c:v>1966</c:v>
                </c:pt>
                <c:pt idx="109">
                  <c:v>1967</c:v>
                </c:pt>
                <c:pt idx="110">
                  <c:v>1968</c:v>
                </c:pt>
                <c:pt idx="111">
                  <c:v>1969</c:v>
                </c:pt>
                <c:pt idx="112">
                  <c:v>1970</c:v>
                </c:pt>
                <c:pt idx="113">
                  <c:v>1971</c:v>
                </c:pt>
                <c:pt idx="114">
                  <c:v>1972</c:v>
                </c:pt>
                <c:pt idx="115">
                  <c:v>1973</c:v>
                </c:pt>
                <c:pt idx="116">
                  <c:v>1974</c:v>
                </c:pt>
                <c:pt idx="117">
                  <c:v>1975</c:v>
                </c:pt>
                <c:pt idx="118">
                  <c:v>1976</c:v>
                </c:pt>
                <c:pt idx="119">
                  <c:v>1977</c:v>
                </c:pt>
                <c:pt idx="120">
                  <c:v>1978</c:v>
                </c:pt>
                <c:pt idx="121">
                  <c:v>1979</c:v>
                </c:pt>
                <c:pt idx="122">
                  <c:v>1980</c:v>
                </c:pt>
                <c:pt idx="123">
                  <c:v>1981</c:v>
                </c:pt>
                <c:pt idx="124">
                  <c:v>1982</c:v>
                </c:pt>
                <c:pt idx="125">
                  <c:v>1983</c:v>
                </c:pt>
                <c:pt idx="126">
                  <c:v>1984</c:v>
                </c:pt>
                <c:pt idx="127">
                  <c:v>1985</c:v>
                </c:pt>
                <c:pt idx="128">
                  <c:v>1986</c:v>
                </c:pt>
                <c:pt idx="129">
                  <c:v>1987</c:v>
                </c:pt>
                <c:pt idx="130">
                  <c:v>1988</c:v>
                </c:pt>
                <c:pt idx="131">
                  <c:v>1989</c:v>
                </c:pt>
                <c:pt idx="132">
                  <c:v>1990</c:v>
                </c:pt>
                <c:pt idx="133">
                  <c:v>1991</c:v>
                </c:pt>
                <c:pt idx="134">
                  <c:v>1992</c:v>
                </c:pt>
                <c:pt idx="135">
                  <c:v>1993</c:v>
                </c:pt>
                <c:pt idx="136">
                  <c:v>1994</c:v>
                </c:pt>
                <c:pt idx="137">
                  <c:v>1995</c:v>
                </c:pt>
                <c:pt idx="138">
                  <c:v>1996</c:v>
                </c:pt>
                <c:pt idx="139">
                  <c:v>1997</c:v>
                </c:pt>
                <c:pt idx="140">
                  <c:v>1998</c:v>
                </c:pt>
                <c:pt idx="141">
                  <c:v>1999</c:v>
                </c:pt>
                <c:pt idx="142">
                  <c:v>2000</c:v>
                </c:pt>
                <c:pt idx="143">
                  <c:v>2001</c:v>
                </c:pt>
                <c:pt idx="144">
                  <c:v>2002</c:v>
                </c:pt>
                <c:pt idx="145">
                  <c:v>2003</c:v>
                </c:pt>
                <c:pt idx="146">
                  <c:v>2004</c:v>
                </c:pt>
                <c:pt idx="147">
                  <c:v>2005</c:v>
                </c:pt>
                <c:pt idx="148">
                  <c:v>2006</c:v>
                </c:pt>
                <c:pt idx="149">
                  <c:v>2007</c:v>
                </c:pt>
                <c:pt idx="150">
                  <c:v>2008</c:v>
                </c:pt>
                <c:pt idx="151">
                  <c:v>2009</c:v>
                </c:pt>
                <c:pt idx="152">
                  <c:v>2010</c:v>
                </c:pt>
                <c:pt idx="153">
                  <c:v>2011</c:v>
                </c:pt>
                <c:pt idx="154">
                  <c:v>2012</c:v>
                </c:pt>
                <c:pt idx="155">
                  <c:v>2013</c:v>
                </c:pt>
                <c:pt idx="156">
                  <c:v>2014</c:v>
                </c:pt>
                <c:pt idx="157">
                  <c:v>2015</c:v>
                </c:pt>
                <c:pt idx="158">
                  <c:v>2016</c:v>
                </c:pt>
                <c:pt idx="159">
                  <c:v>2017</c:v>
                </c:pt>
                <c:pt idx="160">
                  <c:v>2018</c:v>
                </c:pt>
                <c:pt idx="161">
                  <c:v>2019</c:v>
                </c:pt>
                <c:pt idx="162">
                  <c:v>2020</c:v>
                </c:pt>
                <c:pt idx="163">
                  <c:v>2021</c:v>
                </c:pt>
                <c:pt idx="164">
                  <c:v>2022</c:v>
                </c:pt>
                <c:pt idx="165">
                  <c:v>2023</c:v>
                </c:pt>
                <c:pt idx="166">
                  <c:v>2024</c:v>
                </c:pt>
                <c:pt idx="167">
                  <c:v>2025</c:v>
                </c:pt>
                <c:pt idx="168">
                  <c:v>2026</c:v>
                </c:pt>
                <c:pt idx="169">
                  <c:v>2027</c:v>
                </c:pt>
                <c:pt idx="170">
                  <c:v>2028</c:v>
                </c:pt>
                <c:pt idx="171">
                  <c:v>2029</c:v>
                </c:pt>
                <c:pt idx="172">
                  <c:v>2030</c:v>
                </c:pt>
                <c:pt idx="173">
                  <c:v>2031</c:v>
                </c:pt>
                <c:pt idx="174">
                  <c:v>2032</c:v>
                </c:pt>
                <c:pt idx="175">
                  <c:v>2033</c:v>
                </c:pt>
                <c:pt idx="176">
                  <c:v>2034</c:v>
                </c:pt>
                <c:pt idx="177">
                  <c:v>2035</c:v>
                </c:pt>
                <c:pt idx="178">
                  <c:v>2036</c:v>
                </c:pt>
                <c:pt idx="179">
                  <c:v>2037</c:v>
                </c:pt>
                <c:pt idx="180">
                  <c:v>2038</c:v>
                </c:pt>
                <c:pt idx="181">
                  <c:v>2039</c:v>
                </c:pt>
                <c:pt idx="182">
                  <c:v>2040</c:v>
                </c:pt>
                <c:pt idx="183">
                  <c:v>2041</c:v>
                </c:pt>
                <c:pt idx="184">
                  <c:v>2042</c:v>
                </c:pt>
                <c:pt idx="185">
                  <c:v>2043</c:v>
                </c:pt>
                <c:pt idx="186">
                  <c:v>2044</c:v>
                </c:pt>
                <c:pt idx="187">
                  <c:v>2045</c:v>
                </c:pt>
                <c:pt idx="188">
                  <c:v>2046</c:v>
                </c:pt>
                <c:pt idx="189">
                  <c:v>2047</c:v>
                </c:pt>
                <c:pt idx="190">
                  <c:v>2048</c:v>
                </c:pt>
                <c:pt idx="191">
                  <c:v>2049</c:v>
                </c:pt>
                <c:pt idx="192">
                  <c:v>2050</c:v>
                </c:pt>
                <c:pt idx="193">
                  <c:v>2051</c:v>
                </c:pt>
                <c:pt idx="194">
                  <c:v>2052</c:v>
                </c:pt>
                <c:pt idx="195">
                  <c:v>2053</c:v>
                </c:pt>
                <c:pt idx="196">
                  <c:v>2054</c:v>
                </c:pt>
                <c:pt idx="197">
                  <c:v>2055</c:v>
                </c:pt>
                <c:pt idx="198">
                  <c:v>2056</c:v>
                </c:pt>
                <c:pt idx="199">
                  <c:v>2057</c:v>
                </c:pt>
                <c:pt idx="200">
                  <c:v>2058</c:v>
                </c:pt>
                <c:pt idx="201">
                  <c:v>2059</c:v>
                </c:pt>
                <c:pt idx="202">
                  <c:v>2060</c:v>
                </c:pt>
                <c:pt idx="203">
                  <c:v>2061</c:v>
                </c:pt>
                <c:pt idx="204">
                  <c:v>2062</c:v>
                </c:pt>
                <c:pt idx="205">
                  <c:v>2063</c:v>
                </c:pt>
                <c:pt idx="206">
                  <c:v>2064</c:v>
                </c:pt>
                <c:pt idx="207">
                  <c:v>2065</c:v>
                </c:pt>
                <c:pt idx="208">
                  <c:v>2066</c:v>
                </c:pt>
                <c:pt idx="209">
                  <c:v>2067</c:v>
                </c:pt>
                <c:pt idx="210">
                  <c:v>2068</c:v>
                </c:pt>
                <c:pt idx="211">
                  <c:v>2069</c:v>
                </c:pt>
                <c:pt idx="212">
                  <c:v>2070</c:v>
                </c:pt>
                <c:pt idx="213">
                  <c:v>2071</c:v>
                </c:pt>
                <c:pt idx="214">
                  <c:v>2072</c:v>
                </c:pt>
                <c:pt idx="215">
                  <c:v>2073</c:v>
                </c:pt>
                <c:pt idx="216">
                  <c:v>2074</c:v>
                </c:pt>
                <c:pt idx="217">
                  <c:v>2075</c:v>
                </c:pt>
                <c:pt idx="218">
                  <c:v>2076</c:v>
                </c:pt>
                <c:pt idx="219">
                  <c:v>2077</c:v>
                </c:pt>
                <c:pt idx="220">
                  <c:v>2078</c:v>
                </c:pt>
                <c:pt idx="221">
                  <c:v>2079</c:v>
                </c:pt>
                <c:pt idx="222">
                  <c:v>2080</c:v>
                </c:pt>
                <c:pt idx="223">
                  <c:v>2081</c:v>
                </c:pt>
                <c:pt idx="224">
                  <c:v>2082</c:v>
                </c:pt>
                <c:pt idx="225">
                  <c:v>2083</c:v>
                </c:pt>
                <c:pt idx="226">
                  <c:v>2084</c:v>
                </c:pt>
                <c:pt idx="227">
                  <c:v>2085</c:v>
                </c:pt>
                <c:pt idx="228">
                  <c:v>2086</c:v>
                </c:pt>
                <c:pt idx="229">
                  <c:v>2087</c:v>
                </c:pt>
                <c:pt idx="230">
                  <c:v>2088</c:v>
                </c:pt>
                <c:pt idx="231">
                  <c:v>2089</c:v>
                </c:pt>
                <c:pt idx="232">
                  <c:v>2090</c:v>
                </c:pt>
                <c:pt idx="233">
                  <c:v>2091</c:v>
                </c:pt>
                <c:pt idx="234">
                  <c:v>2092</c:v>
                </c:pt>
                <c:pt idx="235">
                  <c:v>2093</c:v>
                </c:pt>
                <c:pt idx="236">
                  <c:v>2094</c:v>
                </c:pt>
                <c:pt idx="237">
                  <c:v>2095</c:v>
                </c:pt>
                <c:pt idx="238">
                  <c:v>2096</c:v>
                </c:pt>
                <c:pt idx="239">
                  <c:v>2097</c:v>
                </c:pt>
                <c:pt idx="240">
                  <c:v>2098</c:v>
                </c:pt>
                <c:pt idx="241">
                  <c:v>2099</c:v>
                </c:pt>
                <c:pt idx="242">
                  <c:v>2100</c:v>
                </c:pt>
                <c:pt idx="243">
                  <c:v>2101</c:v>
                </c:pt>
                <c:pt idx="244">
                  <c:v>2102</c:v>
                </c:pt>
                <c:pt idx="245">
                  <c:v>2103</c:v>
                </c:pt>
              </c:numCache>
            </c:numRef>
          </c:xVal>
          <c:yVal>
            <c:numRef>
              <c:f>Canada!$F$14:$F$259</c:f>
              <c:numCache>
                <c:formatCode>0.0</c:formatCode>
                <c:ptCount val="246"/>
                <c:pt idx="0">
                  <c:v>2.2800000000000001E-4</c:v>
                </c:pt>
                <c:pt idx="1">
                  <c:v>4.9400000000000008E-4</c:v>
                </c:pt>
                <c:pt idx="2">
                  <c:v>8.0800000000000012E-4</c:v>
                </c:pt>
                <c:pt idx="3">
                  <c:v>1.1380000000000001E-3</c:v>
                </c:pt>
                <c:pt idx="4">
                  <c:v>1.5420000000000002E-3</c:v>
                </c:pt>
                <c:pt idx="5">
                  <c:v>1.9780000000000002E-3</c:v>
                </c:pt>
                <c:pt idx="6">
                  <c:v>2.379E-3</c:v>
                </c:pt>
                <c:pt idx="7">
                  <c:v>3.1640000000000001E-3</c:v>
                </c:pt>
                <c:pt idx="8">
                  <c:v>3.8425E-3</c:v>
                </c:pt>
                <c:pt idx="9">
                  <c:v>4.4145E-3</c:v>
                </c:pt>
                <c:pt idx="10">
                  <c:v>4.9794999999999996E-3</c:v>
                </c:pt>
                <c:pt idx="11">
                  <c:v>5.6034999999999991E-3</c:v>
                </c:pt>
                <c:pt idx="12">
                  <c:v>6.2864999999999987E-3</c:v>
                </c:pt>
                <c:pt idx="13">
                  <c:v>7.203499999999999E-3</c:v>
                </c:pt>
                <c:pt idx="14">
                  <c:v>8.1204999999999992E-3</c:v>
                </c:pt>
                <c:pt idx="15">
                  <c:v>9.0374999999999987E-3</c:v>
                </c:pt>
                <c:pt idx="16">
                  <c:v>1.0002499999999999E-2</c:v>
                </c:pt>
                <c:pt idx="17">
                  <c:v>1.09365E-2</c:v>
                </c:pt>
                <c:pt idx="18">
                  <c:v>1.1839499999999999E-2</c:v>
                </c:pt>
                <c:pt idx="19">
                  <c:v>1.27805E-2</c:v>
                </c:pt>
                <c:pt idx="20">
                  <c:v>1.37695E-2</c:v>
                </c:pt>
                <c:pt idx="21">
                  <c:v>1.47905E-2</c:v>
                </c:pt>
                <c:pt idx="22">
                  <c:v>1.6135500000000001E-2</c:v>
                </c:pt>
                <c:pt idx="23">
                  <c:v>1.75295E-2</c:v>
                </c:pt>
                <c:pt idx="24">
                  <c:v>1.92055E-2</c:v>
                </c:pt>
                <c:pt idx="25">
                  <c:v>2.0855499999999999E-2</c:v>
                </c:pt>
                <c:pt idx="26">
                  <c:v>2.26565E-2</c:v>
                </c:pt>
                <c:pt idx="27">
                  <c:v>2.4399500000000001E-2</c:v>
                </c:pt>
                <c:pt idx="28">
                  <c:v>2.63205E-2</c:v>
                </c:pt>
                <c:pt idx="29">
                  <c:v>2.8524500000000001E-2</c:v>
                </c:pt>
                <c:pt idx="30">
                  <c:v>3.0885500000000003E-2</c:v>
                </c:pt>
                <c:pt idx="31">
                  <c:v>3.3296500000000007E-2</c:v>
                </c:pt>
                <c:pt idx="32">
                  <c:v>3.609550000000001E-2</c:v>
                </c:pt>
                <c:pt idx="33">
                  <c:v>3.9341500000000008E-2</c:v>
                </c:pt>
                <c:pt idx="34">
                  <c:v>4.2324500000000008E-2</c:v>
                </c:pt>
                <c:pt idx="35">
                  <c:v>4.5756500000000006E-2</c:v>
                </c:pt>
                <c:pt idx="36">
                  <c:v>4.9246500000000006E-2</c:v>
                </c:pt>
                <c:pt idx="37">
                  <c:v>5.2401500000000004E-2</c:v>
                </c:pt>
                <c:pt idx="38">
                  <c:v>5.5799500000000002E-2</c:v>
                </c:pt>
                <c:pt idx="39">
                  <c:v>5.9234500000000002E-2</c:v>
                </c:pt>
                <c:pt idx="40">
                  <c:v>6.3020500000000007E-2</c:v>
                </c:pt>
                <c:pt idx="41">
                  <c:v>6.7488500000000007E-2</c:v>
                </c:pt>
                <c:pt idx="42">
                  <c:v>7.2729500000000002E-2</c:v>
                </c:pt>
                <c:pt idx="43">
                  <c:v>7.8613500000000003E-2</c:v>
                </c:pt>
                <c:pt idx="44">
                  <c:v>8.5387500000000005E-2</c:v>
                </c:pt>
                <c:pt idx="45">
                  <c:v>9.260850000000001E-2</c:v>
                </c:pt>
                <c:pt idx="46">
                  <c:v>0.10009750000000001</c:v>
                </c:pt>
                <c:pt idx="47">
                  <c:v>0.1079605</c:v>
                </c:pt>
                <c:pt idx="48">
                  <c:v>0.1168175</c:v>
                </c:pt>
                <c:pt idx="49">
                  <c:v>0.12635250000000001</c:v>
                </c:pt>
                <c:pt idx="50">
                  <c:v>0.1362285</c:v>
                </c:pt>
                <c:pt idx="51">
                  <c:v>0.14575450000000001</c:v>
                </c:pt>
                <c:pt idx="52">
                  <c:v>0.15746550000000001</c:v>
                </c:pt>
                <c:pt idx="53">
                  <c:v>0.16773750000000001</c:v>
                </c:pt>
                <c:pt idx="54">
                  <c:v>0.18090350000000002</c:v>
                </c:pt>
                <c:pt idx="55">
                  <c:v>0.19452250000000001</c:v>
                </c:pt>
                <c:pt idx="56">
                  <c:v>0.20689450000000001</c:v>
                </c:pt>
                <c:pt idx="57">
                  <c:v>0.2189305</c:v>
                </c:pt>
                <c:pt idx="58">
                  <c:v>0.23206950000000001</c:v>
                </c:pt>
                <c:pt idx="59">
                  <c:v>0.24481250000000002</c:v>
                </c:pt>
                <c:pt idx="60">
                  <c:v>0.25840050000000003</c:v>
                </c:pt>
                <c:pt idx="61">
                  <c:v>0.27102750000000003</c:v>
                </c:pt>
                <c:pt idx="62">
                  <c:v>0.28640150000000003</c:v>
                </c:pt>
                <c:pt idx="63">
                  <c:v>0.30006150000000004</c:v>
                </c:pt>
                <c:pt idx="64">
                  <c:v>0.31381250000000005</c:v>
                </c:pt>
                <c:pt idx="65">
                  <c:v>0.32922650000000003</c:v>
                </c:pt>
                <c:pt idx="66">
                  <c:v>0.34159850000000003</c:v>
                </c:pt>
                <c:pt idx="67">
                  <c:v>0.35351450000000001</c:v>
                </c:pt>
                <c:pt idx="68">
                  <c:v>0.3684135</c:v>
                </c:pt>
                <c:pt idx="69">
                  <c:v>0.3842235</c:v>
                </c:pt>
                <c:pt idx="70">
                  <c:v>0.40015849999999997</c:v>
                </c:pt>
                <c:pt idx="71">
                  <c:v>0.4160295</c:v>
                </c:pt>
                <c:pt idx="72">
                  <c:v>0.42952849999999998</c:v>
                </c:pt>
                <c:pt idx="73">
                  <c:v>0.44063549999999996</c:v>
                </c:pt>
                <c:pt idx="74">
                  <c:v>0.45128449999999998</c:v>
                </c:pt>
                <c:pt idx="75">
                  <c:v>0.46208349999999998</c:v>
                </c:pt>
                <c:pt idx="76">
                  <c:v>0.47461249999999999</c:v>
                </c:pt>
                <c:pt idx="77">
                  <c:v>0.48721150000000002</c:v>
                </c:pt>
                <c:pt idx="78">
                  <c:v>0.50102750000000007</c:v>
                </c:pt>
                <c:pt idx="79">
                  <c:v>0.51539350000000006</c:v>
                </c:pt>
                <c:pt idx="80">
                  <c:v>0.52836150000000004</c:v>
                </c:pt>
                <c:pt idx="81">
                  <c:v>0.54259750000000007</c:v>
                </c:pt>
                <c:pt idx="82">
                  <c:v>0.55853350000000002</c:v>
                </c:pt>
                <c:pt idx="83">
                  <c:v>0.57506750000000006</c:v>
                </c:pt>
                <c:pt idx="84">
                  <c:v>0.59218250000000006</c:v>
                </c:pt>
                <c:pt idx="85">
                  <c:v>0.60838350000000008</c:v>
                </c:pt>
                <c:pt idx="86">
                  <c:v>0.62382950000000004</c:v>
                </c:pt>
                <c:pt idx="87">
                  <c:v>0.6388045</c:v>
                </c:pt>
                <c:pt idx="88">
                  <c:v>0.6549625</c:v>
                </c:pt>
                <c:pt idx="89">
                  <c:v>0.66935849999999997</c:v>
                </c:pt>
                <c:pt idx="90">
                  <c:v>0.6860965</c:v>
                </c:pt>
                <c:pt idx="91">
                  <c:v>0.70344249999999997</c:v>
                </c:pt>
                <c:pt idx="92">
                  <c:v>0.72080549999999999</c:v>
                </c:pt>
                <c:pt idx="93">
                  <c:v>0.73766750000000003</c:v>
                </c:pt>
                <c:pt idx="94">
                  <c:v>0.75361549999999999</c:v>
                </c:pt>
                <c:pt idx="95">
                  <c:v>0.76804050000000001</c:v>
                </c:pt>
                <c:pt idx="96">
                  <c:v>0.78157050000000006</c:v>
                </c:pt>
                <c:pt idx="97">
                  <c:v>0.79501350000000004</c:v>
                </c:pt>
                <c:pt idx="98">
                  <c:v>0.80854550000000003</c:v>
                </c:pt>
                <c:pt idx="99">
                  <c:v>0.82051150000000006</c:v>
                </c:pt>
                <c:pt idx="100">
                  <c:v>0.83111350000000006</c:v>
                </c:pt>
                <c:pt idx="101">
                  <c:v>0.84075450000000007</c:v>
                </c:pt>
                <c:pt idx="102">
                  <c:v>0.8507435000000001</c:v>
                </c:pt>
                <c:pt idx="103">
                  <c:v>0.86017650000000012</c:v>
                </c:pt>
                <c:pt idx="104">
                  <c:v>0.86950650000000007</c:v>
                </c:pt>
                <c:pt idx="105">
                  <c:v>0.87910050000000006</c:v>
                </c:pt>
                <c:pt idx="106">
                  <c:v>0.88936950000000004</c:v>
                </c:pt>
                <c:pt idx="107">
                  <c:v>0.89988250000000003</c:v>
                </c:pt>
                <c:pt idx="108">
                  <c:v>0.91021649999999998</c:v>
                </c:pt>
                <c:pt idx="109">
                  <c:v>0.92032449999999999</c:v>
                </c:pt>
                <c:pt idx="110">
                  <c:v>0.9302935</c:v>
                </c:pt>
                <c:pt idx="111">
                  <c:v>0.93997450000000005</c:v>
                </c:pt>
                <c:pt idx="112">
                  <c:v>0.95503750000000009</c:v>
                </c:pt>
                <c:pt idx="113">
                  <c:v>0.97175950000000011</c:v>
                </c:pt>
                <c:pt idx="114">
                  <c:v>0.99054750000000014</c:v>
                </c:pt>
                <c:pt idx="115">
                  <c:v>1.0071655000000002</c:v>
                </c:pt>
                <c:pt idx="116">
                  <c:v>1.0249495000000002</c:v>
                </c:pt>
                <c:pt idx="117">
                  <c:v>1.0502075000000002</c:v>
                </c:pt>
                <c:pt idx="118">
                  <c:v>1.0756825000000001</c:v>
                </c:pt>
                <c:pt idx="119">
                  <c:v>1.1042025000000002</c:v>
                </c:pt>
                <c:pt idx="120">
                  <c:v>1.1346865000000002</c:v>
                </c:pt>
                <c:pt idx="121">
                  <c:v>1.1678835000000001</c:v>
                </c:pt>
                <c:pt idx="122">
                  <c:v>1.2045705</c:v>
                </c:pt>
                <c:pt idx="123">
                  <c:v>1.2446705</c:v>
                </c:pt>
                <c:pt idx="124">
                  <c:v>1.2874705</c:v>
                </c:pt>
                <c:pt idx="125">
                  <c:v>1.3322505</c:v>
                </c:pt>
                <c:pt idx="126">
                  <c:v>1.3896504999999999</c:v>
                </c:pt>
                <c:pt idx="127">
                  <c:v>1.4503904999999999</c:v>
                </c:pt>
                <c:pt idx="128">
                  <c:v>1.5082004999999998</c:v>
                </c:pt>
                <c:pt idx="129">
                  <c:v>1.5694104999999998</c:v>
                </c:pt>
                <c:pt idx="130">
                  <c:v>1.6400604999999999</c:v>
                </c:pt>
                <c:pt idx="131">
                  <c:v>1.7105705</c:v>
                </c:pt>
                <c:pt idx="132">
                  <c:v>1.7789305</c:v>
                </c:pt>
                <c:pt idx="133">
                  <c:v>1.8500646999999999</c:v>
                </c:pt>
                <c:pt idx="134">
                  <c:v>1.9156780999999998</c:v>
                </c:pt>
                <c:pt idx="135">
                  <c:v>1.9847074999999998</c:v>
                </c:pt>
                <c:pt idx="136">
                  <c:v>2.0575307999999999</c:v>
                </c:pt>
                <c:pt idx="137">
                  <c:v>2.132511</c:v>
                </c:pt>
                <c:pt idx="138">
                  <c:v>2.2083642999999999</c:v>
                </c:pt>
                <c:pt idx="139">
                  <c:v>2.2870377</c:v>
                </c:pt>
                <c:pt idx="140">
                  <c:v>2.3621756999999999</c:v>
                </c:pt>
                <c:pt idx="141">
                  <c:v>2.4346549999999998</c:v>
                </c:pt>
                <c:pt idx="142">
                  <c:v>2.5038180999999997</c:v>
                </c:pt>
                <c:pt idx="143">
                  <c:v>2.5741735999999995</c:v>
                </c:pt>
                <c:pt idx="144">
                  <c:v>2.6407812999999996</c:v>
                </c:pt>
                <c:pt idx="145">
                  <c:v>2.7029070999999996</c:v>
                </c:pt>
                <c:pt idx="146">
                  <c:v>2.7689043999999994</c:v>
                </c:pt>
                <c:pt idx="147">
                  <c:v>2.8342494999999994</c:v>
                </c:pt>
                <c:pt idx="148">
                  <c:v>2.9002530999999996</c:v>
                </c:pt>
                <c:pt idx="149">
                  <c:v>2.9696180999999995</c:v>
                </c:pt>
                <c:pt idx="150">
                  <c:v>3.0373674999999993</c:v>
                </c:pt>
                <c:pt idx="151">
                  <c:v>3.1003024999999993</c:v>
                </c:pt>
              </c:numCache>
            </c:numRef>
          </c:yVal>
          <c:smooth val="1"/>
          <c:extLst>
            <c:ext xmlns:c16="http://schemas.microsoft.com/office/drawing/2014/chart" uri="{C3380CC4-5D6E-409C-BE32-E72D297353CC}">
              <c16:uniqueId val="{00000000-43BE-8342-AF9E-BB58C5AFE9C5}"/>
            </c:ext>
          </c:extLst>
        </c:ser>
        <c:ser>
          <c:idx val="2"/>
          <c:order val="1"/>
          <c:tx>
            <c:strRef>
              <c:f>Canada!$J$12</c:f>
              <c:strCache>
                <c:ptCount val="1"/>
                <c:pt idx="0">
                  <c:v>q l</c:v>
                </c:pt>
              </c:strCache>
            </c:strRef>
          </c:tx>
          <c:spPr>
            <a:ln w="15875">
              <a:solidFill>
                <a:srgbClr val="808080"/>
              </a:solidFill>
              <a:prstDash val="dash"/>
            </a:ln>
          </c:spPr>
          <c:marker>
            <c:symbol val="none"/>
          </c:marker>
          <c:xVal>
            <c:numRef>
              <c:f>Canada!$D$14:$D$198</c:f>
              <c:numCache>
                <c:formatCode>General</c:formatCode>
                <c:ptCount val="185"/>
                <c:pt idx="0">
                  <c:v>1858</c:v>
                </c:pt>
                <c:pt idx="1">
                  <c:v>1859</c:v>
                </c:pt>
                <c:pt idx="2">
                  <c:v>1860</c:v>
                </c:pt>
                <c:pt idx="3">
                  <c:v>1861</c:v>
                </c:pt>
                <c:pt idx="4">
                  <c:v>1862</c:v>
                </c:pt>
                <c:pt idx="5">
                  <c:v>1863</c:v>
                </c:pt>
                <c:pt idx="6">
                  <c:v>1864</c:v>
                </c:pt>
                <c:pt idx="7">
                  <c:v>1865</c:v>
                </c:pt>
                <c:pt idx="8">
                  <c:v>1866</c:v>
                </c:pt>
                <c:pt idx="9">
                  <c:v>1867</c:v>
                </c:pt>
                <c:pt idx="10">
                  <c:v>1868</c:v>
                </c:pt>
                <c:pt idx="11">
                  <c:v>1869</c:v>
                </c:pt>
                <c:pt idx="12">
                  <c:v>1870</c:v>
                </c:pt>
                <c:pt idx="13">
                  <c:v>1871</c:v>
                </c:pt>
                <c:pt idx="14">
                  <c:v>1872</c:v>
                </c:pt>
                <c:pt idx="15">
                  <c:v>1873</c:v>
                </c:pt>
                <c:pt idx="16">
                  <c:v>1874</c:v>
                </c:pt>
                <c:pt idx="17">
                  <c:v>1875</c:v>
                </c:pt>
                <c:pt idx="18">
                  <c:v>1876</c:v>
                </c:pt>
                <c:pt idx="19">
                  <c:v>1877</c:v>
                </c:pt>
                <c:pt idx="20">
                  <c:v>1878</c:v>
                </c:pt>
                <c:pt idx="21">
                  <c:v>1879</c:v>
                </c:pt>
                <c:pt idx="22">
                  <c:v>1880</c:v>
                </c:pt>
                <c:pt idx="23">
                  <c:v>1881</c:v>
                </c:pt>
                <c:pt idx="24">
                  <c:v>1882</c:v>
                </c:pt>
                <c:pt idx="25">
                  <c:v>1883</c:v>
                </c:pt>
                <c:pt idx="26">
                  <c:v>1884</c:v>
                </c:pt>
                <c:pt idx="27">
                  <c:v>1885</c:v>
                </c:pt>
                <c:pt idx="28">
                  <c:v>1886</c:v>
                </c:pt>
                <c:pt idx="29">
                  <c:v>1887</c:v>
                </c:pt>
                <c:pt idx="30">
                  <c:v>1888</c:v>
                </c:pt>
                <c:pt idx="31">
                  <c:v>1889</c:v>
                </c:pt>
                <c:pt idx="32">
                  <c:v>1890</c:v>
                </c:pt>
                <c:pt idx="33">
                  <c:v>1891</c:v>
                </c:pt>
                <c:pt idx="34">
                  <c:v>1892</c:v>
                </c:pt>
                <c:pt idx="35">
                  <c:v>1893</c:v>
                </c:pt>
                <c:pt idx="36">
                  <c:v>1894</c:v>
                </c:pt>
                <c:pt idx="37">
                  <c:v>1895</c:v>
                </c:pt>
                <c:pt idx="38">
                  <c:v>1896</c:v>
                </c:pt>
                <c:pt idx="39">
                  <c:v>1897</c:v>
                </c:pt>
                <c:pt idx="40">
                  <c:v>1898</c:v>
                </c:pt>
                <c:pt idx="41">
                  <c:v>1899</c:v>
                </c:pt>
                <c:pt idx="42">
                  <c:v>1900</c:v>
                </c:pt>
                <c:pt idx="43">
                  <c:v>1901</c:v>
                </c:pt>
                <c:pt idx="44">
                  <c:v>1902</c:v>
                </c:pt>
                <c:pt idx="45">
                  <c:v>1903</c:v>
                </c:pt>
                <c:pt idx="46">
                  <c:v>1904</c:v>
                </c:pt>
                <c:pt idx="47">
                  <c:v>1905</c:v>
                </c:pt>
                <c:pt idx="48">
                  <c:v>1906</c:v>
                </c:pt>
                <c:pt idx="49">
                  <c:v>1907</c:v>
                </c:pt>
                <c:pt idx="50">
                  <c:v>1908</c:v>
                </c:pt>
                <c:pt idx="51">
                  <c:v>1909</c:v>
                </c:pt>
                <c:pt idx="52">
                  <c:v>1910</c:v>
                </c:pt>
                <c:pt idx="53">
                  <c:v>1911</c:v>
                </c:pt>
                <c:pt idx="54">
                  <c:v>1912</c:v>
                </c:pt>
                <c:pt idx="55">
                  <c:v>1913</c:v>
                </c:pt>
                <c:pt idx="56">
                  <c:v>1914</c:v>
                </c:pt>
                <c:pt idx="57">
                  <c:v>1915</c:v>
                </c:pt>
                <c:pt idx="58">
                  <c:v>1916</c:v>
                </c:pt>
                <c:pt idx="59">
                  <c:v>1917</c:v>
                </c:pt>
                <c:pt idx="60">
                  <c:v>1918</c:v>
                </c:pt>
                <c:pt idx="61">
                  <c:v>1919</c:v>
                </c:pt>
                <c:pt idx="62">
                  <c:v>1920</c:v>
                </c:pt>
                <c:pt idx="63">
                  <c:v>1921</c:v>
                </c:pt>
                <c:pt idx="64">
                  <c:v>1922</c:v>
                </c:pt>
                <c:pt idx="65">
                  <c:v>1923</c:v>
                </c:pt>
                <c:pt idx="66">
                  <c:v>1924</c:v>
                </c:pt>
                <c:pt idx="67">
                  <c:v>1925</c:v>
                </c:pt>
                <c:pt idx="68">
                  <c:v>1926</c:v>
                </c:pt>
                <c:pt idx="69">
                  <c:v>1927</c:v>
                </c:pt>
                <c:pt idx="70">
                  <c:v>1928</c:v>
                </c:pt>
                <c:pt idx="71">
                  <c:v>1929</c:v>
                </c:pt>
                <c:pt idx="72">
                  <c:v>1930</c:v>
                </c:pt>
                <c:pt idx="73">
                  <c:v>1931</c:v>
                </c:pt>
                <c:pt idx="74">
                  <c:v>1932</c:v>
                </c:pt>
                <c:pt idx="75">
                  <c:v>1933</c:v>
                </c:pt>
                <c:pt idx="76">
                  <c:v>1934</c:v>
                </c:pt>
                <c:pt idx="77">
                  <c:v>1935</c:v>
                </c:pt>
                <c:pt idx="78">
                  <c:v>1936</c:v>
                </c:pt>
                <c:pt idx="79">
                  <c:v>1937</c:v>
                </c:pt>
                <c:pt idx="80">
                  <c:v>1938</c:v>
                </c:pt>
                <c:pt idx="81">
                  <c:v>1939</c:v>
                </c:pt>
                <c:pt idx="82">
                  <c:v>1940</c:v>
                </c:pt>
                <c:pt idx="83">
                  <c:v>1941</c:v>
                </c:pt>
                <c:pt idx="84">
                  <c:v>1942</c:v>
                </c:pt>
                <c:pt idx="85">
                  <c:v>1943</c:v>
                </c:pt>
                <c:pt idx="86">
                  <c:v>1944</c:v>
                </c:pt>
                <c:pt idx="87">
                  <c:v>1945</c:v>
                </c:pt>
                <c:pt idx="88">
                  <c:v>1946</c:v>
                </c:pt>
                <c:pt idx="89">
                  <c:v>1947</c:v>
                </c:pt>
                <c:pt idx="90">
                  <c:v>1948</c:v>
                </c:pt>
                <c:pt idx="91">
                  <c:v>1949</c:v>
                </c:pt>
                <c:pt idx="92">
                  <c:v>1950</c:v>
                </c:pt>
                <c:pt idx="93">
                  <c:v>1951</c:v>
                </c:pt>
                <c:pt idx="94">
                  <c:v>1952</c:v>
                </c:pt>
                <c:pt idx="95">
                  <c:v>1953</c:v>
                </c:pt>
                <c:pt idx="96">
                  <c:v>1954</c:v>
                </c:pt>
                <c:pt idx="97">
                  <c:v>1955</c:v>
                </c:pt>
                <c:pt idx="98">
                  <c:v>1956</c:v>
                </c:pt>
                <c:pt idx="99">
                  <c:v>1957</c:v>
                </c:pt>
                <c:pt idx="100">
                  <c:v>1958</c:v>
                </c:pt>
                <c:pt idx="101">
                  <c:v>1959</c:v>
                </c:pt>
                <c:pt idx="102">
                  <c:v>1960</c:v>
                </c:pt>
                <c:pt idx="103">
                  <c:v>1961</c:v>
                </c:pt>
                <c:pt idx="104">
                  <c:v>1962</c:v>
                </c:pt>
                <c:pt idx="105">
                  <c:v>1963</c:v>
                </c:pt>
                <c:pt idx="106">
                  <c:v>1964</c:v>
                </c:pt>
                <c:pt idx="107">
                  <c:v>1965</c:v>
                </c:pt>
                <c:pt idx="108">
                  <c:v>1966</c:v>
                </c:pt>
                <c:pt idx="109">
                  <c:v>1967</c:v>
                </c:pt>
                <c:pt idx="110">
                  <c:v>1968</c:v>
                </c:pt>
                <c:pt idx="111">
                  <c:v>1969</c:v>
                </c:pt>
                <c:pt idx="112">
                  <c:v>1970</c:v>
                </c:pt>
                <c:pt idx="113">
                  <c:v>1971</c:v>
                </c:pt>
                <c:pt idx="114">
                  <c:v>1972</c:v>
                </c:pt>
                <c:pt idx="115">
                  <c:v>1973</c:v>
                </c:pt>
                <c:pt idx="116">
                  <c:v>1974</c:v>
                </c:pt>
                <c:pt idx="117">
                  <c:v>1975</c:v>
                </c:pt>
                <c:pt idx="118">
                  <c:v>1976</c:v>
                </c:pt>
                <c:pt idx="119">
                  <c:v>1977</c:v>
                </c:pt>
                <c:pt idx="120">
                  <c:v>1978</c:v>
                </c:pt>
                <c:pt idx="121">
                  <c:v>1979</c:v>
                </c:pt>
                <c:pt idx="122">
                  <c:v>1980</c:v>
                </c:pt>
                <c:pt idx="123">
                  <c:v>1981</c:v>
                </c:pt>
                <c:pt idx="124">
                  <c:v>1982</c:v>
                </c:pt>
                <c:pt idx="125">
                  <c:v>1983</c:v>
                </c:pt>
                <c:pt idx="126">
                  <c:v>1984</c:v>
                </c:pt>
                <c:pt idx="127">
                  <c:v>1985</c:v>
                </c:pt>
                <c:pt idx="128">
                  <c:v>1986</c:v>
                </c:pt>
                <c:pt idx="129">
                  <c:v>1987</c:v>
                </c:pt>
                <c:pt idx="130">
                  <c:v>1988</c:v>
                </c:pt>
                <c:pt idx="131">
                  <c:v>1989</c:v>
                </c:pt>
                <c:pt idx="132">
                  <c:v>1990</c:v>
                </c:pt>
                <c:pt idx="133">
                  <c:v>1991</c:v>
                </c:pt>
                <c:pt idx="134">
                  <c:v>1992</c:v>
                </c:pt>
                <c:pt idx="135">
                  <c:v>1993</c:v>
                </c:pt>
                <c:pt idx="136">
                  <c:v>1994</c:v>
                </c:pt>
                <c:pt idx="137">
                  <c:v>1995</c:v>
                </c:pt>
                <c:pt idx="138">
                  <c:v>1996</c:v>
                </c:pt>
                <c:pt idx="139">
                  <c:v>1997</c:v>
                </c:pt>
                <c:pt idx="140">
                  <c:v>1998</c:v>
                </c:pt>
                <c:pt idx="141">
                  <c:v>1999</c:v>
                </c:pt>
                <c:pt idx="142">
                  <c:v>2000</c:v>
                </c:pt>
                <c:pt idx="143">
                  <c:v>2001</c:v>
                </c:pt>
                <c:pt idx="144">
                  <c:v>2002</c:v>
                </c:pt>
                <c:pt idx="145">
                  <c:v>2003</c:v>
                </c:pt>
                <c:pt idx="146">
                  <c:v>2004</c:v>
                </c:pt>
                <c:pt idx="147">
                  <c:v>2005</c:v>
                </c:pt>
                <c:pt idx="148">
                  <c:v>2006</c:v>
                </c:pt>
                <c:pt idx="149">
                  <c:v>2007</c:v>
                </c:pt>
                <c:pt idx="150">
                  <c:v>2008</c:v>
                </c:pt>
                <c:pt idx="151">
                  <c:v>2009</c:v>
                </c:pt>
                <c:pt idx="152">
                  <c:v>2010</c:v>
                </c:pt>
                <c:pt idx="153">
                  <c:v>2011</c:v>
                </c:pt>
                <c:pt idx="154">
                  <c:v>2012</c:v>
                </c:pt>
                <c:pt idx="155">
                  <c:v>2013</c:v>
                </c:pt>
                <c:pt idx="156">
                  <c:v>2014</c:v>
                </c:pt>
                <c:pt idx="157">
                  <c:v>2015</c:v>
                </c:pt>
                <c:pt idx="158">
                  <c:v>2016</c:v>
                </c:pt>
                <c:pt idx="159">
                  <c:v>2017</c:v>
                </c:pt>
                <c:pt idx="160">
                  <c:v>2018</c:v>
                </c:pt>
                <c:pt idx="161">
                  <c:v>2019</c:v>
                </c:pt>
                <c:pt idx="162">
                  <c:v>2020</c:v>
                </c:pt>
                <c:pt idx="163">
                  <c:v>2021</c:v>
                </c:pt>
                <c:pt idx="164">
                  <c:v>2022</c:v>
                </c:pt>
                <c:pt idx="165">
                  <c:v>2023</c:v>
                </c:pt>
                <c:pt idx="166">
                  <c:v>2024</c:v>
                </c:pt>
                <c:pt idx="167">
                  <c:v>2025</c:v>
                </c:pt>
                <c:pt idx="168">
                  <c:v>2026</c:v>
                </c:pt>
                <c:pt idx="169">
                  <c:v>2027</c:v>
                </c:pt>
                <c:pt idx="170">
                  <c:v>2028</c:v>
                </c:pt>
                <c:pt idx="171">
                  <c:v>2029</c:v>
                </c:pt>
                <c:pt idx="172">
                  <c:v>2030</c:v>
                </c:pt>
                <c:pt idx="173">
                  <c:v>2031</c:v>
                </c:pt>
                <c:pt idx="174">
                  <c:v>2032</c:v>
                </c:pt>
                <c:pt idx="175">
                  <c:v>2033</c:v>
                </c:pt>
                <c:pt idx="176">
                  <c:v>2034</c:v>
                </c:pt>
                <c:pt idx="177">
                  <c:v>2035</c:v>
                </c:pt>
                <c:pt idx="178">
                  <c:v>2036</c:v>
                </c:pt>
                <c:pt idx="179">
                  <c:v>2037</c:v>
                </c:pt>
                <c:pt idx="180">
                  <c:v>2038</c:v>
                </c:pt>
                <c:pt idx="181">
                  <c:v>2039</c:v>
                </c:pt>
                <c:pt idx="182">
                  <c:v>2040</c:v>
                </c:pt>
                <c:pt idx="183">
                  <c:v>2041</c:v>
                </c:pt>
                <c:pt idx="184">
                  <c:v>2042</c:v>
                </c:pt>
              </c:numCache>
            </c:numRef>
          </c:xVal>
          <c:yVal>
            <c:numRef>
              <c:f>Canada!$J$14:$J$198</c:f>
              <c:numCache>
                <c:formatCode>0.0</c:formatCode>
                <c:ptCount val="185"/>
                <c:pt idx="125">
                  <c:v>1.3237681620825508</c:v>
                </c:pt>
                <c:pt idx="126">
                  <c:v>1.3849705544734408</c:v>
                </c:pt>
                <c:pt idx="127">
                  <c:v>1.4476895217287333</c:v>
                </c:pt>
                <c:pt idx="128">
                  <c:v>1.5118448271740066</c:v>
                </c:pt>
                <c:pt idx="129">
                  <c:v>1.5773463208058993</c:v>
                </c:pt>
                <c:pt idx="130">
                  <c:v>1.6440942338401761</c:v>
                </c:pt>
                <c:pt idx="131">
                  <c:v>1.711979608951693</c:v>
                </c:pt>
                <c:pt idx="132">
                  <c:v>1.7808848663714665</c:v>
                </c:pt>
                <c:pt idx="133">
                  <c:v>1.8506845027965171</c:v>
                </c:pt>
                <c:pt idx="134">
                  <c:v>1.9212459167384253</c:v>
                </c:pt>
                <c:pt idx="135">
                  <c:v>1.9924303506059493</c:v>
                </c:pt>
                <c:pt idx="136">
                  <c:v>2.0640939366136251</c:v>
                </c:pt>
                <c:pt idx="137">
                  <c:v>2.1360888306621679</c:v>
                </c:pt>
                <c:pt idx="138">
                  <c:v>2.2082644157726214</c:v>
                </c:pt>
                <c:pt idx="139">
                  <c:v>2.2804685545870806</c:v>
                </c:pt>
                <c:pt idx="140">
                  <c:v>2.3525488689675145</c:v>
                </c:pt>
                <c:pt idx="141">
                  <c:v>2.4243540238986752</c:v>
                </c:pt>
                <c:pt idx="142">
                  <c:v>2.4957349927694379</c:v>
                </c:pt>
                <c:pt idx="143">
                  <c:v>2.5665462816753997</c:v>
                </c:pt>
                <c:pt idx="144">
                  <c:v>2.6366470916277169</c:v>
                </c:pt>
                <c:pt idx="145">
                  <c:v>2.7059023994117815</c:v>
                </c:pt>
                <c:pt idx="146">
                  <c:v>2.7741839402302322</c:v>
                </c:pt>
                <c:pt idx="147">
                  <c:v>2.8413710780818411</c:v>
                </c:pt>
                <c:pt idx="148">
                  <c:v>2.9073515529500291</c:v>
                </c:pt>
                <c:pt idx="149">
                  <c:v>2.9720220971729603</c:v>
                </c:pt>
                <c:pt idx="150">
                  <c:v>3.0352889167118291</c:v>
                </c:pt>
                <c:pt idx="151">
                  <c:v>3.0970680363016627</c:v>
                </c:pt>
                <c:pt idx="152">
                  <c:v>3.1572855105487392</c:v>
                </c:pt>
                <c:pt idx="153">
                  <c:v>3.2158775058364704</c:v>
                </c:pt>
                <c:pt idx="154">
                  <c:v>3.2727902603435521</c:v>
                </c:pt>
                <c:pt idx="155">
                  <c:v>3.3279799315124534</c:v>
                </c:pt>
                <c:pt idx="156">
                  <c:v>3.3814123419033715</c:v>
                </c:pt>
                <c:pt idx="157">
                  <c:v>3.4330626355199563</c:v>
                </c:pt>
                <c:pt idx="158">
                  <c:v>3.4829148574089821</c:v>
                </c:pt>
                <c:pt idx="159">
                  <c:v>3.5309614696430893</c:v>
                </c:pt>
                <c:pt idx="160">
                  <c:v>3.5772028167328505</c:v>
                </c:pt>
                <c:pt idx="161">
                  <c:v>3.6216465531298883</c:v>
                </c:pt>
                <c:pt idx="162">
                  <c:v>3.6643070448301471</c:v>
                </c:pt>
                <c:pt idx="163">
                  <c:v>3.7052047562216597</c:v>
                </c:pt>
                <c:pt idx="164">
                  <c:v>3.7443656322995973</c:v>
                </c:pt>
                <c:pt idx="165">
                  <c:v>3.7818204852454973</c:v>
                </c:pt>
                <c:pt idx="166">
                  <c:v>3.8176043931853352</c:v>
                </c:pt>
                <c:pt idx="167">
                  <c:v>3.8517561177445154</c:v>
                </c:pt>
                <c:pt idx="168">
                  <c:v>3.8843175458426473</c:v>
                </c:pt>
                <c:pt idx="169">
                  <c:v>3.9153331600458618</c:v>
                </c:pt>
                <c:pt idx="170">
                  <c:v>3.9448495407417532</c:v>
                </c:pt>
                <c:pt idx="171">
                  <c:v>3.9729149024376804</c:v>
                </c:pt>
                <c:pt idx="172">
                  <c:v>3.9995786656174817</c:v>
                </c:pt>
                <c:pt idx="173">
                  <c:v>4.0248910648300349</c:v>
                </c:pt>
                <c:pt idx="174">
                  <c:v>4.048902793026774</c:v>
                </c:pt>
                <c:pt idx="175">
                  <c:v>4.0716646816120088</c:v>
                </c:pt>
                <c:pt idx="176">
                  <c:v>4.0932274152151171</c:v>
                </c:pt>
                <c:pt idx="177">
                  <c:v>4.1136412798305493</c:v>
                </c:pt>
                <c:pt idx="178">
                  <c:v>4.1329559426922442</c:v>
                </c:pt>
                <c:pt idx="179">
                  <c:v>4.1512202620448013</c:v>
                </c:pt>
                <c:pt idx="180">
                  <c:v>4.1684821248354824</c:v>
                </c:pt>
                <c:pt idx="181">
                  <c:v>4.1847883102699273</c:v>
                </c:pt>
                <c:pt idx="182">
                  <c:v>4.2001843771415857</c:v>
                </c:pt>
                <c:pt idx="183">
                  <c:v>4.2147145728521984</c:v>
                </c:pt>
                <c:pt idx="184">
                  <c:v>4.2284217620805515</c:v>
                </c:pt>
              </c:numCache>
            </c:numRef>
          </c:yVal>
          <c:smooth val="1"/>
          <c:extLst>
            <c:ext xmlns:c16="http://schemas.microsoft.com/office/drawing/2014/chart" uri="{C3380CC4-5D6E-409C-BE32-E72D297353CC}">
              <c16:uniqueId val="{00000001-43BE-8342-AF9E-BB58C5AFE9C5}"/>
            </c:ext>
          </c:extLst>
        </c:ser>
        <c:ser>
          <c:idx val="1"/>
          <c:order val="2"/>
          <c:tx>
            <c:strRef>
              <c:f>Canada!$O$12</c:f>
              <c:strCache>
                <c:ptCount val="1"/>
                <c:pt idx="0">
                  <c:v>q p early</c:v>
                </c:pt>
              </c:strCache>
            </c:strRef>
          </c:tx>
          <c:spPr>
            <a:ln w="15875">
              <a:solidFill>
                <a:srgbClr val="808080"/>
              </a:solidFill>
              <a:prstDash val="dash"/>
            </a:ln>
          </c:spPr>
          <c:marker>
            <c:symbol val="none"/>
          </c:marker>
          <c:xVal>
            <c:numRef>
              <c:f>Canada!$D$3:$D$198</c:f>
              <c:numCache>
                <c:formatCode>General</c:formatCode>
                <c:ptCount val="196"/>
                <c:pt idx="10">
                  <c:v>1857</c:v>
                </c:pt>
                <c:pt idx="11">
                  <c:v>1858</c:v>
                </c:pt>
                <c:pt idx="12">
                  <c:v>1859</c:v>
                </c:pt>
                <c:pt idx="13">
                  <c:v>1860</c:v>
                </c:pt>
                <c:pt idx="14">
                  <c:v>1861</c:v>
                </c:pt>
                <c:pt idx="15">
                  <c:v>1862</c:v>
                </c:pt>
                <c:pt idx="16">
                  <c:v>1863</c:v>
                </c:pt>
                <c:pt idx="17">
                  <c:v>1864</c:v>
                </c:pt>
                <c:pt idx="18">
                  <c:v>1865</c:v>
                </c:pt>
                <c:pt idx="19">
                  <c:v>1866</c:v>
                </c:pt>
                <c:pt idx="20">
                  <c:v>1867</c:v>
                </c:pt>
                <c:pt idx="21">
                  <c:v>1868</c:v>
                </c:pt>
                <c:pt idx="22">
                  <c:v>1869</c:v>
                </c:pt>
                <c:pt idx="23">
                  <c:v>1870</c:v>
                </c:pt>
                <c:pt idx="24">
                  <c:v>1871</c:v>
                </c:pt>
                <c:pt idx="25">
                  <c:v>1872</c:v>
                </c:pt>
                <c:pt idx="26">
                  <c:v>1873</c:v>
                </c:pt>
                <c:pt idx="27">
                  <c:v>1874</c:v>
                </c:pt>
                <c:pt idx="28">
                  <c:v>1875</c:v>
                </c:pt>
                <c:pt idx="29">
                  <c:v>1876</c:v>
                </c:pt>
                <c:pt idx="30">
                  <c:v>1877</c:v>
                </c:pt>
                <c:pt idx="31">
                  <c:v>1878</c:v>
                </c:pt>
                <c:pt idx="32">
                  <c:v>1879</c:v>
                </c:pt>
                <c:pt idx="33">
                  <c:v>1880</c:v>
                </c:pt>
                <c:pt idx="34">
                  <c:v>1881</c:v>
                </c:pt>
                <c:pt idx="35">
                  <c:v>1882</c:v>
                </c:pt>
                <c:pt idx="36">
                  <c:v>1883</c:v>
                </c:pt>
                <c:pt idx="37">
                  <c:v>1884</c:v>
                </c:pt>
                <c:pt idx="38">
                  <c:v>1885</c:v>
                </c:pt>
                <c:pt idx="39">
                  <c:v>1886</c:v>
                </c:pt>
                <c:pt idx="40">
                  <c:v>1887</c:v>
                </c:pt>
                <c:pt idx="41">
                  <c:v>1888</c:v>
                </c:pt>
                <c:pt idx="42">
                  <c:v>1889</c:v>
                </c:pt>
                <c:pt idx="43">
                  <c:v>1890</c:v>
                </c:pt>
                <c:pt idx="44">
                  <c:v>1891</c:v>
                </c:pt>
                <c:pt idx="45">
                  <c:v>1892</c:v>
                </c:pt>
                <c:pt idx="46">
                  <c:v>1893</c:v>
                </c:pt>
                <c:pt idx="47">
                  <c:v>1894</c:v>
                </c:pt>
                <c:pt idx="48">
                  <c:v>1895</c:v>
                </c:pt>
                <c:pt idx="49">
                  <c:v>1896</c:v>
                </c:pt>
                <c:pt idx="50">
                  <c:v>1897</c:v>
                </c:pt>
                <c:pt idx="51">
                  <c:v>1898</c:v>
                </c:pt>
                <c:pt idx="52">
                  <c:v>1899</c:v>
                </c:pt>
                <c:pt idx="53">
                  <c:v>1900</c:v>
                </c:pt>
                <c:pt idx="54">
                  <c:v>1901</c:v>
                </c:pt>
                <c:pt idx="55">
                  <c:v>1902</c:v>
                </c:pt>
                <c:pt idx="56">
                  <c:v>1903</c:v>
                </c:pt>
                <c:pt idx="57">
                  <c:v>1904</c:v>
                </c:pt>
                <c:pt idx="58">
                  <c:v>1905</c:v>
                </c:pt>
                <c:pt idx="59">
                  <c:v>1906</c:v>
                </c:pt>
                <c:pt idx="60">
                  <c:v>1907</c:v>
                </c:pt>
                <c:pt idx="61">
                  <c:v>1908</c:v>
                </c:pt>
                <c:pt idx="62">
                  <c:v>1909</c:v>
                </c:pt>
                <c:pt idx="63">
                  <c:v>1910</c:v>
                </c:pt>
                <c:pt idx="64">
                  <c:v>1911</c:v>
                </c:pt>
                <c:pt idx="65">
                  <c:v>1912</c:v>
                </c:pt>
                <c:pt idx="66">
                  <c:v>1913</c:v>
                </c:pt>
                <c:pt idx="67">
                  <c:v>1914</c:v>
                </c:pt>
                <c:pt idx="68">
                  <c:v>1915</c:v>
                </c:pt>
                <c:pt idx="69">
                  <c:v>1916</c:v>
                </c:pt>
                <c:pt idx="70">
                  <c:v>1917</c:v>
                </c:pt>
                <c:pt idx="71">
                  <c:v>1918</c:v>
                </c:pt>
                <c:pt idx="72">
                  <c:v>1919</c:v>
                </c:pt>
                <c:pt idx="73">
                  <c:v>1920</c:v>
                </c:pt>
                <c:pt idx="74">
                  <c:v>1921</c:v>
                </c:pt>
                <c:pt idx="75">
                  <c:v>1922</c:v>
                </c:pt>
                <c:pt idx="76">
                  <c:v>1923</c:v>
                </c:pt>
                <c:pt idx="77">
                  <c:v>1924</c:v>
                </c:pt>
                <c:pt idx="78">
                  <c:v>1925</c:v>
                </c:pt>
                <c:pt idx="79">
                  <c:v>1926</c:v>
                </c:pt>
                <c:pt idx="80">
                  <c:v>1927</c:v>
                </c:pt>
                <c:pt idx="81">
                  <c:v>1928</c:v>
                </c:pt>
                <c:pt idx="82">
                  <c:v>1929</c:v>
                </c:pt>
                <c:pt idx="83">
                  <c:v>1930</c:v>
                </c:pt>
                <c:pt idx="84">
                  <c:v>1931</c:v>
                </c:pt>
                <c:pt idx="85">
                  <c:v>1932</c:v>
                </c:pt>
                <c:pt idx="86">
                  <c:v>1933</c:v>
                </c:pt>
                <c:pt idx="87">
                  <c:v>1934</c:v>
                </c:pt>
                <c:pt idx="88">
                  <c:v>1935</c:v>
                </c:pt>
                <c:pt idx="89">
                  <c:v>1936</c:v>
                </c:pt>
                <c:pt idx="90">
                  <c:v>1937</c:v>
                </c:pt>
                <c:pt idx="91">
                  <c:v>1938</c:v>
                </c:pt>
                <c:pt idx="92">
                  <c:v>1939</c:v>
                </c:pt>
                <c:pt idx="93">
                  <c:v>1940</c:v>
                </c:pt>
                <c:pt idx="94">
                  <c:v>1941</c:v>
                </c:pt>
                <c:pt idx="95">
                  <c:v>1942</c:v>
                </c:pt>
                <c:pt idx="96">
                  <c:v>1943</c:v>
                </c:pt>
                <c:pt idx="97">
                  <c:v>1944</c:v>
                </c:pt>
                <c:pt idx="98">
                  <c:v>1945</c:v>
                </c:pt>
                <c:pt idx="99">
                  <c:v>1946</c:v>
                </c:pt>
                <c:pt idx="100">
                  <c:v>1947</c:v>
                </c:pt>
                <c:pt idx="101">
                  <c:v>1948</c:v>
                </c:pt>
                <c:pt idx="102">
                  <c:v>1949</c:v>
                </c:pt>
                <c:pt idx="103">
                  <c:v>1950</c:v>
                </c:pt>
                <c:pt idx="104">
                  <c:v>1951</c:v>
                </c:pt>
                <c:pt idx="105">
                  <c:v>1952</c:v>
                </c:pt>
                <c:pt idx="106">
                  <c:v>1953</c:v>
                </c:pt>
                <c:pt idx="107">
                  <c:v>1954</c:v>
                </c:pt>
                <c:pt idx="108">
                  <c:v>1955</c:v>
                </c:pt>
                <c:pt idx="109">
                  <c:v>1956</c:v>
                </c:pt>
                <c:pt idx="110">
                  <c:v>1957</c:v>
                </c:pt>
                <c:pt idx="111">
                  <c:v>1958</c:v>
                </c:pt>
                <c:pt idx="112">
                  <c:v>1959</c:v>
                </c:pt>
                <c:pt idx="113">
                  <c:v>1960</c:v>
                </c:pt>
                <c:pt idx="114">
                  <c:v>1961</c:v>
                </c:pt>
                <c:pt idx="115">
                  <c:v>1962</c:v>
                </c:pt>
                <c:pt idx="116">
                  <c:v>1963</c:v>
                </c:pt>
                <c:pt idx="117">
                  <c:v>1964</c:v>
                </c:pt>
                <c:pt idx="118">
                  <c:v>1965</c:v>
                </c:pt>
                <c:pt idx="119">
                  <c:v>1966</c:v>
                </c:pt>
                <c:pt idx="120">
                  <c:v>1967</c:v>
                </c:pt>
                <c:pt idx="121">
                  <c:v>1968</c:v>
                </c:pt>
                <c:pt idx="122">
                  <c:v>1969</c:v>
                </c:pt>
                <c:pt idx="123">
                  <c:v>1970</c:v>
                </c:pt>
                <c:pt idx="124">
                  <c:v>1971</c:v>
                </c:pt>
                <c:pt idx="125">
                  <c:v>1972</c:v>
                </c:pt>
                <c:pt idx="126">
                  <c:v>1973</c:v>
                </c:pt>
                <c:pt idx="127">
                  <c:v>1974</c:v>
                </c:pt>
                <c:pt idx="128">
                  <c:v>1975</c:v>
                </c:pt>
                <c:pt idx="129">
                  <c:v>1976</c:v>
                </c:pt>
                <c:pt idx="130">
                  <c:v>1977</c:v>
                </c:pt>
                <c:pt idx="131">
                  <c:v>1978</c:v>
                </c:pt>
                <c:pt idx="132">
                  <c:v>1979</c:v>
                </c:pt>
                <c:pt idx="133">
                  <c:v>1980</c:v>
                </c:pt>
                <c:pt idx="134">
                  <c:v>1981</c:v>
                </c:pt>
                <c:pt idx="135">
                  <c:v>1982</c:v>
                </c:pt>
                <c:pt idx="136">
                  <c:v>1983</c:v>
                </c:pt>
                <c:pt idx="137">
                  <c:v>1984</c:v>
                </c:pt>
                <c:pt idx="138">
                  <c:v>1985</c:v>
                </c:pt>
                <c:pt idx="139">
                  <c:v>1986</c:v>
                </c:pt>
                <c:pt idx="140">
                  <c:v>1987</c:v>
                </c:pt>
                <c:pt idx="141">
                  <c:v>1988</c:v>
                </c:pt>
                <c:pt idx="142">
                  <c:v>1989</c:v>
                </c:pt>
                <c:pt idx="143">
                  <c:v>1990</c:v>
                </c:pt>
                <c:pt idx="144">
                  <c:v>1991</c:v>
                </c:pt>
                <c:pt idx="145">
                  <c:v>1992</c:v>
                </c:pt>
                <c:pt idx="146">
                  <c:v>1993</c:v>
                </c:pt>
                <c:pt idx="147">
                  <c:v>1994</c:v>
                </c:pt>
                <c:pt idx="148">
                  <c:v>1995</c:v>
                </c:pt>
                <c:pt idx="149">
                  <c:v>1996</c:v>
                </c:pt>
                <c:pt idx="150">
                  <c:v>1997</c:v>
                </c:pt>
                <c:pt idx="151">
                  <c:v>1998</c:v>
                </c:pt>
                <c:pt idx="152">
                  <c:v>1999</c:v>
                </c:pt>
                <c:pt idx="153">
                  <c:v>2000</c:v>
                </c:pt>
                <c:pt idx="154">
                  <c:v>2001</c:v>
                </c:pt>
                <c:pt idx="155">
                  <c:v>2002</c:v>
                </c:pt>
                <c:pt idx="156">
                  <c:v>2003</c:v>
                </c:pt>
                <c:pt idx="157">
                  <c:v>2004</c:v>
                </c:pt>
                <c:pt idx="158">
                  <c:v>2005</c:v>
                </c:pt>
                <c:pt idx="159">
                  <c:v>2006</c:v>
                </c:pt>
                <c:pt idx="160">
                  <c:v>2007</c:v>
                </c:pt>
                <c:pt idx="161">
                  <c:v>2008</c:v>
                </c:pt>
                <c:pt idx="162">
                  <c:v>2009</c:v>
                </c:pt>
                <c:pt idx="163">
                  <c:v>2010</c:v>
                </c:pt>
                <c:pt idx="164">
                  <c:v>2011</c:v>
                </c:pt>
                <c:pt idx="165">
                  <c:v>2012</c:v>
                </c:pt>
                <c:pt idx="166">
                  <c:v>2013</c:v>
                </c:pt>
                <c:pt idx="167">
                  <c:v>2014</c:v>
                </c:pt>
                <c:pt idx="168">
                  <c:v>2015</c:v>
                </c:pt>
                <c:pt idx="169">
                  <c:v>2016</c:v>
                </c:pt>
                <c:pt idx="170">
                  <c:v>2017</c:v>
                </c:pt>
                <c:pt idx="171">
                  <c:v>2018</c:v>
                </c:pt>
                <c:pt idx="172">
                  <c:v>2019</c:v>
                </c:pt>
                <c:pt idx="173">
                  <c:v>2020</c:v>
                </c:pt>
                <c:pt idx="174">
                  <c:v>2021</c:v>
                </c:pt>
                <c:pt idx="175">
                  <c:v>2022</c:v>
                </c:pt>
                <c:pt idx="176">
                  <c:v>2023</c:v>
                </c:pt>
                <c:pt idx="177">
                  <c:v>2024</c:v>
                </c:pt>
                <c:pt idx="178">
                  <c:v>2025</c:v>
                </c:pt>
                <c:pt idx="179">
                  <c:v>2026</c:v>
                </c:pt>
                <c:pt idx="180">
                  <c:v>2027</c:v>
                </c:pt>
                <c:pt idx="181">
                  <c:v>2028</c:v>
                </c:pt>
                <c:pt idx="182">
                  <c:v>2029</c:v>
                </c:pt>
                <c:pt idx="183">
                  <c:v>2030</c:v>
                </c:pt>
                <c:pt idx="184">
                  <c:v>2031</c:v>
                </c:pt>
                <c:pt idx="185">
                  <c:v>2032</c:v>
                </c:pt>
                <c:pt idx="186">
                  <c:v>2033</c:v>
                </c:pt>
                <c:pt idx="187">
                  <c:v>2034</c:v>
                </c:pt>
                <c:pt idx="188">
                  <c:v>2035</c:v>
                </c:pt>
                <c:pt idx="189">
                  <c:v>2036</c:v>
                </c:pt>
                <c:pt idx="190">
                  <c:v>2037</c:v>
                </c:pt>
                <c:pt idx="191">
                  <c:v>2038</c:v>
                </c:pt>
                <c:pt idx="192">
                  <c:v>2039</c:v>
                </c:pt>
                <c:pt idx="193">
                  <c:v>2040</c:v>
                </c:pt>
                <c:pt idx="194">
                  <c:v>2041</c:v>
                </c:pt>
                <c:pt idx="195">
                  <c:v>2042</c:v>
                </c:pt>
              </c:numCache>
            </c:numRef>
          </c:xVal>
          <c:yVal>
            <c:numRef>
              <c:f>Canada!$I$3:$I$11</c:f>
              <c:numCache>
                <c:formatCode>General</c:formatCode>
                <c:ptCount val="9"/>
              </c:numCache>
            </c:numRef>
          </c:yVal>
          <c:smooth val="1"/>
          <c:extLst>
            <c:ext xmlns:c16="http://schemas.microsoft.com/office/drawing/2014/chart" uri="{C3380CC4-5D6E-409C-BE32-E72D297353CC}">
              <c16:uniqueId val="{00000002-43BE-8342-AF9E-BB58C5AFE9C5}"/>
            </c:ext>
          </c:extLst>
        </c:ser>
        <c:ser>
          <c:idx val="3"/>
          <c:order val="3"/>
          <c:tx>
            <c:strRef>
              <c:f>Canada!$H$12</c:f>
              <c:strCache>
                <c:ptCount val="1"/>
                <c:pt idx="0">
                  <c:v>Q historical</c:v>
                </c:pt>
              </c:strCache>
            </c:strRef>
          </c:tx>
          <c:spPr>
            <a:ln w="15875">
              <a:solidFill>
                <a:srgbClr val="333399"/>
              </a:solidFill>
            </a:ln>
          </c:spPr>
          <c:marker>
            <c:symbol val="none"/>
          </c:marker>
          <c:xVal>
            <c:numRef>
              <c:f>Canada!$D$14:$D$200</c:f>
              <c:numCache>
                <c:formatCode>General</c:formatCode>
                <c:ptCount val="187"/>
                <c:pt idx="0">
                  <c:v>1858</c:v>
                </c:pt>
                <c:pt idx="1">
                  <c:v>1859</c:v>
                </c:pt>
                <c:pt idx="2">
                  <c:v>1860</c:v>
                </c:pt>
                <c:pt idx="3">
                  <c:v>1861</c:v>
                </c:pt>
                <c:pt idx="4">
                  <c:v>1862</c:v>
                </c:pt>
                <c:pt idx="5">
                  <c:v>1863</c:v>
                </c:pt>
                <c:pt idx="6">
                  <c:v>1864</c:v>
                </c:pt>
                <c:pt idx="7">
                  <c:v>1865</c:v>
                </c:pt>
                <c:pt idx="8">
                  <c:v>1866</c:v>
                </c:pt>
                <c:pt idx="9">
                  <c:v>1867</c:v>
                </c:pt>
                <c:pt idx="10">
                  <c:v>1868</c:v>
                </c:pt>
                <c:pt idx="11">
                  <c:v>1869</c:v>
                </c:pt>
                <c:pt idx="12">
                  <c:v>1870</c:v>
                </c:pt>
                <c:pt idx="13">
                  <c:v>1871</c:v>
                </c:pt>
                <c:pt idx="14">
                  <c:v>1872</c:v>
                </c:pt>
                <c:pt idx="15">
                  <c:v>1873</c:v>
                </c:pt>
                <c:pt idx="16">
                  <c:v>1874</c:v>
                </c:pt>
                <c:pt idx="17">
                  <c:v>1875</c:v>
                </c:pt>
                <c:pt idx="18">
                  <c:v>1876</c:v>
                </c:pt>
                <c:pt idx="19">
                  <c:v>1877</c:v>
                </c:pt>
                <c:pt idx="20">
                  <c:v>1878</c:v>
                </c:pt>
                <c:pt idx="21">
                  <c:v>1879</c:v>
                </c:pt>
                <c:pt idx="22">
                  <c:v>1880</c:v>
                </c:pt>
                <c:pt idx="23">
                  <c:v>1881</c:v>
                </c:pt>
                <c:pt idx="24">
                  <c:v>1882</c:v>
                </c:pt>
                <c:pt idx="25">
                  <c:v>1883</c:v>
                </c:pt>
                <c:pt idx="26">
                  <c:v>1884</c:v>
                </c:pt>
                <c:pt idx="27">
                  <c:v>1885</c:v>
                </c:pt>
                <c:pt idx="28">
                  <c:v>1886</c:v>
                </c:pt>
                <c:pt idx="29">
                  <c:v>1887</c:v>
                </c:pt>
                <c:pt idx="30">
                  <c:v>1888</c:v>
                </c:pt>
                <c:pt idx="31">
                  <c:v>1889</c:v>
                </c:pt>
                <c:pt idx="32">
                  <c:v>1890</c:v>
                </c:pt>
                <c:pt idx="33">
                  <c:v>1891</c:v>
                </c:pt>
                <c:pt idx="34">
                  <c:v>1892</c:v>
                </c:pt>
                <c:pt idx="35">
                  <c:v>1893</c:v>
                </c:pt>
                <c:pt idx="36">
                  <c:v>1894</c:v>
                </c:pt>
                <c:pt idx="37">
                  <c:v>1895</c:v>
                </c:pt>
                <c:pt idx="38">
                  <c:v>1896</c:v>
                </c:pt>
                <c:pt idx="39">
                  <c:v>1897</c:v>
                </c:pt>
                <c:pt idx="40">
                  <c:v>1898</c:v>
                </c:pt>
                <c:pt idx="41">
                  <c:v>1899</c:v>
                </c:pt>
                <c:pt idx="42">
                  <c:v>1900</c:v>
                </c:pt>
                <c:pt idx="43">
                  <c:v>1901</c:v>
                </c:pt>
                <c:pt idx="44">
                  <c:v>1902</c:v>
                </c:pt>
                <c:pt idx="45">
                  <c:v>1903</c:v>
                </c:pt>
                <c:pt idx="46">
                  <c:v>1904</c:v>
                </c:pt>
                <c:pt idx="47">
                  <c:v>1905</c:v>
                </c:pt>
                <c:pt idx="48">
                  <c:v>1906</c:v>
                </c:pt>
                <c:pt idx="49">
                  <c:v>1907</c:v>
                </c:pt>
                <c:pt idx="50">
                  <c:v>1908</c:v>
                </c:pt>
                <c:pt idx="51">
                  <c:v>1909</c:v>
                </c:pt>
                <c:pt idx="52">
                  <c:v>1910</c:v>
                </c:pt>
                <c:pt idx="53">
                  <c:v>1911</c:v>
                </c:pt>
                <c:pt idx="54">
                  <c:v>1912</c:v>
                </c:pt>
                <c:pt idx="55">
                  <c:v>1913</c:v>
                </c:pt>
                <c:pt idx="56">
                  <c:v>1914</c:v>
                </c:pt>
                <c:pt idx="57">
                  <c:v>1915</c:v>
                </c:pt>
                <c:pt idx="58">
                  <c:v>1916</c:v>
                </c:pt>
                <c:pt idx="59">
                  <c:v>1917</c:v>
                </c:pt>
                <c:pt idx="60">
                  <c:v>1918</c:v>
                </c:pt>
                <c:pt idx="61">
                  <c:v>1919</c:v>
                </c:pt>
                <c:pt idx="62">
                  <c:v>1920</c:v>
                </c:pt>
                <c:pt idx="63">
                  <c:v>1921</c:v>
                </c:pt>
                <c:pt idx="64">
                  <c:v>1922</c:v>
                </c:pt>
                <c:pt idx="65">
                  <c:v>1923</c:v>
                </c:pt>
                <c:pt idx="66">
                  <c:v>1924</c:v>
                </c:pt>
                <c:pt idx="67">
                  <c:v>1925</c:v>
                </c:pt>
                <c:pt idx="68">
                  <c:v>1926</c:v>
                </c:pt>
                <c:pt idx="69">
                  <c:v>1927</c:v>
                </c:pt>
                <c:pt idx="70">
                  <c:v>1928</c:v>
                </c:pt>
                <c:pt idx="71">
                  <c:v>1929</c:v>
                </c:pt>
                <c:pt idx="72">
                  <c:v>1930</c:v>
                </c:pt>
                <c:pt idx="73">
                  <c:v>1931</c:v>
                </c:pt>
                <c:pt idx="74">
                  <c:v>1932</c:v>
                </c:pt>
                <c:pt idx="75">
                  <c:v>1933</c:v>
                </c:pt>
                <c:pt idx="76">
                  <c:v>1934</c:v>
                </c:pt>
                <c:pt idx="77">
                  <c:v>1935</c:v>
                </c:pt>
                <c:pt idx="78">
                  <c:v>1936</c:v>
                </c:pt>
                <c:pt idx="79">
                  <c:v>1937</c:v>
                </c:pt>
                <c:pt idx="80">
                  <c:v>1938</c:v>
                </c:pt>
                <c:pt idx="81">
                  <c:v>1939</c:v>
                </c:pt>
                <c:pt idx="82">
                  <c:v>1940</c:v>
                </c:pt>
                <c:pt idx="83">
                  <c:v>1941</c:v>
                </c:pt>
                <c:pt idx="84">
                  <c:v>1942</c:v>
                </c:pt>
                <c:pt idx="85">
                  <c:v>1943</c:v>
                </c:pt>
                <c:pt idx="86">
                  <c:v>1944</c:v>
                </c:pt>
                <c:pt idx="87">
                  <c:v>1945</c:v>
                </c:pt>
                <c:pt idx="88">
                  <c:v>1946</c:v>
                </c:pt>
                <c:pt idx="89">
                  <c:v>1947</c:v>
                </c:pt>
                <c:pt idx="90">
                  <c:v>1948</c:v>
                </c:pt>
                <c:pt idx="91">
                  <c:v>1949</c:v>
                </c:pt>
                <c:pt idx="92">
                  <c:v>1950</c:v>
                </c:pt>
                <c:pt idx="93">
                  <c:v>1951</c:v>
                </c:pt>
                <c:pt idx="94">
                  <c:v>1952</c:v>
                </c:pt>
                <c:pt idx="95">
                  <c:v>1953</c:v>
                </c:pt>
                <c:pt idx="96">
                  <c:v>1954</c:v>
                </c:pt>
                <c:pt idx="97">
                  <c:v>1955</c:v>
                </c:pt>
                <c:pt idx="98">
                  <c:v>1956</c:v>
                </c:pt>
                <c:pt idx="99">
                  <c:v>1957</c:v>
                </c:pt>
                <c:pt idx="100">
                  <c:v>1958</c:v>
                </c:pt>
                <c:pt idx="101">
                  <c:v>1959</c:v>
                </c:pt>
                <c:pt idx="102">
                  <c:v>1960</c:v>
                </c:pt>
                <c:pt idx="103">
                  <c:v>1961</c:v>
                </c:pt>
                <c:pt idx="104">
                  <c:v>1962</c:v>
                </c:pt>
                <c:pt idx="105">
                  <c:v>1963</c:v>
                </c:pt>
                <c:pt idx="106">
                  <c:v>1964</c:v>
                </c:pt>
                <c:pt idx="107">
                  <c:v>1965</c:v>
                </c:pt>
                <c:pt idx="108">
                  <c:v>1966</c:v>
                </c:pt>
                <c:pt idx="109">
                  <c:v>1967</c:v>
                </c:pt>
                <c:pt idx="110">
                  <c:v>1968</c:v>
                </c:pt>
                <c:pt idx="111">
                  <c:v>1969</c:v>
                </c:pt>
                <c:pt idx="112">
                  <c:v>1970</c:v>
                </c:pt>
                <c:pt idx="113">
                  <c:v>1971</c:v>
                </c:pt>
                <c:pt idx="114">
                  <c:v>1972</c:v>
                </c:pt>
                <c:pt idx="115">
                  <c:v>1973</c:v>
                </c:pt>
                <c:pt idx="116">
                  <c:v>1974</c:v>
                </c:pt>
                <c:pt idx="117">
                  <c:v>1975</c:v>
                </c:pt>
                <c:pt idx="118">
                  <c:v>1976</c:v>
                </c:pt>
                <c:pt idx="119">
                  <c:v>1977</c:v>
                </c:pt>
                <c:pt idx="120">
                  <c:v>1978</c:v>
                </c:pt>
                <c:pt idx="121">
                  <c:v>1979</c:v>
                </c:pt>
                <c:pt idx="122">
                  <c:v>1980</c:v>
                </c:pt>
                <c:pt idx="123">
                  <c:v>1981</c:v>
                </c:pt>
                <c:pt idx="124">
                  <c:v>1982</c:v>
                </c:pt>
                <c:pt idx="125">
                  <c:v>1983</c:v>
                </c:pt>
                <c:pt idx="126">
                  <c:v>1984</c:v>
                </c:pt>
                <c:pt idx="127">
                  <c:v>1985</c:v>
                </c:pt>
                <c:pt idx="128">
                  <c:v>1986</c:v>
                </c:pt>
                <c:pt idx="129">
                  <c:v>1987</c:v>
                </c:pt>
                <c:pt idx="130">
                  <c:v>1988</c:v>
                </c:pt>
                <c:pt idx="131">
                  <c:v>1989</c:v>
                </c:pt>
                <c:pt idx="132">
                  <c:v>1990</c:v>
                </c:pt>
                <c:pt idx="133">
                  <c:v>1991</c:v>
                </c:pt>
                <c:pt idx="134">
                  <c:v>1992</c:v>
                </c:pt>
                <c:pt idx="135">
                  <c:v>1993</c:v>
                </c:pt>
                <c:pt idx="136">
                  <c:v>1994</c:v>
                </c:pt>
                <c:pt idx="137">
                  <c:v>1995</c:v>
                </c:pt>
                <c:pt idx="138">
                  <c:v>1996</c:v>
                </c:pt>
                <c:pt idx="139">
                  <c:v>1997</c:v>
                </c:pt>
                <c:pt idx="140">
                  <c:v>1998</c:v>
                </c:pt>
                <c:pt idx="141">
                  <c:v>1999</c:v>
                </c:pt>
                <c:pt idx="142">
                  <c:v>2000</c:v>
                </c:pt>
                <c:pt idx="143">
                  <c:v>2001</c:v>
                </c:pt>
                <c:pt idx="144">
                  <c:v>2002</c:v>
                </c:pt>
                <c:pt idx="145">
                  <c:v>2003</c:v>
                </c:pt>
                <c:pt idx="146">
                  <c:v>2004</c:v>
                </c:pt>
                <c:pt idx="147">
                  <c:v>2005</c:v>
                </c:pt>
                <c:pt idx="148">
                  <c:v>2006</c:v>
                </c:pt>
                <c:pt idx="149">
                  <c:v>2007</c:v>
                </c:pt>
                <c:pt idx="150">
                  <c:v>2008</c:v>
                </c:pt>
                <c:pt idx="151">
                  <c:v>2009</c:v>
                </c:pt>
                <c:pt idx="152">
                  <c:v>2010</c:v>
                </c:pt>
                <c:pt idx="153">
                  <c:v>2011</c:v>
                </c:pt>
                <c:pt idx="154">
                  <c:v>2012</c:v>
                </c:pt>
                <c:pt idx="155">
                  <c:v>2013</c:v>
                </c:pt>
                <c:pt idx="156">
                  <c:v>2014</c:v>
                </c:pt>
                <c:pt idx="157">
                  <c:v>2015</c:v>
                </c:pt>
                <c:pt idx="158">
                  <c:v>2016</c:v>
                </c:pt>
                <c:pt idx="159">
                  <c:v>2017</c:v>
                </c:pt>
                <c:pt idx="160">
                  <c:v>2018</c:v>
                </c:pt>
                <c:pt idx="161">
                  <c:v>2019</c:v>
                </c:pt>
                <c:pt idx="162">
                  <c:v>2020</c:v>
                </c:pt>
                <c:pt idx="163">
                  <c:v>2021</c:v>
                </c:pt>
                <c:pt idx="164">
                  <c:v>2022</c:v>
                </c:pt>
                <c:pt idx="165">
                  <c:v>2023</c:v>
                </c:pt>
                <c:pt idx="166">
                  <c:v>2024</c:v>
                </c:pt>
                <c:pt idx="167">
                  <c:v>2025</c:v>
                </c:pt>
                <c:pt idx="168">
                  <c:v>2026</c:v>
                </c:pt>
                <c:pt idx="169">
                  <c:v>2027</c:v>
                </c:pt>
                <c:pt idx="170">
                  <c:v>2028</c:v>
                </c:pt>
                <c:pt idx="171">
                  <c:v>2029</c:v>
                </c:pt>
                <c:pt idx="172">
                  <c:v>2030</c:v>
                </c:pt>
                <c:pt idx="173">
                  <c:v>2031</c:v>
                </c:pt>
                <c:pt idx="174">
                  <c:v>2032</c:v>
                </c:pt>
                <c:pt idx="175">
                  <c:v>2033</c:v>
                </c:pt>
                <c:pt idx="176">
                  <c:v>2034</c:v>
                </c:pt>
                <c:pt idx="177">
                  <c:v>2035</c:v>
                </c:pt>
                <c:pt idx="178">
                  <c:v>2036</c:v>
                </c:pt>
                <c:pt idx="179">
                  <c:v>2037</c:v>
                </c:pt>
                <c:pt idx="180">
                  <c:v>2038</c:v>
                </c:pt>
                <c:pt idx="181">
                  <c:v>2039</c:v>
                </c:pt>
                <c:pt idx="182">
                  <c:v>2040</c:v>
                </c:pt>
                <c:pt idx="183">
                  <c:v>2041</c:v>
                </c:pt>
                <c:pt idx="184">
                  <c:v>2042</c:v>
                </c:pt>
                <c:pt idx="185">
                  <c:v>2043</c:v>
                </c:pt>
                <c:pt idx="186">
                  <c:v>2044</c:v>
                </c:pt>
              </c:numCache>
            </c:numRef>
          </c:xVal>
          <c:yVal>
            <c:numRef>
              <c:f>Canada!$H$14:$H$200</c:f>
              <c:numCache>
                <c:formatCode>0.0</c:formatCode>
                <c:ptCount val="187"/>
                <c:pt idx="133">
                  <c:v>15.753551362568988</c:v>
                </c:pt>
                <c:pt idx="134">
                  <c:v>7.0431574202169429</c:v>
                </c:pt>
                <c:pt idx="135">
                  <c:v>5.4788350407039319</c:v>
                </c:pt>
                <c:pt idx="136">
                  <c:v>5.1220313131625383</c:v>
                </c:pt>
                <c:pt idx="137">
                  <c:v>5.1128680800162023</c:v>
                </c:pt>
                <c:pt idx="138">
                  <c:v>5.1928981037722091</c:v>
                </c:pt>
                <c:pt idx="139">
                  <c:v>5.3646663492711806</c:v>
                </c:pt>
                <c:pt idx="140">
                  <c:v>5.4005967461807165</c:v>
                </c:pt>
                <c:pt idx="141">
                  <c:v>5.3044553123098925</c:v>
                </c:pt>
                <c:pt idx="142">
                  <c:v>5.1191164884277978</c:v>
                </c:pt>
                <c:pt idx="143">
                  <c:v>4.9582216128302736</c:v>
                </c:pt>
                <c:pt idx="144">
                  <c:v>4.7965201983127335</c:v>
                </c:pt>
                <c:pt idx="145">
                  <c:v>4.6294970710939642</c:v>
                </c:pt>
                <c:pt idx="146">
                  <c:v>4.5167674667150628</c:v>
                </c:pt>
                <c:pt idx="147">
                  <c:v>4.4432048638506378</c:v>
                </c:pt>
                <c:pt idx="148">
                  <c:v>4.4043726754201451</c:v>
                </c:pt>
                <c:pt idx="149">
                  <c:v>4.406062610988938</c:v>
                </c:pt>
                <c:pt idx="150">
                  <c:v>4.4268343145542799</c:v>
                </c:pt>
                <c:pt idx="151">
                  <c:v>4.4435745743336579</c:v>
                </c:pt>
              </c:numCache>
            </c:numRef>
          </c:yVal>
          <c:smooth val="1"/>
          <c:extLst>
            <c:ext xmlns:c16="http://schemas.microsoft.com/office/drawing/2014/chart" uri="{C3380CC4-5D6E-409C-BE32-E72D297353CC}">
              <c16:uniqueId val="{00000003-43BE-8342-AF9E-BB58C5AFE9C5}"/>
            </c:ext>
          </c:extLst>
        </c:ser>
        <c:ser>
          <c:idx val="4"/>
          <c:order val="4"/>
          <c:tx>
            <c:v>Current long-term fit</c:v>
          </c:tx>
          <c:spPr>
            <a:ln w="15875">
              <a:solidFill>
                <a:srgbClr val="808080"/>
              </a:solidFill>
            </a:ln>
          </c:spPr>
          <c:marker>
            <c:symbol val="none"/>
          </c:marker>
          <c:xVal>
            <c:numLit>
              <c:formatCode>General</c:formatCode>
              <c:ptCount val="2"/>
              <c:pt idx="0">
                <c:v>1994</c:v>
              </c:pt>
              <c:pt idx="1">
                <c:v>2009</c:v>
              </c:pt>
            </c:numLit>
          </c:xVal>
          <c:yVal>
            <c:numRef>
              <c:f>(Canada!$F$1,Canada!$F$1)</c:f>
              <c:numCache>
                <c:formatCode>0.0</c:formatCode>
                <c:ptCount val="2"/>
                <c:pt idx="0">
                  <c:v>4.4435745743336579</c:v>
                </c:pt>
                <c:pt idx="1">
                  <c:v>4.4435745743336579</c:v>
                </c:pt>
              </c:numCache>
            </c:numRef>
          </c:yVal>
          <c:smooth val="1"/>
          <c:extLst>
            <c:ext xmlns:c16="http://schemas.microsoft.com/office/drawing/2014/chart" uri="{C3380CC4-5D6E-409C-BE32-E72D297353CC}">
              <c16:uniqueId val="{00000004-43BE-8342-AF9E-BB58C5AFE9C5}"/>
            </c:ext>
          </c:extLst>
        </c:ser>
        <c:dLbls>
          <c:showLegendKey val="0"/>
          <c:showVal val="0"/>
          <c:showCatName val="0"/>
          <c:showSerName val="0"/>
          <c:showPercent val="0"/>
          <c:showBubbleSize val="0"/>
        </c:dLbls>
        <c:axId val="137288320"/>
        <c:axId val="136962432"/>
      </c:scatterChart>
      <c:valAx>
        <c:axId val="137288320"/>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6962432"/>
        <c:crossesAt val="-1000"/>
        <c:crossBetween val="midCat"/>
        <c:majorUnit val="60"/>
        <c:minorUnit val="10"/>
      </c:valAx>
      <c:valAx>
        <c:axId val="136962432"/>
        <c:scaling>
          <c:orientation val="minMax"/>
          <c:max val="10"/>
          <c:min val="0"/>
        </c:scaling>
        <c:delete val="0"/>
        <c:axPos val="r"/>
        <c:title>
          <c:tx>
            <c:rich>
              <a:bodyPr rot="-5400000" vert="horz"/>
              <a:lstStyle/>
              <a:p>
                <a:pPr>
                  <a:defRPr sz="1200" b="0">
                    <a:solidFill>
                      <a:srgbClr val="333399"/>
                    </a:solidFill>
                  </a:defRPr>
                </a:pPr>
                <a:r>
                  <a:rPr lang="en-US" sz="1200" b="0">
                    <a:solidFill>
                      <a:srgbClr val="333399"/>
                    </a:solidFill>
                  </a:rPr>
                  <a:t>Cumulatrive production, Gt</a:t>
                </a:r>
              </a:p>
            </c:rich>
          </c:tx>
          <c:layout>
            <c:manualLayout>
              <c:xMode val="edge"/>
              <c:yMode val="edge"/>
              <c:x val="0.96179653679653765"/>
              <c:y val="0.13136920384951881"/>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7288320"/>
        <c:crosses val="max"/>
        <c:crossBetween val="midCat"/>
        <c:majorUnit val="5"/>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4060742407199E-2"/>
          <c:y val="5.7060002916302532E-2"/>
          <c:w val="0.83768762238059091"/>
          <c:h val="0.77264654418197765"/>
        </c:manualLayout>
      </c:layout>
      <c:scatterChart>
        <c:scatterStyle val="smoothMarker"/>
        <c:varyColors val="0"/>
        <c:ser>
          <c:idx val="3"/>
          <c:order val="0"/>
          <c:tx>
            <c:strRef>
              <c:f>Canada!$T$12</c:f>
              <c:strCache>
                <c:ptCount val="1"/>
                <c:pt idx="0">
                  <c:v>Q reserves</c:v>
                </c:pt>
              </c:strCache>
            </c:strRef>
          </c:tx>
          <c:spPr>
            <a:ln>
              <a:noFill/>
            </a:ln>
          </c:spPr>
          <c:marker>
            <c:symbol val="circle"/>
            <c:size val="6"/>
            <c:spPr>
              <a:noFill/>
              <a:ln>
                <a:solidFill>
                  <a:srgbClr val="333399"/>
                </a:solidFill>
              </a:ln>
            </c:spPr>
          </c:marker>
          <c:xVal>
            <c:numRef>
              <c:f>Canada!$S$13:$S$31</c:f>
              <c:numCache>
                <c:formatCode>General</c:formatCode>
                <c:ptCount val="19"/>
                <c:pt idx="0">
                  <c:v>1913</c:v>
                </c:pt>
                <c:pt idx="1">
                  <c:v>1948</c:v>
                </c:pt>
                <c:pt idx="2">
                  <c:v>1950</c:v>
                </c:pt>
                <c:pt idx="3">
                  <c:v>1954</c:v>
                </c:pt>
                <c:pt idx="4">
                  <c:v>1956</c:v>
                </c:pt>
                <c:pt idx="5">
                  <c:v>1960</c:v>
                </c:pt>
                <c:pt idx="6">
                  <c:v>1962</c:v>
                </c:pt>
                <c:pt idx="7">
                  <c:v>1968</c:v>
                </c:pt>
                <c:pt idx="8">
                  <c:v>1974</c:v>
                </c:pt>
                <c:pt idx="9">
                  <c:v>1980</c:v>
                </c:pt>
                <c:pt idx="10">
                  <c:v>1986</c:v>
                </c:pt>
                <c:pt idx="11">
                  <c:v>1989</c:v>
                </c:pt>
                <c:pt idx="12">
                  <c:v>1992</c:v>
                </c:pt>
                <c:pt idx="13">
                  <c:v>1995</c:v>
                </c:pt>
                <c:pt idx="14">
                  <c:v>1998</c:v>
                </c:pt>
                <c:pt idx="15">
                  <c:v>2001</c:v>
                </c:pt>
                <c:pt idx="16">
                  <c:v>2004</c:v>
                </c:pt>
                <c:pt idx="17">
                  <c:v>2007</c:v>
                </c:pt>
                <c:pt idx="18">
                  <c:v>2010</c:v>
                </c:pt>
              </c:numCache>
            </c:numRef>
          </c:xVal>
          <c:yVal>
            <c:numRef>
              <c:f>Canada!$T$13:$T$31</c:f>
              <c:numCache>
                <c:formatCode>#,##0.0</c:formatCode>
                <c:ptCount val="19"/>
                <c:pt idx="0">
                  <c:v>1234.4635225</c:v>
                </c:pt>
                <c:pt idx="1">
                  <c:v>90.298962500000002</c:v>
                </c:pt>
                <c:pt idx="2">
                  <c:v>90.299962499999992</c:v>
                </c:pt>
                <c:pt idx="3">
                  <c:v>90.412040500000003</c:v>
                </c:pt>
                <c:pt idx="4">
                  <c:v>87.560804500000003</c:v>
                </c:pt>
                <c:pt idx="5">
                  <c:v>86.538545499999984</c:v>
                </c:pt>
                <c:pt idx="6">
                  <c:v>60.8507435</c:v>
                </c:pt>
                <c:pt idx="7">
                  <c:v>61.910216499999997</c:v>
                </c:pt>
                <c:pt idx="8">
                  <c:v>6.5441655000000001</c:v>
                </c:pt>
                <c:pt idx="9">
                  <c:v>7.0406865000000005</c:v>
                </c:pt>
                <c:pt idx="10">
                  <c:v>8.2356505000000002</c:v>
                </c:pt>
                <c:pt idx="11">
                  <c:v>8.5354104999999993</c:v>
                </c:pt>
                <c:pt idx="12">
                  <c:v>10.584930499999999</c:v>
                </c:pt>
                <c:pt idx="13">
                  <c:v>10.7907075</c:v>
                </c:pt>
                <c:pt idx="14">
                  <c:v>11.014364299999999</c:v>
                </c:pt>
                <c:pt idx="15">
                  <c:v>9.1956550000000004</c:v>
                </c:pt>
                <c:pt idx="16">
                  <c:v>9.4017812999999997</c:v>
                </c:pt>
                <c:pt idx="17">
                  <c:v>9.5952494999999995</c:v>
                </c:pt>
                <c:pt idx="18" formatCode="0">
                  <c:v>9.802367499999999</c:v>
                </c:pt>
              </c:numCache>
            </c:numRef>
          </c:yVal>
          <c:smooth val="1"/>
          <c:extLst>
            <c:ext xmlns:c16="http://schemas.microsoft.com/office/drawing/2014/chart" uri="{C3380CC4-5D6E-409C-BE32-E72D297353CC}">
              <c16:uniqueId val="{00000000-A384-4349-8814-D677C42D817A}"/>
            </c:ext>
          </c:extLst>
        </c:ser>
        <c:ser>
          <c:idx val="0"/>
          <c:order val="1"/>
          <c:tx>
            <c:strRef>
              <c:f>Canada!$H$12</c:f>
              <c:strCache>
                <c:ptCount val="1"/>
                <c:pt idx="0">
                  <c:v>Q historical</c:v>
                </c:pt>
              </c:strCache>
            </c:strRef>
          </c:tx>
          <c:spPr>
            <a:ln w="15875">
              <a:solidFill>
                <a:srgbClr val="333399"/>
              </a:solidFill>
            </a:ln>
          </c:spPr>
          <c:marker>
            <c:symbol val="none"/>
          </c:marker>
          <c:xVal>
            <c:numRef>
              <c:f>Canada!$D$147:$D$165</c:f>
              <c:numCache>
                <c:formatCode>General</c:formatCode>
                <c:ptCount val="19"/>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numCache>
            </c:numRef>
          </c:xVal>
          <c:yVal>
            <c:numRef>
              <c:f>Canada!$H$147:$H$165</c:f>
              <c:numCache>
                <c:formatCode>0.0</c:formatCode>
                <c:ptCount val="19"/>
                <c:pt idx="0">
                  <c:v>15.753551362568988</c:v>
                </c:pt>
                <c:pt idx="1">
                  <c:v>7.0431574202169429</c:v>
                </c:pt>
                <c:pt idx="2">
                  <c:v>5.4788350407039319</c:v>
                </c:pt>
                <c:pt idx="3">
                  <c:v>5.1220313131625383</c:v>
                </c:pt>
                <c:pt idx="4">
                  <c:v>5.1128680800162023</c:v>
                </c:pt>
                <c:pt idx="5">
                  <c:v>5.1928981037722091</c:v>
                </c:pt>
                <c:pt idx="6">
                  <c:v>5.3646663492711806</c:v>
                </c:pt>
                <c:pt idx="7">
                  <c:v>5.4005967461807165</c:v>
                </c:pt>
                <c:pt idx="8">
                  <c:v>5.3044553123098925</c:v>
                </c:pt>
                <c:pt idx="9">
                  <c:v>5.1191164884277978</c:v>
                </c:pt>
                <c:pt idx="10">
                  <c:v>4.9582216128302736</c:v>
                </c:pt>
                <c:pt idx="11">
                  <c:v>4.7965201983127335</c:v>
                </c:pt>
                <c:pt idx="12">
                  <c:v>4.6294970710939642</c:v>
                </c:pt>
                <c:pt idx="13">
                  <c:v>4.5167674667150628</c:v>
                </c:pt>
                <c:pt idx="14">
                  <c:v>4.4432048638506378</c:v>
                </c:pt>
                <c:pt idx="15">
                  <c:v>4.4043726754201451</c:v>
                </c:pt>
                <c:pt idx="16">
                  <c:v>4.406062610988938</c:v>
                </c:pt>
                <c:pt idx="17">
                  <c:v>4.4268343145542799</c:v>
                </c:pt>
                <c:pt idx="18">
                  <c:v>4.4435745743336579</c:v>
                </c:pt>
              </c:numCache>
            </c:numRef>
          </c:yVal>
          <c:smooth val="1"/>
          <c:extLst>
            <c:ext xmlns:c16="http://schemas.microsoft.com/office/drawing/2014/chart" uri="{C3380CC4-5D6E-409C-BE32-E72D297353CC}">
              <c16:uniqueId val="{00000001-A384-4349-8814-D677C42D817A}"/>
            </c:ext>
          </c:extLst>
        </c:ser>
        <c:dLbls>
          <c:showLegendKey val="0"/>
          <c:showVal val="0"/>
          <c:showCatName val="0"/>
          <c:showSerName val="0"/>
          <c:showPercent val="0"/>
          <c:showBubbleSize val="0"/>
        </c:dLbls>
        <c:axId val="137409280"/>
        <c:axId val="137410816"/>
      </c:scatterChart>
      <c:valAx>
        <c:axId val="137409280"/>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410816"/>
        <c:crossesAt val="-1000"/>
        <c:crossBetween val="midCat"/>
        <c:majorUnit val="60"/>
        <c:minorUnit val="10"/>
      </c:valAx>
      <c:valAx>
        <c:axId val="137410816"/>
        <c:scaling>
          <c:logBase val="10"/>
          <c:orientation val="minMax"/>
          <c:max val="1300"/>
          <c:min val="1"/>
        </c:scaling>
        <c:delete val="0"/>
        <c:axPos val="r"/>
        <c:title>
          <c:tx>
            <c:rich>
              <a:bodyPr rot="-5400000" vert="horz"/>
              <a:lstStyle/>
              <a:p>
                <a:pPr>
                  <a:defRPr sz="1200" b="0">
                    <a:solidFill>
                      <a:srgbClr val="333399"/>
                    </a:solidFill>
                  </a:defRPr>
                </a:pPr>
                <a:r>
                  <a:rPr lang="en-US" sz="1200" b="0">
                    <a:solidFill>
                      <a:srgbClr val="333399"/>
                    </a:solidFill>
                  </a:rPr>
                  <a:t>Long-term production, Gt</a:t>
                </a:r>
              </a:p>
            </c:rich>
          </c:tx>
          <c:layout>
            <c:manualLayout>
              <c:xMode val="edge"/>
              <c:yMode val="edge"/>
              <c:x val="0.96179660875723849"/>
              <c:y val="0.15451735199768199"/>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7409280"/>
        <c:crosses val="max"/>
        <c:crossBetween val="midCat"/>
        <c:majorUnit val="10"/>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5050405440533994"/>
          <c:h val="0.77264654418197765"/>
        </c:manualLayout>
      </c:layout>
      <c:scatterChart>
        <c:scatterStyle val="smoothMarker"/>
        <c:varyColors val="0"/>
        <c:ser>
          <c:idx val="0"/>
          <c:order val="0"/>
          <c:tx>
            <c:strRef>
              <c:f>'South Asia'!$E$10</c:f>
              <c:strCache>
                <c:ptCount val="1"/>
                <c:pt idx="0">
                  <c:v>p Mt</c:v>
                </c:pt>
              </c:strCache>
            </c:strRef>
          </c:tx>
          <c:spPr>
            <a:ln w="15875">
              <a:solidFill>
                <a:srgbClr val="008000"/>
              </a:solidFill>
            </a:ln>
          </c:spPr>
          <c:marker>
            <c:symbol val="none"/>
          </c:marker>
          <c:xVal>
            <c:numRef>
              <c:f>'South Asia'!$D$11:$D$362</c:f>
              <c:numCache>
                <c:formatCode>General</c:formatCode>
                <c:ptCount val="352"/>
                <c:pt idx="0">
                  <c:v>1889</c:v>
                </c:pt>
                <c:pt idx="1">
                  <c:v>1890</c:v>
                </c:pt>
                <c:pt idx="2">
                  <c:v>1891</c:v>
                </c:pt>
                <c:pt idx="3">
                  <c:v>1892</c:v>
                </c:pt>
                <c:pt idx="4">
                  <c:v>1893</c:v>
                </c:pt>
                <c:pt idx="5">
                  <c:v>1894</c:v>
                </c:pt>
                <c:pt idx="6">
                  <c:v>1895</c:v>
                </c:pt>
                <c:pt idx="7">
                  <c:v>1896</c:v>
                </c:pt>
                <c:pt idx="8">
                  <c:v>1897</c:v>
                </c:pt>
                <c:pt idx="9">
                  <c:v>1898</c:v>
                </c:pt>
                <c:pt idx="10">
                  <c:v>1899</c:v>
                </c:pt>
                <c:pt idx="11">
                  <c:v>1900</c:v>
                </c:pt>
                <c:pt idx="12">
                  <c:v>1901</c:v>
                </c:pt>
                <c:pt idx="13">
                  <c:v>1902</c:v>
                </c:pt>
                <c:pt idx="14">
                  <c:v>1903</c:v>
                </c:pt>
                <c:pt idx="15">
                  <c:v>1904</c:v>
                </c:pt>
                <c:pt idx="16">
                  <c:v>1905</c:v>
                </c:pt>
                <c:pt idx="17">
                  <c:v>1906</c:v>
                </c:pt>
                <c:pt idx="18">
                  <c:v>1907</c:v>
                </c:pt>
                <c:pt idx="19">
                  <c:v>1908</c:v>
                </c:pt>
                <c:pt idx="20">
                  <c:v>1909</c:v>
                </c:pt>
                <c:pt idx="21">
                  <c:v>1910</c:v>
                </c:pt>
                <c:pt idx="22">
                  <c:v>1911</c:v>
                </c:pt>
                <c:pt idx="23">
                  <c:v>1912</c:v>
                </c:pt>
                <c:pt idx="24">
                  <c:v>1913</c:v>
                </c:pt>
                <c:pt idx="25">
                  <c:v>1914</c:v>
                </c:pt>
                <c:pt idx="26">
                  <c:v>1915</c:v>
                </c:pt>
                <c:pt idx="27">
                  <c:v>1916</c:v>
                </c:pt>
                <c:pt idx="28">
                  <c:v>1917</c:v>
                </c:pt>
                <c:pt idx="29">
                  <c:v>1918</c:v>
                </c:pt>
                <c:pt idx="30">
                  <c:v>1919</c:v>
                </c:pt>
                <c:pt idx="31">
                  <c:v>1920</c:v>
                </c:pt>
                <c:pt idx="32">
                  <c:v>1921</c:v>
                </c:pt>
                <c:pt idx="33">
                  <c:v>1922</c:v>
                </c:pt>
                <c:pt idx="34">
                  <c:v>1923</c:v>
                </c:pt>
                <c:pt idx="35">
                  <c:v>1924</c:v>
                </c:pt>
                <c:pt idx="36">
                  <c:v>1925</c:v>
                </c:pt>
                <c:pt idx="37">
                  <c:v>1926</c:v>
                </c:pt>
                <c:pt idx="38">
                  <c:v>1927</c:v>
                </c:pt>
                <c:pt idx="39">
                  <c:v>1928</c:v>
                </c:pt>
                <c:pt idx="40">
                  <c:v>1929</c:v>
                </c:pt>
                <c:pt idx="41">
                  <c:v>1930</c:v>
                </c:pt>
                <c:pt idx="42">
                  <c:v>1931</c:v>
                </c:pt>
                <c:pt idx="43">
                  <c:v>1932</c:v>
                </c:pt>
                <c:pt idx="44">
                  <c:v>1933</c:v>
                </c:pt>
                <c:pt idx="45">
                  <c:v>1934</c:v>
                </c:pt>
                <c:pt idx="46">
                  <c:v>1935</c:v>
                </c:pt>
                <c:pt idx="47">
                  <c:v>1936</c:v>
                </c:pt>
                <c:pt idx="48">
                  <c:v>1937</c:v>
                </c:pt>
                <c:pt idx="49">
                  <c:v>1938</c:v>
                </c:pt>
                <c:pt idx="50">
                  <c:v>1939</c:v>
                </c:pt>
                <c:pt idx="51">
                  <c:v>1940</c:v>
                </c:pt>
                <c:pt idx="52">
                  <c:v>1941</c:v>
                </c:pt>
                <c:pt idx="53">
                  <c:v>1942</c:v>
                </c:pt>
                <c:pt idx="54">
                  <c:v>1943</c:v>
                </c:pt>
                <c:pt idx="55">
                  <c:v>1944</c:v>
                </c:pt>
                <c:pt idx="56">
                  <c:v>1945</c:v>
                </c:pt>
                <c:pt idx="57">
                  <c:v>1946</c:v>
                </c:pt>
                <c:pt idx="58">
                  <c:v>1947</c:v>
                </c:pt>
                <c:pt idx="59">
                  <c:v>1948</c:v>
                </c:pt>
                <c:pt idx="60">
                  <c:v>1949</c:v>
                </c:pt>
                <c:pt idx="61">
                  <c:v>1950</c:v>
                </c:pt>
                <c:pt idx="62">
                  <c:v>1951</c:v>
                </c:pt>
                <c:pt idx="63">
                  <c:v>1952</c:v>
                </c:pt>
                <c:pt idx="64">
                  <c:v>1953</c:v>
                </c:pt>
                <c:pt idx="65">
                  <c:v>1954</c:v>
                </c:pt>
                <c:pt idx="66">
                  <c:v>1955</c:v>
                </c:pt>
                <c:pt idx="67">
                  <c:v>1956</c:v>
                </c:pt>
                <c:pt idx="68">
                  <c:v>1957</c:v>
                </c:pt>
                <c:pt idx="69">
                  <c:v>1958</c:v>
                </c:pt>
                <c:pt idx="70">
                  <c:v>1959</c:v>
                </c:pt>
                <c:pt idx="71">
                  <c:v>1960</c:v>
                </c:pt>
                <c:pt idx="72">
                  <c:v>1961</c:v>
                </c:pt>
                <c:pt idx="73">
                  <c:v>1962</c:v>
                </c:pt>
                <c:pt idx="74">
                  <c:v>1963</c:v>
                </c:pt>
                <c:pt idx="75">
                  <c:v>1964</c:v>
                </c:pt>
                <c:pt idx="76">
                  <c:v>1965</c:v>
                </c:pt>
                <c:pt idx="77">
                  <c:v>1966</c:v>
                </c:pt>
                <c:pt idx="78">
                  <c:v>1967</c:v>
                </c:pt>
                <c:pt idx="79">
                  <c:v>1968</c:v>
                </c:pt>
                <c:pt idx="80">
                  <c:v>1969</c:v>
                </c:pt>
                <c:pt idx="81">
                  <c:v>1970</c:v>
                </c:pt>
                <c:pt idx="82">
                  <c:v>1971</c:v>
                </c:pt>
                <c:pt idx="83">
                  <c:v>1972</c:v>
                </c:pt>
                <c:pt idx="84">
                  <c:v>1973</c:v>
                </c:pt>
                <c:pt idx="85">
                  <c:v>1974</c:v>
                </c:pt>
                <c:pt idx="86">
                  <c:v>1975</c:v>
                </c:pt>
                <c:pt idx="87">
                  <c:v>1976</c:v>
                </c:pt>
                <c:pt idx="88">
                  <c:v>1977</c:v>
                </c:pt>
                <c:pt idx="89">
                  <c:v>1978</c:v>
                </c:pt>
                <c:pt idx="90">
                  <c:v>1979</c:v>
                </c:pt>
                <c:pt idx="91">
                  <c:v>1980</c:v>
                </c:pt>
                <c:pt idx="92">
                  <c:v>1981</c:v>
                </c:pt>
                <c:pt idx="93">
                  <c:v>1982</c:v>
                </c:pt>
                <c:pt idx="94">
                  <c:v>1983</c:v>
                </c:pt>
                <c:pt idx="95">
                  <c:v>1984</c:v>
                </c:pt>
                <c:pt idx="96">
                  <c:v>1985</c:v>
                </c:pt>
                <c:pt idx="97">
                  <c:v>1986</c:v>
                </c:pt>
                <c:pt idx="98">
                  <c:v>1987</c:v>
                </c:pt>
                <c:pt idx="99">
                  <c:v>1988</c:v>
                </c:pt>
                <c:pt idx="100">
                  <c:v>1989</c:v>
                </c:pt>
                <c:pt idx="101">
                  <c:v>1990</c:v>
                </c:pt>
                <c:pt idx="102">
                  <c:v>1991</c:v>
                </c:pt>
                <c:pt idx="103">
                  <c:v>1992</c:v>
                </c:pt>
                <c:pt idx="104">
                  <c:v>1993</c:v>
                </c:pt>
                <c:pt idx="105">
                  <c:v>1994</c:v>
                </c:pt>
                <c:pt idx="106">
                  <c:v>1995</c:v>
                </c:pt>
                <c:pt idx="107">
                  <c:v>1996</c:v>
                </c:pt>
                <c:pt idx="108">
                  <c:v>1997</c:v>
                </c:pt>
                <c:pt idx="109">
                  <c:v>1998</c:v>
                </c:pt>
                <c:pt idx="110">
                  <c:v>1999</c:v>
                </c:pt>
                <c:pt idx="111">
                  <c:v>2000</c:v>
                </c:pt>
                <c:pt idx="112">
                  <c:v>2001</c:v>
                </c:pt>
                <c:pt idx="113">
                  <c:v>2002</c:v>
                </c:pt>
                <c:pt idx="114">
                  <c:v>2003</c:v>
                </c:pt>
                <c:pt idx="115">
                  <c:v>2004</c:v>
                </c:pt>
                <c:pt idx="116">
                  <c:v>2005</c:v>
                </c:pt>
                <c:pt idx="117">
                  <c:v>2006</c:v>
                </c:pt>
                <c:pt idx="118">
                  <c:v>2007</c:v>
                </c:pt>
                <c:pt idx="119">
                  <c:v>2008</c:v>
                </c:pt>
                <c:pt idx="120">
                  <c:v>2009</c:v>
                </c:pt>
                <c:pt idx="121">
                  <c:v>2010</c:v>
                </c:pt>
                <c:pt idx="122">
                  <c:v>2011</c:v>
                </c:pt>
                <c:pt idx="123">
                  <c:v>2012</c:v>
                </c:pt>
                <c:pt idx="124">
                  <c:v>2013</c:v>
                </c:pt>
                <c:pt idx="125">
                  <c:v>2014</c:v>
                </c:pt>
                <c:pt idx="126">
                  <c:v>2015</c:v>
                </c:pt>
                <c:pt idx="127">
                  <c:v>2016</c:v>
                </c:pt>
                <c:pt idx="128">
                  <c:v>2017</c:v>
                </c:pt>
                <c:pt idx="129">
                  <c:v>2018</c:v>
                </c:pt>
                <c:pt idx="130">
                  <c:v>2019</c:v>
                </c:pt>
                <c:pt idx="131">
                  <c:v>2020</c:v>
                </c:pt>
                <c:pt idx="132">
                  <c:v>2021</c:v>
                </c:pt>
                <c:pt idx="133">
                  <c:v>2022</c:v>
                </c:pt>
                <c:pt idx="134">
                  <c:v>2023</c:v>
                </c:pt>
                <c:pt idx="135">
                  <c:v>2024</c:v>
                </c:pt>
                <c:pt idx="136">
                  <c:v>2025</c:v>
                </c:pt>
                <c:pt idx="137">
                  <c:v>2026</c:v>
                </c:pt>
                <c:pt idx="138">
                  <c:v>2027</c:v>
                </c:pt>
                <c:pt idx="139">
                  <c:v>2028</c:v>
                </c:pt>
                <c:pt idx="140">
                  <c:v>2029</c:v>
                </c:pt>
                <c:pt idx="141">
                  <c:v>2030</c:v>
                </c:pt>
                <c:pt idx="142">
                  <c:v>2031</c:v>
                </c:pt>
                <c:pt idx="143">
                  <c:v>2032</c:v>
                </c:pt>
                <c:pt idx="144">
                  <c:v>2033</c:v>
                </c:pt>
                <c:pt idx="145">
                  <c:v>2034</c:v>
                </c:pt>
                <c:pt idx="146">
                  <c:v>2035</c:v>
                </c:pt>
                <c:pt idx="147">
                  <c:v>2036</c:v>
                </c:pt>
                <c:pt idx="148">
                  <c:v>2037</c:v>
                </c:pt>
                <c:pt idx="149">
                  <c:v>2038</c:v>
                </c:pt>
                <c:pt idx="150">
                  <c:v>2039</c:v>
                </c:pt>
                <c:pt idx="151">
                  <c:v>2040</c:v>
                </c:pt>
                <c:pt idx="152">
                  <c:v>2041</c:v>
                </c:pt>
                <c:pt idx="153">
                  <c:v>2042</c:v>
                </c:pt>
                <c:pt idx="154">
                  <c:v>2043</c:v>
                </c:pt>
                <c:pt idx="155">
                  <c:v>2044</c:v>
                </c:pt>
                <c:pt idx="156">
                  <c:v>2045</c:v>
                </c:pt>
                <c:pt idx="157">
                  <c:v>2046</c:v>
                </c:pt>
                <c:pt idx="158">
                  <c:v>2047</c:v>
                </c:pt>
                <c:pt idx="159">
                  <c:v>2048</c:v>
                </c:pt>
                <c:pt idx="160">
                  <c:v>2049</c:v>
                </c:pt>
                <c:pt idx="161">
                  <c:v>2050</c:v>
                </c:pt>
                <c:pt idx="162">
                  <c:v>2051</c:v>
                </c:pt>
                <c:pt idx="163">
                  <c:v>2052</c:v>
                </c:pt>
                <c:pt idx="164">
                  <c:v>2053</c:v>
                </c:pt>
                <c:pt idx="165">
                  <c:v>2054</c:v>
                </c:pt>
                <c:pt idx="166">
                  <c:v>2055</c:v>
                </c:pt>
                <c:pt idx="167">
                  <c:v>2056</c:v>
                </c:pt>
                <c:pt idx="168">
                  <c:v>2057</c:v>
                </c:pt>
                <c:pt idx="169">
                  <c:v>2058</c:v>
                </c:pt>
                <c:pt idx="170">
                  <c:v>2059</c:v>
                </c:pt>
                <c:pt idx="171">
                  <c:v>2060</c:v>
                </c:pt>
                <c:pt idx="172">
                  <c:v>2061</c:v>
                </c:pt>
                <c:pt idx="173">
                  <c:v>2062</c:v>
                </c:pt>
                <c:pt idx="174">
                  <c:v>2063</c:v>
                </c:pt>
                <c:pt idx="175">
                  <c:v>2064</c:v>
                </c:pt>
                <c:pt idx="176">
                  <c:v>2065</c:v>
                </c:pt>
                <c:pt idx="177">
                  <c:v>2066</c:v>
                </c:pt>
                <c:pt idx="178">
                  <c:v>2067</c:v>
                </c:pt>
                <c:pt idx="179">
                  <c:v>2068</c:v>
                </c:pt>
                <c:pt idx="180">
                  <c:v>2069</c:v>
                </c:pt>
                <c:pt idx="181">
                  <c:v>2070</c:v>
                </c:pt>
                <c:pt idx="182">
                  <c:v>2071</c:v>
                </c:pt>
                <c:pt idx="183">
                  <c:v>2072</c:v>
                </c:pt>
                <c:pt idx="184">
                  <c:v>2073</c:v>
                </c:pt>
                <c:pt idx="185">
                  <c:v>2074</c:v>
                </c:pt>
                <c:pt idx="186">
                  <c:v>2075</c:v>
                </c:pt>
                <c:pt idx="187">
                  <c:v>2076</c:v>
                </c:pt>
                <c:pt idx="188">
                  <c:v>2077</c:v>
                </c:pt>
                <c:pt idx="189">
                  <c:v>2078</c:v>
                </c:pt>
                <c:pt idx="190">
                  <c:v>2079</c:v>
                </c:pt>
                <c:pt idx="191">
                  <c:v>2080</c:v>
                </c:pt>
                <c:pt idx="192">
                  <c:v>2081</c:v>
                </c:pt>
                <c:pt idx="193">
                  <c:v>2082</c:v>
                </c:pt>
                <c:pt idx="194">
                  <c:v>2083</c:v>
                </c:pt>
                <c:pt idx="195">
                  <c:v>2084</c:v>
                </c:pt>
                <c:pt idx="196">
                  <c:v>2085</c:v>
                </c:pt>
                <c:pt idx="197">
                  <c:v>2086</c:v>
                </c:pt>
                <c:pt idx="198">
                  <c:v>2087</c:v>
                </c:pt>
                <c:pt idx="199">
                  <c:v>2088</c:v>
                </c:pt>
                <c:pt idx="200">
                  <c:v>2089</c:v>
                </c:pt>
                <c:pt idx="201">
                  <c:v>2090</c:v>
                </c:pt>
                <c:pt idx="202">
                  <c:v>2091</c:v>
                </c:pt>
                <c:pt idx="203">
                  <c:v>2092</c:v>
                </c:pt>
                <c:pt idx="204">
                  <c:v>2093</c:v>
                </c:pt>
                <c:pt idx="205">
                  <c:v>2094</c:v>
                </c:pt>
                <c:pt idx="206">
                  <c:v>2095</c:v>
                </c:pt>
                <c:pt idx="207">
                  <c:v>2096</c:v>
                </c:pt>
                <c:pt idx="208">
                  <c:v>2097</c:v>
                </c:pt>
                <c:pt idx="209">
                  <c:v>2098</c:v>
                </c:pt>
                <c:pt idx="210">
                  <c:v>2099</c:v>
                </c:pt>
                <c:pt idx="211">
                  <c:v>2100</c:v>
                </c:pt>
                <c:pt idx="212">
                  <c:v>2101</c:v>
                </c:pt>
                <c:pt idx="213">
                  <c:v>2102</c:v>
                </c:pt>
                <c:pt idx="214">
                  <c:v>2103</c:v>
                </c:pt>
                <c:pt idx="215">
                  <c:v>2104</c:v>
                </c:pt>
                <c:pt idx="216">
                  <c:v>2105</c:v>
                </c:pt>
                <c:pt idx="217">
                  <c:v>2106</c:v>
                </c:pt>
                <c:pt idx="218">
                  <c:v>2107</c:v>
                </c:pt>
                <c:pt idx="219">
                  <c:v>2108</c:v>
                </c:pt>
                <c:pt idx="220">
                  <c:v>2109</c:v>
                </c:pt>
                <c:pt idx="221">
                  <c:v>2110</c:v>
                </c:pt>
                <c:pt idx="222">
                  <c:v>2111</c:v>
                </c:pt>
                <c:pt idx="223">
                  <c:v>2112</c:v>
                </c:pt>
                <c:pt idx="224">
                  <c:v>2113</c:v>
                </c:pt>
                <c:pt idx="225">
                  <c:v>2114</c:v>
                </c:pt>
                <c:pt idx="226">
                  <c:v>2115</c:v>
                </c:pt>
                <c:pt idx="227">
                  <c:v>2116</c:v>
                </c:pt>
                <c:pt idx="228">
                  <c:v>2117</c:v>
                </c:pt>
                <c:pt idx="229">
                  <c:v>2118</c:v>
                </c:pt>
                <c:pt idx="230">
                  <c:v>2119</c:v>
                </c:pt>
                <c:pt idx="231">
                  <c:v>2120</c:v>
                </c:pt>
                <c:pt idx="232">
                  <c:v>2121</c:v>
                </c:pt>
                <c:pt idx="233">
                  <c:v>2122</c:v>
                </c:pt>
                <c:pt idx="234">
                  <c:v>2123</c:v>
                </c:pt>
                <c:pt idx="235">
                  <c:v>2124</c:v>
                </c:pt>
                <c:pt idx="236">
                  <c:v>2125</c:v>
                </c:pt>
                <c:pt idx="237">
                  <c:v>2126</c:v>
                </c:pt>
                <c:pt idx="238">
                  <c:v>2127</c:v>
                </c:pt>
                <c:pt idx="239">
                  <c:v>2128</c:v>
                </c:pt>
                <c:pt idx="240">
                  <c:v>2129</c:v>
                </c:pt>
                <c:pt idx="241">
                  <c:v>2130</c:v>
                </c:pt>
                <c:pt idx="242">
                  <c:v>2131</c:v>
                </c:pt>
                <c:pt idx="243">
                  <c:v>2132</c:v>
                </c:pt>
                <c:pt idx="244">
                  <c:v>2133</c:v>
                </c:pt>
                <c:pt idx="245">
                  <c:v>2134</c:v>
                </c:pt>
                <c:pt idx="246">
                  <c:v>2135</c:v>
                </c:pt>
                <c:pt idx="247">
                  <c:v>2136</c:v>
                </c:pt>
                <c:pt idx="248">
                  <c:v>2137</c:v>
                </c:pt>
                <c:pt idx="249">
                  <c:v>2138</c:v>
                </c:pt>
                <c:pt idx="250">
                  <c:v>2139</c:v>
                </c:pt>
                <c:pt idx="251">
                  <c:v>2140</c:v>
                </c:pt>
                <c:pt idx="252">
                  <c:v>2141</c:v>
                </c:pt>
                <c:pt idx="253">
                  <c:v>2142</c:v>
                </c:pt>
                <c:pt idx="254">
                  <c:v>2143</c:v>
                </c:pt>
                <c:pt idx="255">
                  <c:v>2144</c:v>
                </c:pt>
                <c:pt idx="256">
                  <c:v>2145</c:v>
                </c:pt>
                <c:pt idx="257">
                  <c:v>2146</c:v>
                </c:pt>
                <c:pt idx="258">
                  <c:v>2147</c:v>
                </c:pt>
                <c:pt idx="259">
                  <c:v>2148</c:v>
                </c:pt>
                <c:pt idx="260">
                  <c:v>2149</c:v>
                </c:pt>
                <c:pt idx="261">
                  <c:v>2150</c:v>
                </c:pt>
              </c:numCache>
            </c:numRef>
          </c:xVal>
          <c:yVal>
            <c:numRef>
              <c:f>'South Asia'!$E$11:$E$362</c:f>
              <c:numCache>
                <c:formatCode>0.0</c:formatCode>
                <c:ptCount val="352"/>
                <c:pt idx="1">
                  <c:v>2.2090000000000001</c:v>
                </c:pt>
                <c:pt idx="2">
                  <c:v>2.3740000000000001</c:v>
                </c:pt>
                <c:pt idx="3">
                  <c:v>2.649</c:v>
                </c:pt>
                <c:pt idx="4">
                  <c:v>2.67</c:v>
                </c:pt>
                <c:pt idx="5">
                  <c:v>2.9660000000000002</c:v>
                </c:pt>
                <c:pt idx="6">
                  <c:v>3.726</c:v>
                </c:pt>
                <c:pt idx="7">
                  <c:v>4.07</c:v>
                </c:pt>
                <c:pt idx="8">
                  <c:v>4.3140000000000001</c:v>
                </c:pt>
                <c:pt idx="9">
                  <c:v>5.0940000000000003</c:v>
                </c:pt>
                <c:pt idx="10">
                  <c:v>5.6669999999999998</c:v>
                </c:pt>
                <c:pt idx="11">
                  <c:v>6.6630000000000003</c:v>
                </c:pt>
                <c:pt idx="12">
                  <c:v>7.2759999999999998</c:v>
                </c:pt>
                <c:pt idx="13">
                  <c:v>8.1639999999999997</c:v>
                </c:pt>
                <c:pt idx="14">
                  <c:v>8.1519999999999992</c:v>
                </c:pt>
                <c:pt idx="15">
                  <c:v>8.9290000000000003</c:v>
                </c:pt>
                <c:pt idx="16">
                  <c:v>9.2520000000000007</c:v>
                </c:pt>
                <c:pt idx="17">
                  <c:v>10.731</c:v>
                </c:pt>
                <c:pt idx="18">
                  <c:v>12.186999999999999</c:v>
                </c:pt>
                <c:pt idx="19">
                  <c:v>13.914</c:v>
                </c:pt>
                <c:pt idx="20">
                  <c:v>13.153</c:v>
                </c:pt>
                <c:pt idx="21">
                  <c:v>13.544</c:v>
                </c:pt>
                <c:pt idx="22">
                  <c:v>14.237</c:v>
                </c:pt>
                <c:pt idx="23">
                  <c:v>16.268999999999998</c:v>
                </c:pt>
                <c:pt idx="24">
                  <c:v>17.861000000000001</c:v>
                </c:pt>
                <c:pt idx="25">
                  <c:v>18.312999999999999</c:v>
                </c:pt>
                <c:pt idx="26">
                  <c:v>19.045000000000002</c:v>
                </c:pt>
                <c:pt idx="27">
                  <c:v>19.591999999999999</c:v>
                </c:pt>
                <c:pt idx="28">
                  <c:v>20.797000000000001</c:v>
                </c:pt>
                <c:pt idx="29">
                  <c:v>23.544</c:v>
                </c:pt>
                <c:pt idx="30">
                  <c:v>30.928000000000001</c:v>
                </c:pt>
                <c:pt idx="31">
                  <c:v>21.504999999999999</c:v>
                </c:pt>
                <c:pt idx="32">
                  <c:v>23.126000000000001</c:v>
                </c:pt>
                <c:pt idx="33">
                  <c:v>23.02</c:v>
                </c:pt>
                <c:pt idx="34">
                  <c:v>23.995000000000001</c:v>
                </c:pt>
                <c:pt idx="35">
                  <c:v>26.16</c:v>
                </c:pt>
                <c:pt idx="36">
                  <c:v>26.172000000000001</c:v>
                </c:pt>
                <c:pt idx="37">
                  <c:v>26.387</c:v>
                </c:pt>
                <c:pt idx="38">
                  <c:v>27.721</c:v>
                </c:pt>
                <c:pt idx="39">
                  <c:v>28.739000000000001</c:v>
                </c:pt>
                <c:pt idx="40">
                  <c:v>29.788</c:v>
                </c:pt>
                <c:pt idx="41">
                  <c:v>30.177</c:v>
                </c:pt>
                <c:pt idx="42">
                  <c:v>27.023</c:v>
                </c:pt>
                <c:pt idx="43">
                  <c:v>24.873000000000001</c:v>
                </c:pt>
                <c:pt idx="44">
                  <c:v>24.481000000000002</c:v>
                </c:pt>
                <c:pt idx="45">
                  <c:v>26.907</c:v>
                </c:pt>
                <c:pt idx="46">
                  <c:v>28.276</c:v>
                </c:pt>
                <c:pt idx="47">
                  <c:v>28.591999999999999</c:v>
                </c:pt>
                <c:pt idx="48">
                  <c:v>31.736000000000001</c:v>
                </c:pt>
                <c:pt idx="49">
                  <c:v>35.316000000000003</c:v>
                </c:pt>
                <c:pt idx="50">
                  <c:v>35.799999999999997</c:v>
                </c:pt>
                <c:pt idx="51">
                  <c:v>38.158999999999999</c:v>
                </c:pt>
                <c:pt idx="52">
                  <c:v>37.898000000000003</c:v>
                </c:pt>
                <c:pt idx="53">
                  <c:v>33.835000000000001</c:v>
                </c:pt>
                <c:pt idx="54">
                  <c:v>29.745000000000001</c:v>
                </c:pt>
                <c:pt idx="55">
                  <c:v>29.513000000000002</c:v>
                </c:pt>
                <c:pt idx="56">
                  <c:v>31.346</c:v>
                </c:pt>
                <c:pt idx="57">
                  <c:v>32.08</c:v>
                </c:pt>
                <c:pt idx="58">
                  <c:v>32.966000000000001</c:v>
                </c:pt>
                <c:pt idx="59">
                  <c:v>34.015999999999998</c:v>
                </c:pt>
                <c:pt idx="60">
                  <c:v>35.887</c:v>
                </c:pt>
                <c:pt idx="61">
                  <c:v>36.764000000000003</c:v>
                </c:pt>
                <c:pt idx="62">
                  <c:v>39.381</c:v>
                </c:pt>
                <c:pt idx="63">
                  <c:v>42.268000000000001</c:v>
                </c:pt>
                <c:pt idx="64">
                  <c:v>41.942</c:v>
                </c:pt>
                <c:pt idx="65">
                  <c:v>42.667000000000002</c:v>
                </c:pt>
                <c:pt idx="66">
                  <c:v>44.304000000000002</c:v>
                </c:pt>
                <c:pt idx="67">
                  <c:v>45.779000000000003</c:v>
                </c:pt>
                <c:pt idx="68">
                  <c:v>50.106499999999997</c:v>
                </c:pt>
                <c:pt idx="69">
                  <c:v>52.792000000000002</c:v>
                </c:pt>
                <c:pt idx="70">
                  <c:v>55.597000000000001</c:v>
                </c:pt>
                <c:pt idx="71">
                  <c:v>61.255000000000003</c:v>
                </c:pt>
                <c:pt idx="72">
                  <c:v>65.343999999999994</c:v>
                </c:pt>
                <c:pt idx="73">
                  <c:v>71.762</c:v>
                </c:pt>
                <c:pt idx="74">
                  <c:v>77.674000000000007</c:v>
                </c:pt>
                <c:pt idx="75">
                  <c:v>74.787000000000006</c:v>
                </c:pt>
                <c:pt idx="76">
                  <c:v>80.421999999999997</c:v>
                </c:pt>
                <c:pt idx="77">
                  <c:v>81.444000000000003</c:v>
                </c:pt>
                <c:pt idx="78">
                  <c:v>81.423000000000002</c:v>
                </c:pt>
                <c:pt idx="79">
                  <c:v>85.096999999999994</c:v>
                </c:pt>
                <c:pt idx="80">
                  <c:v>89.798000000000002</c:v>
                </c:pt>
                <c:pt idx="81">
                  <c:v>87.335999999999999</c:v>
                </c:pt>
                <c:pt idx="82">
                  <c:v>85.32</c:v>
                </c:pt>
                <c:pt idx="83">
                  <c:v>87.539000000000001</c:v>
                </c:pt>
                <c:pt idx="84">
                  <c:v>90.436000000000007</c:v>
                </c:pt>
                <c:pt idx="85">
                  <c:v>97.224999999999994</c:v>
                </c:pt>
                <c:pt idx="86">
                  <c:v>110.334</c:v>
                </c:pt>
                <c:pt idx="87">
                  <c:v>116.654</c:v>
                </c:pt>
                <c:pt idx="88">
                  <c:v>116.405</c:v>
                </c:pt>
                <c:pt idx="89">
                  <c:v>117.59399999999999</c:v>
                </c:pt>
                <c:pt idx="90">
                  <c:v>119.184</c:v>
                </c:pt>
                <c:pt idx="91">
                  <c:v>126.27</c:v>
                </c:pt>
                <c:pt idx="92">
                  <c:v>143.39699775996277</c:v>
                </c:pt>
                <c:pt idx="93">
                  <c:v>149.17655025968429</c:v>
                </c:pt>
                <c:pt idx="94">
                  <c:v>157.45884391033536</c:v>
                </c:pt>
                <c:pt idx="95">
                  <c:v>168.32899752241229</c:v>
                </c:pt>
                <c:pt idx="96">
                  <c:v>176.9869973705004</c:v>
                </c:pt>
                <c:pt idx="97">
                  <c:v>189.83599736281724</c:v>
                </c:pt>
                <c:pt idx="98">
                  <c:v>208.16499737490375</c:v>
                </c:pt>
                <c:pt idx="99">
                  <c:v>221.56599737629651</c:v>
                </c:pt>
                <c:pt idx="100">
                  <c:v>244.33099741188195</c:v>
                </c:pt>
                <c:pt idx="101">
                  <c:v>258.43299759843558</c:v>
                </c:pt>
                <c:pt idx="102">
                  <c:v>280.11351122805701</c:v>
                </c:pt>
                <c:pt idx="103">
                  <c:v>302.78917936137424</c:v>
                </c:pt>
                <c:pt idx="104">
                  <c:v>319.14170014341533</c:v>
                </c:pt>
                <c:pt idx="105">
                  <c:v>332.956587194051</c:v>
                </c:pt>
                <c:pt idx="106">
                  <c:v>362.19329283589354</c:v>
                </c:pt>
                <c:pt idx="107">
                  <c:v>397.59810806685243</c:v>
                </c:pt>
                <c:pt idx="108">
                  <c:v>414.3251080990234</c:v>
                </c:pt>
                <c:pt idx="109">
                  <c:v>420.28210821184473</c:v>
                </c:pt>
                <c:pt idx="110">
                  <c:v>421.39072764654452</c:v>
                </c:pt>
                <c:pt idx="111">
                  <c:v>447.91458627262</c:v>
                </c:pt>
                <c:pt idx="112">
                  <c:v>473.44583947493919</c:v>
                </c:pt>
                <c:pt idx="113">
                  <c:v>504.38347671666179</c:v>
                </c:pt>
                <c:pt idx="114">
                  <c:v>535.36838770548627</c:v>
                </c:pt>
                <c:pt idx="115">
                  <c:v>594.81050246469783</c:v>
                </c:pt>
                <c:pt idx="116">
                  <c:v>644.01965069250946</c:v>
                </c:pt>
                <c:pt idx="117">
                  <c:v>710.60737124323271</c:v>
                </c:pt>
                <c:pt idx="118">
                  <c:v>762.39640624098774</c:v>
                </c:pt>
                <c:pt idx="119">
                  <c:v>820.32621482361333</c:v>
                </c:pt>
                <c:pt idx="120">
                  <c:v>895.15278766196468</c:v>
                </c:pt>
              </c:numCache>
            </c:numRef>
          </c:yVal>
          <c:smooth val="1"/>
          <c:extLst>
            <c:ext xmlns:c16="http://schemas.microsoft.com/office/drawing/2014/chart" uri="{C3380CC4-5D6E-409C-BE32-E72D297353CC}">
              <c16:uniqueId val="{00000000-82D7-8944-ADDF-51C287D970C0}"/>
            </c:ext>
          </c:extLst>
        </c:ser>
        <c:dLbls>
          <c:showLegendKey val="0"/>
          <c:showVal val="0"/>
          <c:showCatName val="0"/>
          <c:showSerName val="0"/>
          <c:showPercent val="0"/>
          <c:showBubbleSize val="0"/>
        </c:dLbls>
        <c:axId val="137496064"/>
        <c:axId val="137581312"/>
      </c:scatterChart>
      <c:valAx>
        <c:axId val="137496064"/>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581312"/>
        <c:crosses val="autoZero"/>
        <c:crossBetween val="midCat"/>
        <c:majorUnit val="50"/>
        <c:minorUnit val="10"/>
      </c:valAx>
      <c:valAx>
        <c:axId val="137581312"/>
        <c:scaling>
          <c:orientation val="minMax"/>
          <c:max val="1000"/>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240681576144838"/>
              <c:y val="0.17766550014581511"/>
            </c:manualLayout>
          </c:layout>
          <c:overlay val="0"/>
        </c:title>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496064"/>
        <c:crosses val="max"/>
        <c:crossBetween val="midCat"/>
        <c:majorUnit val="500"/>
        <c:minorUnit val="10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328360712099483"/>
          <c:h val="0.77264654418197765"/>
        </c:manualLayout>
      </c:layout>
      <c:scatterChart>
        <c:scatterStyle val="smoothMarker"/>
        <c:varyColors val="0"/>
        <c:ser>
          <c:idx val="1"/>
          <c:order val="0"/>
          <c:tx>
            <c:strRef>
              <c:f>'South Asia'!$G$3</c:f>
              <c:strCache>
                <c:ptCount val="1"/>
                <c:pt idx="0">
                  <c:v>trend</c:v>
                </c:pt>
              </c:strCache>
            </c:strRef>
          </c:tx>
          <c:spPr>
            <a:ln w="15875">
              <a:solidFill>
                <a:srgbClr val="808080"/>
              </a:solidFill>
              <a:prstDash val="dash"/>
            </a:ln>
          </c:spPr>
          <c:marker>
            <c:symbol val="none"/>
          </c:marker>
          <c:xVal>
            <c:numRef>
              <c:f>'South Asia'!$E$3:$E$4</c:f>
              <c:numCache>
                <c:formatCode>General</c:formatCode>
                <c:ptCount val="2"/>
                <c:pt idx="0">
                  <c:v>1985</c:v>
                </c:pt>
                <c:pt idx="1">
                  <c:v>2009</c:v>
                </c:pt>
              </c:numCache>
            </c:numRef>
          </c:xVal>
          <c:yVal>
            <c:numRef>
              <c:f>'South Asia'!$F$3:$F$4</c:f>
              <c:numCache>
                <c:formatCode>0.00</c:formatCode>
                <c:ptCount val="2"/>
                <c:pt idx="0">
                  <c:v>-2.8629851760645315</c:v>
                </c:pt>
                <c:pt idx="1">
                  <c:v>-1.4746748030856234</c:v>
                </c:pt>
              </c:numCache>
            </c:numRef>
          </c:yVal>
          <c:smooth val="1"/>
          <c:extLst>
            <c:ext xmlns:c16="http://schemas.microsoft.com/office/drawing/2014/chart" uri="{C3380CC4-5D6E-409C-BE32-E72D297353CC}">
              <c16:uniqueId val="{00000000-617C-1C48-83E3-8EC8BE216AC3}"/>
            </c:ext>
          </c:extLst>
        </c:ser>
        <c:ser>
          <c:idx val="0"/>
          <c:order val="1"/>
          <c:tx>
            <c:strRef>
              <c:f>'South Asia'!$G$10</c:f>
              <c:strCache>
                <c:ptCount val="1"/>
                <c:pt idx="0">
                  <c:v>logit</c:v>
                </c:pt>
              </c:strCache>
            </c:strRef>
          </c:tx>
          <c:spPr>
            <a:ln w="15875">
              <a:solidFill>
                <a:srgbClr val="008000"/>
              </a:solidFill>
            </a:ln>
          </c:spPr>
          <c:marker>
            <c:symbol val="none"/>
          </c:marker>
          <c:xVal>
            <c:numRef>
              <c:f>'South Asia'!$D$107:$D$201</c:f>
              <c:numCache>
                <c:formatCode>General</c:formatCode>
                <c:ptCount val="95"/>
                <c:pt idx="0">
                  <c:v>1985</c:v>
                </c:pt>
                <c:pt idx="1">
                  <c:v>1986</c:v>
                </c:pt>
                <c:pt idx="2">
                  <c:v>1987</c:v>
                </c:pt>
                <c:pt idx="3">
                  <c:v>1988</c:v>
                </c:pt>
                <c:pt idx="4">
                  <c:v>1989</c:v>
                </c:pt>
                <c:pt idx="5">
                  <c:v>1990</c:v>
                </c:pt>
                <c:pt idx="6">
                  <c:v>1991</c:v>
                </c:pt>
                <c:pt idx="7">
                  <c:v>1992</c:v>
                </c:pt>
                <c:pt idx="8">
                  <c:v>1993</c:v>
                </c:pt>
                <c:pt idx="9">
                  <c:v>1994</c:v>
                </c:pt>
                <c:pt idx="10">
                  <c:v>1995</c:v>
                </c:pt>
                <c:pt idx="11">
                  <c:v>1996</c:v>
                </c:pt>
                <c:pt idx="12">
                  <c:v>1997</c:v>
                </c:pt>
                <c:pt idx="13">
                  <c:v>1998</c:v>
                </c:pt>
                <c:pt idx="14">
                  <c:v>1999</c:v>
                </c:pt>
                <c:pt idx="15">
                  <c:v>2000</c:v>
                </c:pt>
                <c:pt idx="16">
                  <c:v>2001</c:v>
                </c:pt>
                <c:pt idx="17">
                  <c:v>2002</c:v>
                </c:pt>
                <c:pt idx="18">
                  <c:v>2003</c:v>
                </c:pt>
                <c:pt idx="19">
                  <c:v>2004</c:v>
                </c:pt>
                <c:pt idx="20">
                  <c:v>2005</c:v>
                </c:pt>
                <c:pt idx="21">
                  <c:v>2006</c:v>
                </c:pt>
                <c:pt idx="22">
                  <c:v>2007</c:v>
                </c:pt>
                <c:pt idx="23">
                  <c:v>2008</c:v>
                </c:pt>
                <c:pt idx="24">
                  <c:v>2009</c:v>
                </c:pt>
                <c:pt idx="25">
                  <c:v>2010</c:v>
                </c:pt>
                <c:pt idx="26">
                  <c:v>2011</c:v>
                </c:pt>
                <c:pt idx="27">
                  <c:v>2012</c:v>
                </c:pt>
                <c:pt idx="28">
                  <c:v>2013</c:v>
                </c:pt>
                <c:pt idx="29">
                  <c:v>2014</c:v>
                </c:pt>
                <c:pt idx="30">
                  <c:v>2015</c:v>
                </c:pt>
                <c:pt idx="31">
                  <c:v>2016</c:v>
                </c:pt>
                <c:pt idx="32">
                  <c:v>2017</c:v>
                </c:pt>
                <c:pt idx="33">
                  <c:v>2018</c:v>
                </c:pt>
                <c:pt idx="34">
                  <c:v>2019</c:v>
                </c:pt>
                <c:pt idx="35">
                  <c:v>2020</c:v>
                </c:pt>
                <c:pt idx="36">
                  <c:v>2021</c:v>
                </c:pt>
                <c:pt idx="37">
                  <c:v>2022</c:v>
                </c:pt>
                <c:pt idx="38">
                  <c:v>2023</c:v>
                </c:pt>
                <c:pt idx="39">
                  <c:v>2024</c:v>
                </c:pt>
                <c:pt idx="40">
                  <c:v>2025</c:v>
                </c:pt>
                <c:pt idx="41">
                  <c:v>2026</c:v>
                </c:pt>
                <c:pt idx="42">
                  <c:v>2027</c:v>
                </c:pt>
                <c:pt idx="43">
                  <c:v>2028</c:v>
                </c:pt>
                <c:pt idx="44">
                  <c:v>2029</c:v>
                </c:pt>
                <c:pt idx="45">
                  <c:v>2030</c:v>
                </c:pt>
                <c:pt idx="46">
                  <c:v>2031</c:v>
                </c:pt>
                <c:pt idx="47">
                  <c:v>2032</c:v>
                </c:pt>
                <c:pt idx="48">
                  <c:v>2033</c:v>
                </c:pt>
                <c:pt idx="49">
                  <c:v>2034</c:v>
                </c:pt>
                <c:pt idx="50">
                  <c:v>2035</c:v>
                </c:pt>
                <c:pt idx="51">
                  <c:v>2036</c:v>
                </c:pt>
                <c:pt idx="52">
                  <c:v>2037</c:v>
                </c:pt>
                <c:pt idx="53">
                  <c:v>2038</c:v>
                </c:pt>
                <c:pt idx="54">
                  <c:v>2039</c:v>
                </c:pt>
                <c:pt idx="55">
                  <c:v>2040</c:v>
                </c:pt>
                <c:pt idx="56">
                  <c:v>2041</c:v>
                </c:pt>
                <c:pt idx="57">
                  <c:v>2042</c:v>
                </c:pt>
                <c:pt idx="58">
                  <c:v>2043</c:v>
                </c:pt>
                <c:pt idx="59">
                  <c:v>2044</c:v>
                </c:pt>
                <c:pt idx="60">
                  <c:v>2045</c:v>
                </c:pt>
                <c:pt idx="61">
                  <c:v>2046</c:v>
                </c:pt>
                <c:pt idx="62">
                  <c:v>2047</c:v>
                </c:pt>
                <c:pt idx="63">
                  <c:v>2048</c:v>
                </c:pt>
                <c:pt idx="64">
                  <c:v>2049</c:v>
                </c:pt>
                <c:pt idx="65">
                  <c:v>2050</c:v>
                </c:pt>
                <c:pt idx="66">
                  <c:v>2051</c:v>
                </c:pt>
                <c:pt idx="67">
                  <c:v>2052</c:v>
                </c:pt>
                <c:pt idx="68">
                  <c:v>2053</c:v>
                </c:pt>
                <c:pt idx="69">
                  <c:v>2054</c:v>
                </c:pt>
                <c:pt idx="70">
                  <c:v>2055</c:v>
                </c:pt>
                <c:pt idx="71">
                  <c:v>2056</c:v>
                </c:pt>
                <c:pt idx="72">
                  <c:v>2057</c:v>
                </c:pt>
                <c:pt idx="73">
                  <c:v>2058</c:v>
                </c:pt>
                <c:pt idx="74">
                  <c:v>2059</c:v>
                </c:pt>
                <c:pt idx="75">
                  <c:v>2060</c:v>
                </c:pt>
                <c:pt idx="76">
                  <c:v>2061</c:v>
                </c:pt>
                <c:pt idx="77">
                  <c:v>2062</c:v>
                </c:pt>
                <c:pt idx="78">
                  <c:v>2063</c:v>
                </c:pt>
                <c:pt idx="79">
                  <c:v>2064</c:v>
                </c:pt>
                <c:pt idx="80">
                  <c:v>2065</c:v>
                </c:pt>
                <c:pt idx="81">
                  <c:v>2066</c:v>
                </c:pt>
                <c:pt idx="82">
                  <c:v>2067</c:v>
                </c:pt>
                <c:pt idx="83">
                  <c:v>2068</c:v>
                </c:pt>
                <c:pt idx="84">
                  <c:v>2069</c:v>
                </c:pt>
                <c:pt idx="85">
                  <c:v>2070</c:v>
                </c:pt>
                <c:pt idx="86">
                  <c:v>2071</c:v>
                </c:pt>
                <c:pt idx="87">
                  <c:v>2072</c:v>
                </c:pt>
                <c:pt idx="88">
                  <c:v>2073</c:v>
                </c:pt>
                <c:pt idx="89">
                  <c:v>2074</c:v>
                </c:pt>
                <c:pt idx="90">
                  <c:v>2075</c:v>
                </c:pt>
                <c:pt idx="91">
                  <c:v>2076</c:v>
                </c:pt>
                <c:pt idx="92">
                  <c:v>2077</c:v>
                </c:pt>
                <c:pt idx="93">
                  <c:v>2078</c:v>
                </c:pt>
                <c:pt idx="94">
                  <c:v>2079</c:v>
                </c:pt>
              </c:numCache>
            </c:numRef>
          </c:xVal>
          <c:yVal>
            <c:numRef>
              <c:f>'South Asia'!$G$107:$G$201</c:f>
              <c:numCache>
                <c:formatCode>0.00</c:formatCode>
                <c:ptCount val="95"/>
                <c:pt idx="0">
                  <c:v>-2.8215668568072667</c:v>
                </c:pt>
                <c:pt idx="1">
                  <c:v>-2.7765936210747788</c:v>
                </c:pt>
                <c:pt idx="2">
                  <c:v>-2.7292474023887894</c:v>
                </c:pt>
                <c:pt idx="3">
                  <c:v>-2.6809245715153223</c:v>
                </c:pt>
                <c:pt idx="4">
                  <c:v>-2.6298952836092115</c:v>
                </c:pt>
                <c:pt idx="5">
                  <c:v>-2.57826607489941</c:v>
                </c:pt>
                <c:pt idx="6">
                  <c:v>-2.5247756099338075</c:v>
                </c:pt>
                <c:pt idx="7">
                  <c:v>-2.4695703722421487</c:v>
                </c:pt>
                <c:pt idx="8">
                  <c:v>-2.4140399426549664</c:v>
                </c:pt>
                <c:pt idx="9">
                  <c:v>-2.3587278497916042</c:v>
                </c:pt>
                <c:pt idx="10">
                  <c:v>-2.3013000353628787</c:v>
                </c:pt>
                <c:pt idx="11">
                  <c:v>-2.2412164559201866</c:v>
                </c:pt>
                <c:pt idx="12">
                  <c:v>-2.181560783580399</c:v>
                </c:pt>
                <c:pt idx="13">
                  <c:v>-2.1238136389314022</c:v>
                </c:pt>
                <c:pt idx="14">
                  <c:v>-2.0684330181927248</c:v>
                </c:pt>
                <c:pt idx="15">
                  <c:v>-2.0120628235133782</c:v>
                </c:pt>
                <c:pt idx="16">
                  <c:v>-1.9550061223142319</c:v>
                </c:pt>
                <c:pt idx="17">
                  <c:v>-1.8967986692250758</c:v>
                </c:pt>
                <c:pt idx="18">
                  <c:v>-1.8376373553367198</c:v>
                </c:pt>
                <c:pt idx="19">
                  <c:v>-1.7747523510927004</c:v>
                </c:pt>
                <c:pt idx="20">
                  <c:v>-1.7096878390194874</c:v>
                </c:pt>
                <c:pt idx="21">
                  <c:v>-1.6411452389461143</c:v>
                </c:pt>
                <c:pt idx="22">
                  <c:v>-1.5709714427729617</c:v>
                </c:pt>
                <c:pt idx="23">
                  <c:v>-1.4989051856952236</c:v>
                </c:pt>
                <c:pt idx="24">
                  <c:v>-1.4238511945565631</c:v>
                </c:pt>
              </c:numCache>
            </c:numRef>
          </c:yVal>
          <c:smooth val="1"/>
          <c:extLst>
            <c:ext xmlns:c16="http://schemas.microsoft.com/office/drawing/2014/chart" uri="{C3380CC4-5D6E-409C-BE32-E72D297353CC}">
              <c16:uniqueId val="{00000001-617C-1C48-83E3-8EC8BE216AC3}"/>
            </c:ext>
          </c:extLst>
        </c:ser>
        <c:ser>
          <c:idx val="2"/>
          <c:order val="2"/>
          <c:tx>
            <c:v>early logit</c:v>
          </c:tx>
          <c:spPr>
            <a:ln w="15875">
              <a:solidFill>
                <a:srgbClr val="008000"/>
              </a:solidFill>
              <a:prstDash val="lgDash"/>
            </a:ln>
          </c:spPr>
          <c:marker>
            <c:symbol val="none"/>
          </c:marker>
          <c:xVal>
            <c:numRef>
              <c:f>'South Asia'!$D$12:$D$106</c:f>
              <c:numCache>
                <c:formatCode>General</c:formatCode>
                <c:ptCount val="9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numCache>
            </c:numRef>
          </c:xVal>
          <c:yVal>
            <c:numRef>
              <c:f>'South Asia'!$G$12:$G$106</c:f>
              <c:numCache>
                <c:formatCode>0.00</c:formatCode>
                <c:ptCount val="95"/>
                <c:pt idx="0">
                  <c:v>-10.472474486711771</c:v>
                </c:pt>
                <c:pt idx="1">
                  <c:v>-9.7426301860070907</c:v>
                </c:pt>
                <c:pt idx="2">
                  <c:v>-9.2864344239811683</c:v>
                </c:pt>
                <c:pt idx="3">
                  <c:v>-8.9721790754073716</c:v>
                </c:pt>
                <c:pt idx="4">
                  <c:v>-8.7101342137797744</c:v>
                </c:pt>
                <c:pt idx="5">
                  <c:v>-8.4557888883025285</c:v>
                </c:pt>
                <c:pt idx="6">
                  <c:v>-8.2363848549959719</c:v>
                </c:pt>
                <c:pt idx="7">
                  <c:v>-8.0467271814808576</c:v>
                </c:pt>
                <c:pt idx="8">
                  <c:v>-7.86106281971675</c:v>
                </c:pt>
                <c:pt idx="9">
                  <c:v>-7.688342154045583</c:v>
                </c:pt>
                <c:pt idx="10">
                  <c:v>-7.5173037361688531</c:v>
                </c:pt>
                <c:pt idx="11">
                  <c:v>-7.3588438048175719</c:v>
                </c:pt>
                <c:pt idx="12">
                  <c:v>-7.2065861503553492</c:v>
                </c:pt>
                <c:pt idx="13">
                  <c:v>-7.0746329416514246</c:v>
                </c:pt>
                <c:pt idx="14">
                  <c:v>-6.947621339445746</c:v>
                </c:pt>
                <c:pt idx="15">
                  <c:v>-6.8310656261581357</c:v>
                </c:pt>
                <c:pt idx="16">
                  <c:v>-6.7109390078675819</c:v>
                </c:pt>
                <c:pt idx="17">
                  <c:v>-6.5899719645367236</c:v>
                </c:pt>
                <c:pt idx="18">
                  <c:v>-6.4676426428736589</c:v>
                </c:pt>
                <c:pt idx="19">
                  <c:v>-6.3642891139031255</c:v>
                </c:pt>
                <c:pt idx="20">
                  <c:v>-6.2679381057977102</c:v>
                </c:pt>
                <c:pt idx="21">
                  <c:v>-6.1757335228686046</c:v>
                </c:pt>
                <c:pt idx="22">
                  <c:v>-6.0797940525163119</c:v>
                </c:pt>
                <c:pt idx="23">
                  <c:v>-5.9840504393649869</c:v>
                </c:pt>
                <c:pt idx="24">
                  <c:v>-5.8945232134554191</c:v>
                </c:pt>
                <c:pt idx="25">
                  <c:v>-5.8091693231143697</c:v>
                </c:pt>
                <c:pt idx="26">
                  <c:v>-5.7283229772464379</c:v>
                </c:pt>
                <c:pt idx="27">
                  <c:v>-5.6490644379395629</c:v>
                </c:pt>
                <c:pt idx="28">
                  <c:v>-5.56627505871535</c:v>
                </c:pt>
                <c:pt idx="29">
                  <c:v>-5.4669300681681658</c:v>
                </c:pt>
                <c:pt idx="30">
                  <c:v>-5.403203415772257</c:v>
                </c:pt>
                <c:pt idx="31">
                  <c:v>-5.3388863893687084</c:v>
                </c:pt>
                <c:pt idx="32">
                  <c:v>-5.2786913625065983</c:v>
                </c:pt>
                <c:pt idx="33">
                  <c:v>-5.2195451883129609</c:v>
                </c:pt>
                <c:pt idx="34">
                  <c:v>-5.1587762708085307</c:v>
                </c:pt>
                <c:pt idx="35">
                  <c:v>-5.1014264961777345</c:v>
                </c:pt>
                <c:pt idx="36">
                  <c:v>-5.0467184279462218</c:v>
                </c:pt>
                <c:pt idx="37">
                  <c:v>-4.992259575755793</c:v>
                </c:pt>
                <c:pt idx="38">
                  <c:v>-4.9387292577704871</c:v>
                </c:pt>
                <c:pt idx="39">
                  <c:v>-4.8860740510925185</c:v>
                </c:pt>
                <c:pt idx="40">
                  <c:v>-4.8353780755522653</c:v>
                </c:pt>
                <c:pt idx="41">
                  <c:v>-4.7920326295223621</c:v>
                </c:pt>
                <c:pt idx="42">
                  <c:v>-4.7537058976185236</c:v>
                </c:pt>
                <c:pt idx="43">
                  <c:v>-4.7173425640782582</c:v>
                </c:pt>
                <c:pt idx="44">
                  <c:v>-4.6788192209138293</c:v>
                </c:pt>
                <c:pt idx="45">
                  <c:v>-4.6398467482416601</c:v>
                </c:pt>
                <c:pt idx="46">
                  <c:v>-4.6018975909523663</c:v>
                </c:pt>
                <c:pt idx="47">
                  <c:v>-4.5613651153952528</c:v>
                </c:pt>
                <c:pt idx="48">
                  <c:v>-4.5180745407157898</c:v>
                </c:pt>
                <c:pt idx="49">
                  <c:v>-4.4759857082734165</c:v>
                </c:pt>
                <c:pt idx="50">
                  <c:v>-4.4329517351186594</c:v>
                </c:pt>
                <c:pt idx="51">
                  <c:v>-4.391930409168709</c:v>
                </c:pt>
                <c:pt idx="52">
                  <c:v>-4.3566444692723358</c:v>
                </c:pt>
                <c:pt idx="53">
                  <c:v>-4.3265956958490159</c:v>
                </c:pt>
                <c:pt idx="54">
                  <c:v>-4.2976258843219144</c:v>
                </c:pt>
                <c:pt idx="55">
                  <c:v>-4.2677257409028506</c:v>
                </c:pt>
                <c:pt idx="56">
                  <c:v>-4.2379997776284783</c:v>
                </c:pt>
                <c:pt idx="57">
                  <c:v>-4.2083217081321891</c:v>
                </c:pt>
                <c:pt idx="58">
                  <c:v>-4.1785690606199637</c:v>
                </c:pt>
                <c:pt idx="59">
                  <c:v>-4.1480835737088393</c:v>
                </c:pt>
                <c:pt idx="60">
                  <c:v>-4.1177596781230923</c:v>
                </c:pt>
                <c:pt idx="61">
                  <c:v>-4.0862351893670361</c:v>
                </c:pt>
                <c:pt idx="62">
                  <c:v>-4.0534357994413002</c:v>
                </c:pt>
                <c:pt idx="63">
                  <c:v>-4.0218851746521995</c:v>
                </c:pt>
                <c:pt idx="64">
                  <c:v>-3.990745248335192</c:v>
                </c:pt>
                <c:pt idx="65">
                  <c:v>-3.9593700788765056</c:v>
                </c:pt>
                <c:pt idx="66">
                  <c:v>-3.9279159977002327</c:v>
                </c:pt>
                <c:pt idx="67">
                  <c:v>-3.8945449371798575</c:v>
                </c:pt>
                <c:pt idx="68">
                  <c:v>-3.8605049508972598</c:v>
                </c:pt>
                <c:pt idx="69">
                  <c:v>-3.8258181818319308</c:v>
                </c:pt>
                <c:pt idx="70">
                  <c:v>-3.7888894442029453</c:v>
                </c:pt>
                <c:pt idx="71">
                  <c:v>-3.750881419942806</c:v>
                </c:pt>
                <c:pt idx="72">
                  <c:v>-3.7106693323984552</c:v>
                </c:pt>
                <c:pt idx="73">
                  <c:v>-3.6688125142216546</c:v>
                </c:pt>
                <c:pt idx="74">
                  <c:v>-3.6300260944149398</c:v>
                </c:pt>
                <c:pt idx="75">
                  <c:v>-3.5898501019079654</c:v>
                </c:pt>
                <c:pt idx="76">
                  <c:v>-3.5506628907289257</c:v>
                </c:pt>
                <c:pt idx="77">
                  <c:v>-3.5128836192866615</c:v>
                </c:pt>
                <c:pt idx="78">
                  <c:v>-3.4747859767471452</c:v>
                </c:pt>
                <c:pt idx="79">
                  <c:v>-3.436010233433815</c:v>
                </c:pt>
                <c:pt idx="80">
                  <c:v>-3.3996034989571511</c:v>
                </c:pt>
                <c:pt idx="81">
                  <c:v>-3.3651956532561123</c:v>
                </c:pt>
                <c:pt idx="82">
                  <c:v>-3.3310049792993612</c:v>
                </c:pt>
                <c:pt idx="83">
                  <c:v>-3.2967897817485228</c:v>
                </c:pt>
                <c:pt idx="84">
                  <c:v>-3.2611795778021384</c:v>
                </c:pt>
                <c:pt idx="85">
                  <c:v>-3.2221412765638338</c:v>
                </c:pt>
                <c:pt idx="86">
                  <c:v>-3.182342082357589</c:v>
                </c:pt>
                <c:pt idx="87">
                  <c:v>-3.1440298551411354</c:v>
                </c:pt>
                <c:pt idx="88">
                  <c:v>-3.1066469135090675</c:v>
                </c:pt>
                <c:pt idx="89">
                  <c:v>-3.0700189659006845</c:v>
                </c:pt>
                <c:pt idx="90">
                  <c:v>-3.0325024337902451</c:v>
                </c:pt>
                <c:pt idx="91">
                  <c:v>-2.9913915481231315</c:v>
                </c:pt>
                <c:pt idx="92">
                  <c:v>-2.9501863152059267</c:v>
                </c:pt>
                <c:pt idx="93">
                  <c:v>-2.9082907134786407</c:v>
                </c:pt>
                <c:pt idx="94">
                  <c:v>-2.8651774433762371</c:v>
                </c:pt>
              </c:numCache>
            </c:numRef>
          </c:yVal>
          <c:smooth val="1"/>
          <c:extLst>
            <c:ext xmlns:c16="http://schemas.microsoft.com/office/drawing/2014/chart" uri="{C3380CC4-5D6E-409C-BE32-E72D297353CC}">
              <c16:uniqueId val="{00000002-617C-1C48-83E3-8EC8BE216AC3}"/>
            </c:ext>
          </c:extLst>
        </c:ser>
        <c:dLbls>
          <c:showLegendKey val="0"/>
          <c:showVal val="0"/>
          <c:showCatName val="0"/>
          <c:showSerName val="0"/>
          <c:showPercent val="0"/>
          <c:showBubbleSize val="0"/>
        </c:dLbls>
        <c:axId val="137612288"/>
        <c:axId val="137429760"/>
      </c:scatterChart>
      <c:valAx>
        <c:axId val="137612288"/>
        <c:scaling>
          <c:orientation val="minMax"/>
          <c:max val="2010"/>
          <c:min val="197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429760"/>
        <c:crossesAt val="-100"/>
        <c:crossBetween val="midCat"/>
        <c:majorUnit val="20"/>
        <c:minorUnit val="10"/>
      </c:valAx>
      <c:valAx>
        <c:axId val="137429760"/>
        <c:scaling>
          <c:orientation val="minMax"/>
          <c:max val="-1"/>
          <c:min val="-4"/>
        </c:scaling>
        <c:delete val="0"/>
        <c:axPos val="r"/>
        <c:title>
          <c:tx>
            <c:rich>
              <a:bodyPr rot="-5400000" vert="horz"/>
              <a:lstStyle/>
              <a:p>
                <a:pPr>
                  <a:defRPr sz="1200" b="0">
                    <a:solidFill>
                      <a:srgbClr val="333399"/>
                    </a:solidFill>
                  </a:defRPr>
                </a:pPr>
                <a:r>
                  <a:rPr lang="en-US" sz="1200" b="0">
                    <a:solidFill>
                      <a:srgbClr val="333399"/>
                    </a:solidFill>
                  </a:rPr>
                  <a:t>logit (q/Q)</a:t>
                </a:r>
              </a:p>
            </c:rich>
          </c:tx>
          <c:layout>
            <c:manualLayout>
              <c:xMode val="edge"/>
              <c:yMode val="edge"/>
              <c:x val="0.96240681576144838"/>
              <c:y val="0.3026655001458238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7612288"/>
        <c:crosses val="max"/>
        <c:crossBetween val="midCat"/>
        <c:majorUnit val="1"/>
        <c:minorUnit val="0.5"/>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328360712099483"/>
          <c:h val="0.77264654418197765"/>
        </c:manualLayout>
      </c:layout>
      <c:scatterChart>
        <c:scatterStyle val="smoothMarker"/>
        <c:varyColors val="0"/>
        <c:ser>
          <c:idx val="1"/>
          <c:order val="0"/>
          <c:tx>
            <c:v>zero</c:v>
          </c:tx>
          <c:spPr>
            <a:ln w="15875">
              <a:solidFill>
                <a:srgbClr val="808080"/>
              </a:solidFill>
            </a:ln>
          </c:spPr>
          <c:marker>
            <c:symbol val="none"/>
          </c:marker>
          <c:xVal>
            <c:numRef>
              <c:f>('South Asia'!$E$3,'South Asia'!$E$4)</c:f>
              <c:numCache>
                <c:formatCode>General</c:formatCode>
                <c:ptCount val="2"/>
                <c:pt idx="0">
                  <c:v>1985</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0-74FE-B344-980E-464EE89EDC59}"/>
            </c:ext>
          </c:extLst>
        </c:ser>
        <c:ser>
          <c:idx val="0"/>
          <c:order val="1"/>
          <c:tx>
            <c:strRef>
              <c:f>'South Asia'!$I$10</c:f>
              <c:strCache>
                <c:ptCount val="1"/>
                <c:pt idx="0">
                  <c:v>r m</c:v>
                </c:pt>
              </c:strCache>
            </c:strRef>
          </c:tx>
          <c:spPr>
            <a:ln w="15875">
              <a:solidFill>
                <a:srgbClr val="008000"/>
              </a:solidFill>
            </a:ln>
          </c:spPr>
          <c:marker>
            <c:symbol val="none"/>
          </c:marker>
          <c:xVal>
            <c:numRef>
              <c:f>'South Asia'!$D$107:$D$201</c:f>
              <c:numCache>
                <c:formatCode>General</c:formatCode>
                <c:ptCount val="95"/>
                <c:pt idx="0">
                  <c:v>1985</c:v>
                </c:pt>
                <c:pt idx="1">
                  <c:v>1986</c:v>
                </c:pt>
                <c:pt idx="2">
                  <c:v>1987</c:v>
                </c:pt>
                <c:pt idx="3">
                  <c:v>1988</c:v>
                </c:pt>
                <c:pt idx="4">
                  <c:v>1989</c:v>
                </c:pt>
                <c:pt idx="5">
                  <c:v>1990</c:v>
                </c:pt>
                <c:pt idx="6">
                  <c:v>1991</c:v>
                </c:pt>
                <c:pt idx="7">
                  <c:v>1992</c:v>
                </c:pt>
                <c:pt idx="8">
                  <c:v>1993</c:v>
                </c:pt>
                <c:pt idx="9">
                  <c:v>1994</c:v>
                </c:pt>
                <c:pt idx="10">
                  <c:v>1995</c:v>
                </c:pt>
                <c:pt idx="11">
                  <c:v>1996</c:v>
                </c:pt>
                <c:pt idx="12">
                  <c:v>1997</c:v>
                </c:pt>
                <c:pt idx="13">
                  <c:v>1998</c:v>
                </c:pt>
                <c:pt idx="14">
                  <c:v>1999</c:v>
                </c:pt>
                <c:pt idx="15">
                  <c:v>2000</c:v>
                </c:pt>
                <c:pt idx="16">
                  <c:v>2001</c:v>
                </c:pt>
                <c:pt idx="17">
                  <c:v>2002</c:v>
                </c:pt>
                <c:pt idx="18">
                  <c:v>2003</c:v>
                </c:pt>
                <c:pt idx="19">
                  <c:v>2004</c:v>
                </c:pt>
                <c:pt idx="20">
                  <c:v>2005</c:v>
                </c:pt>
                <c:pt idx="21">
                  <c:v>2006</c:v>
                </c:pt>
                <c:pt idx="22">
                  <c:v>2007</c:v>
                </c:pt>
                <c:pt idx="23">
                  <c:v>2008</c:v>
                </c:pt>
                <c:pt idx="24">
                  <c:v>2009</c:v>
                </c:pt>
                <c:pt idx="25">
                  <c:v>2010</c:v>
                </c:pt>
                <c:pt idx="26">
                  <c:v>2011</c:v>
                </c:pt>
                <c:pt idx="27">
                  <c:v>2012</c:v>
                </c:pt>
                <c:pt idx="28">
                  <c:v>2013</c:v>
                </c:pt>
                <c:pt idx="29">
                  <c:v>2014</c:v>
                </c:pt>
                <c:pt idx="30">
                  <c:v>2015</c:v>
                </c:pt>
                <c:pt idx="31">
                  <c:v>2016</c:v>
                </c:pt>
                <c:pt idx="32">
                  <c:v>2017</c:v>
                </c:pt>
                <c:pt idx="33">
                  <c:v>2018</c:v>
                </c:pt>
                <c:pt idx="34">
                  <c:v>2019</c:v>
                </c:pt>
                <c:pt idx="35">
                  <c:v>2020</c:v>
                </c:pt>
                <c:pt idx="36">
                  <c:v>2021</c:v>
                </c:pt>
                <c:pt idx="37">
                  <c:v>2022</c:v>
                </c:pt>
                <c:pt idx="38">
                  <c:v>2023</c:v>
                </c:pt>
                <c:pt idx="39">
                  <c:v>2024</c:v>
                </c:pt>
                <c:pt idx="40">
                  <c:v>2025</c:v>
                </c:pt>
                <c:pt idx="41">
                  <c:v>2026</c:v>
                </c:pt>
                <c:pt idx="42">
                  <c:v>2027</c:v>
                </c:pt>
                <c:pt idx="43">
                  <c:v>2028</c:v>
                </c:pt>
                <c:pt idx="44">
                  <c:v>2029</c:v>
                </c:pt>
                <c:pt idx="45">
                  <c:v>2030</c:v>
                </c:pt>
                <c:pt idx="46">
                  <c:v>2031</c:v>
                </c:pt>
                <c:pt idx="47">
                  <c:v>2032</c:v>
                </c:pt>
                <c:pt idx="48">
                  <c:v>2033</c:v>
                </c:pt>
                <c:pt idx="49">
                  <c:v>2034</c:v>
                </c:pt>
                <c:pt idx="50">
                  <c:v>2035</c:v>
                </c:pt>
                <c:pt idx="51">
                  <c:v>2036</c:v>
                </c:pt>
                <c:pt idx="52">
                  <c:v>2037</c:v>
                </c:pt>
                <c:pt idx="53">
                  <c:v>2038</c:v>
                </c:pt>
                <c:pt idx="54">
                  <c:v>2039</c:v>
                </c:pt>
                <c:pt idx="55">
                  <c:v>2040</c:v>
                </c:pt>
                <c:pt idx="56">
                  <c:v>2041</c:v>
                </c:pt>
                <c:pt idx="57">
                  <c:v>2042</c:v>
                </c:pt>
                <c:pt idx="58">
                  <c:v>2043</c:v>
                </c:pt>
                <c:pt idx="59">
                  <c:v>2044</c:v>
                </c:pt>
                <c:pt idx="60">
                  <c:v>2045</c:v>
                </c:pt>
                <c:pt idx="61">
                  <c:v>2046</c:v>
                </c:pt>
                <c:pt idx="62">
                  <c:v>2047</c:v>
                </c:pt>
                <c:pt idx="63">
                  <c:v>2048</c:v>
                </c:pt>
                <c:pt idx="64">
                  <c:v>2049</c:v>
                </c:pt>
                <c:pt idx="65">
                  <c:v>2050</c:v>
                </c:pt>
                <c:pt idx="66">
                  <c:v>2051</c:v>
                </c:pt>
                <c:pt idx="67">
                  <c:v>2052</c:v>
                </c:pt>
                <c:pt idx="68">
                  <c:v>2053</c:v>
                </c:pt>
                <c:pt idx="69">
                  <c:v>2054</c:v>
                </c:pt>
                <c:pt idx="70">
                  <c:v>2055</c:v>
                </c:pt>
                <c:pt idx="71">
                  <c:v>2056</c:v>
                </c:pt>
                <c:pt idx="72">
                  <c:v>2057</c:v>
                </c:pt>
                <c:pt idx="73">
                  <c:v>2058</c:v>
                </c:pt>
                <c:pt idx="74">
                  <c:v>2059</c:v>
                </c:pt>
                <c:pt idx="75">
                  <c:v>2060</c:v>
                </c:pt>
                <c:pt idx="76">
                  <c:v>2061</c:v>
                </c:pt>
                <c:pt idx="77">
                  <c:v>2062</c:v>
                </c:pt>
                <c:pt idx="78">
                  <c:v>2063</c:v>
                </c:pt>
                <c:pt idx="79">
                  <c:v>2064</c:v>
                </c:pt>
                <c:pt idx="80">
                  <c:v>2065</c:v>
                </c:pt>
                <c:pt idx="81">
                  <c:v>2066</c:v>
                </c:pt>
                <c:pt idx="82">
                  <c:v>2067</c:v>
                </c:pt>
                <c:pt idx="83">
                  <c:v>2068</c:v>
                </c:pt>
                <c:pt idx="84">
                  <c:v>2069</c:v>
                </c:pt>
                <c:pt idx="85">
                  <c:v>2070</c:v>
                </c:pt>
                <c:pt idx="86">
                  <c:v>2071</c:v>
                </c:pt>
                <c:pt idx="87">
                  <c:v>2072</c:v>
                </c:pt>
                <c:pt idx="88">
                  <c:v>2073</c:v>
                </c:pt>
                <c:pt idx="89">
                  <c:v>2074</c:v>
                </c:pt>
                <c:pt idx="90">
                  <c:v>2075</c:v>
                </c:pt>
                <c:pt idx="91">
                  <c:v>2076</c:v>
                </c:pt>
                <c:pt idx="92">
                  <c:v>2077</c:v>
                </c:pt>
                <c:pt idx="93">
                  <c:v>2078</c:v>
                </c:pt>
                <c:pt idx="94">
                  <c:v>2079</c:v>
                </c:pt>
              </c:numCache>
            </c:numRef>
          </c:xVal>
          <c:yVal>
            <c:numRef>
              <c:f>'South Asia'!$I$107:$I$201</c:f>
              <c:numCache>
                <c:formatCode>0.0</c:formatCode>
                <c:ptCount val="95"/>
                <c:pt idx="0">
                  <c:v>8.5920815534200301</c:v>
                </c:pt>
                <c:pt idx="1">
                  <c:v>5.9216177602011157</c:v>
                </c:pt>
                <c:pt idx="2">
                  <c:v>3.7434207568203419</c:v>
                </c:pt>
                <c:pt idx="3">
                  <c:v>1.7678184436990705</c:v>
                </c:pt>
                <c:pt idx="4">
                  <c:v>0.35366092028289131</c:v>
                </c:pt>
                <c:pt idx="5">
                  <c:v>-0.93604518735264719</c:v>
                </c:pt>
                <c:pt idx="6">
                  <c:v>-1.8396403704400655</c:v>
                </c:pt>
                <c:pt idx="7">
                  <c:v>-2.3875121110486361</c:v>
                </c:pt>
                <c:pt idx="8">
                  <c:v>-2.8679239610364675</c:v>
                </c:pt>
                <c:pt idx="9">
                  <c:v>-3.3936289801022212</c:v>
                </c:pt>
                <c:pt idx="10">
                  <c:v>-3.4804351602051611</c:v>
                </c:pt>
                <c:pt idx="11">
                  <c:v>-3.0163124277878524</c:v>
                </c:pt>
                <c:pt idx="12">
                  <c:v>-2.6409574868075651</c:v>
                </c:pt>
                <c:pt idx="13">
                  <c:v>-2.6615197597629958</c:v>
                </c:pt>
                <c:pt idx="14">
                  <c:v>-3.1730089172533553</c:v>
                </c:pt>
                <c:pt idx="15">
                  <c:v>-3.4792145153433012</c:v>
                </c:pt>
                <c:pt idx="16">
                  <c:v>-3.6430068018653401</c:v>
                </c:pt>
                <c:pt idx="17">
                  <c:v>-3.5680797423610784</c:v>
                </c:pt>
                <c:pt idx="18">
                  <c:v>-3.2952776863703548</c:v>
                </c:pt>
                <c:pt idx="19">
                  <c:v>-2.2500094417664513</c:v>
                </c:pt>
                <c:pt idx="20">
                  <c:v>-0.75261012688497431</c:v>
                </c:pt>
                <c:pt idx="21">
                  <c:v>1.4663060501752625</c:v>
                </c:pt>
                <c:pt idx="22">
                  <c:v>4.0236079988044366</c:v>
                </c:pt>
                <c:pt idx="23">
                  <c:v>6.973494164281874</c:v>
                </c:pt>
                <c:pt idx="24">
                  <c:v>10.54317502862159</c:v>
                </c:pt>
              </c:numCache>
            </c:numRef>
          </c:yVal>
          <c:smooth val="1"/>
          <c:extLst>
            <c:ext xmlns:c16="http://schemas.microsoft.com/office/drawing/2014/chart" uri="{C3380CC4-5D6E-409C-BE32-E72D297353CC}">
              <c16:uniqueId val="{00000001-74FE-B344-980E-464EE89EDC59}"/>
            </c:ext>
          </c:extLst>
        </c:ser>
        <c:ser>
          <c:idx val="2"/>
          <c:order val="2"/>
          <c:tx>
            <c:v>early r m</c:v>
          </c:tx>
          <c:spPr>
            <a:ln w="15875">
              <a:solidFill>
                <a:srgbClr val="008000"/>
              </a:solidFill>
              <a:prstDash val="lgDash"/>
            </a:ln>
          </c:spPr>
          <c:marker>
            <c:symbol val="none"/>
          </c:marker>
          <c:xVal>
            <c:numRef>
              <c:f>'South Asia'!$D$12:$D$106</c:f>
              <c:numCache>
                <c:formatCode>General</c:formatCode>
                <c:ptCount val="9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numCache>
            </c:numRef>
          </c:xVal>
          <c:yVal>
            <c:numRef>
              <c:f>'South Asia'!$I$12:$I$106</c:f>
              <c:numCache>
                <c:formatCode>0.0</c:formatCode>
                <c:ptCount val="95"/>
                <c:pt idx="0">
                  <c:v>-438.56122385948493</c:v>
                </c:pt>
                <c:pt idx="1">
                  <c:v>-299.15764531247169</c:v>
                </c:pt>
                <c:pt idx="2">
                  <c:v>-216.5214731562728</c:v>
                </c:pt>
                <c:pt idx="3">
                  <c:v>-163.33032991425262</c:v>
                </c:pt>
                <c:pt idx="4">
                  <c:v>-120.97006464675815</c:v>
                </c:pt>
                <c:pt idx="5">
                  <c:v>-80.20704049656706</c:v>
                </c:pt>
                <c:pt idx="6">
                  <c:v>-46.692461896461282</c:v>
                </c:pt>
                <c:pt idx="7">
                  <c:v>-19.348658784805593</c:v>
                </c:pt>
                <c:pt idx="8">
                  <c:v>7.1667461482647923</c:v>
                </c:pt>
                <c:pt idx="9">
                  <c:v>30.997027821202209</c:v>
                </c:pt>
                <c:pt idx="10">
                  <c:v>54.478333231896613</c:v>
                </c:pt>
                <c:pt idx="11">
                  <c:v>75.350276795384161</c:v>
                </c:pt>
                <c:pt idx="12">
                  <c:v>94.935580297100387</c:v>
                </c:pt>
                <c:pt idx="13">
                  <c:v>110.30879946075765</c:v>
                </c:pt>
                <c:pt idx="14">
                  <c:v>124.65690010683193</c:v>
                </c:pt>
                <c:pt idx="15">
                  <c:v>136.8359641548841</c:v>
                </c:pt>
                <c:pt idx="16">
                  <c:v>149.75579961893982</c:v>
                </c:pt>
                <c:pt idx="17">
                  <c:v>162.8499782387662</c:v>
                </c:pt>
                <c:pt idx="18">
                  <c:v>176.22675660523782</c:v>
                </c:pt>
                <c:pt idx="19">
                  <c:v>185.66707493956528</c:v>
                </c:pt>
                <c:pt idx="20">
                  <c:v>193.65474547379563</c:v>
                </c:pt>
                <c:pt idx="21">
                  <c:v>200.78225499935161</c:v>
                </c:pt>
                <c:pt idx="22">
                  <c:v>208.68455350496151</c:v>
                </c:pt>
                <c:pt idx="23">
                  <c:v>216.54622213775929</c:v>
                </c:pt>
                <c:pt idx="24">
                  <c:v>223.11832356680043</c:v>
                </c:pt>
                <c:pt idx="25">
                  <c:v>228.82468152296588</c:v>
                </c:pt>
                <c:pt idx="26">
                  <c:v>233.59596556949055</c:v>
                </c:pt>
                <c:pt idx="27">
                  <c:v>238.03786484839657</c:v>
                </c:pt>
                <c:pt idx="28">
                  <c:v>243.21222418521666</c:v>
                </c:pt>
                <c:pt idx="29">
                  <c:v>251.82098562247029</c:v>
                </c:pt>
                <c:pt idx="30">
                  <c:v>253.04085075294734</c:v>
                </c:pt>
                <c:pt idx="31">
                  <c:v>254.38318685065678</c:v>
                </c:pt>
                <c:pt idx="32">
                  <c:v>254.87042894990645</c:v>
                </c:pt>
                <c:pt idx="33">
                  <c:v>255.14009033060938</c:v>
                </c:pt>
                <c:pt idx="34">
                  <c:v>255.74638398216757</c:v>
                </c:pt>
                <c:pt idx="35">
                  <c:v>255.64338872630651</c:v>
                </c:pt>
                <c:pt idx="36">
                  <c:v>254.99238096704721</c:v>
                </c:pt>
                <c:pt idx="37">
                  <c:v>254.28967423525955</c:v>
                </c:pt>
                <c:pt idx="38">
                  <c:v>253.39434641795469</c:v>
                </c:pt>
                <c:pt idx="39">
                  <c:v>252.31747990338499</c:v>
                </c:pt>
                <c:pt idx="40">
                  <c:v>250.83417792694217</c:v>
                </c:pt>
                <c:pt idx="41">
                  <c:v>247.82603500701953</c:v>
                </c:pt>
                <c:pt idx="42">
                  <c:v>243.77677786909135</c:v>
                </c:pt>
                <c:pt idx="43">
                  <c:v>239.32022079325907</c:v>
                </c:pt>
                <c:pt idx="44">
                  <c:v>235.3117499551081</c:v>
                </c:pt>
                <c:pt idx="45">
                  <c:v>231.39644942003997</c:v>
                </c:pt>
                <c:pt idx="46">
                  <c:v>227.2688657845938</c:v>
                </c:pt>
                <c:pt idx="47">
                  <c:v>223.67718224440614</c:v>
                </c:pt>
                <c:pt idx="48">
                  <c:v>220.6576564599327</c:v>
                </c:pt>
                <c:pt idx="49">
                  <c:v>217.38883356508813</c:v>
                </c:pt>
                <c:pt idx="50">
                  <c:v>214.3160767160407</c:v>
                </c:pt>
                <c:pt idx="51">
                  <c:v>210.82580343387599</c:v>
                </c:pt>
                <c:pt idx="52">
                  <c:v>206.14574491666554</c:v>
                </c:pt>
                <c:pt idx="53">
                  <c:v>200.37925502676171</c:v>
                </c:pt>
                <c:pt idx="54">
                  <c:v>194.38893836716852</c:v>
                </c:pt>
                <c:pt idx="55">
                  <c:v>188.59161571676668</c:v>
                </c:pt>
                <c:pt idx="56">
                  <c:v>182.75816002101419</c:v>
                </c:pt>
                <c:pt idx="57">
                  <c:v>176.91476893303206</c:v>
                </c:pt>
                <c:pt idx="58">
                  <c:v>171.08684878657186</c:v>
                </c:pt>
                <c:pt idx="59">
                  <c:v>165.41095354101708</c:v>
                </c:pt>
                <c:pt idx="60">
                  <c:v>159.70153675545953</c:v>
                </c:pt>
                <c:pt idx="61">
                  <c:v>154.24117871049384</c:v>
                </c:pt>
                <c:pt idx="62">
                  <c:v>149.0452943336777</c:v>
                </c:pt>
                <c:pt idx="63">
                  <c:v>143.59035811488502</c:v>
                </c:pt>
                <c:pt idx="64">
                  <c:v>138.05022397330595</c:v>
                </c:pt>
                <c:pt idx="65">
                  <c:v>132.55889017646496</c:v>
                </c:pt>
                <c:pt idx="66">
                  <c:v>127.08392633198218</c:v>
                </c:pt>
                <c:pt idx="67">
                  <c:v>122.00663296655512</c:v>
                </c:pt>
                <c:pt idx="68">
                  <c:v>117.06810584769119</c:v>
                </c:pt>
                <c:pt idx="69">
                  <c:v>112.26375149382966</c:v>
                </c:pt>
                <c:pt idx="70">
                  <c:v>107.92448546524338</c:v>
                </c:pt>
                <c:pt idx="71">
                  <c:v>103.80911357144578</c:v>
                </c:pt>
                <c:pt idx="72">
                  <c:v>100.15096668885963</c:v>
                </c:pt>
                <c:pt idx="73">
                  <c:v>96.834013268026865</c:v>
                </c:pt>
                <c:pt idx="74">
                  <c:v>92.880116734334479</c:v>
                </c:pt>
                <c:pt idx="75">
                  <c:v>89.214482065898665</c:v>
                </c:pt>
                <c:pt idx="76">
                  <c:v>85.343728262732839</c:v>
                </c:pt>
                <c:pt idx="77">
                  <c:v>81.180902418555888</c:v>
                </c:pt>
                <c:pt idx="78">
                  <c:v>77.084121514902108</c:v>
                </c:pt>
                <c:pt idx="79">
                  <c:v>73.128010181006175</c:v>
                </c:pt>
                <c:pt idx="80">
                  <c:v>68.680456473530285</c:v>
                </c:pt>
                <c:pt idx="81">
                  <c:v>63.818240469653574</c:v>
                </c:pt>
                <c:pt idx="82">
                  <c:v>58.910972967512862</c:v>
                </c:pt>
                <c:pt idx="83">
                  <c:v>54.00879279687797</c:v>
                </c:pt>
                <c:pt idx="84">
                  <c:v>49.396001692070058</c:v>
                </c:pt>
                <c:pt idx="85">
                  <c:v>45.494357056589251</c:v>
                </c:pt>
                <c:pt idx="86">
                  <c:v>41.750556934146516</c:v>
                </c:pt>
                <c:pt idx="87">
                  <c:v>37.698290850923513</c:v>
                </c:pt>
                <c:pt idx="88">
                  <c:v>33.453247811256006</c:v>
                </c:pt>
                <c:pt idx="89">
                  <c:v>29.051583973349807</c:v>
                </c:pt>
                <c:pt idx="90">
                  <c:v>24.834253798558166</c:v>
                </c:pt>
                <c:pt idx="91">
                  <c:v>21.36255935801637</c:v>
                </c:pt>
                <c:pt idx="92">
                  <c:v>17.910436915603896</c:v>
                </c:pt>
                <c:pt idx="93">
                  <c:v>14.601529003009091</c:v>
                </c:pt>
                <c:pt idx="94">
                  <c:v>11.545222020909932</c:v>
                </c:pt>
              </c:numCache>
            </c:numRef>
          </c:yVal>
          <c:smooth val="1"/>
          <c:extLst>
            <c:ext xmlns:c16="http://schemas.microsoft.com/office/drawing/2014/chart" uri="{C3380CC4-5D6E-409C-BE32-E72D297353CC}">
              <c16:uniqueId val="{00000002-74FE-B344-980E-464EE89EDC59}"/>
            </c:ext>
          </c:extLst>
        </c:ser>
        <c:dLbls>
          <c:showLegendKey val="0"/>
          <c:showVal val="0"/>
          <c:showCatName val="0"/>
          <c:showSerName val="0"/>
          <c:showPercent val="0"/>
          <c:showBubbleSize val="0"/>
        </c:dLbls>
        <c:axId val="137630464"/>
        <c:axId val="137632000"/>
      </c:scatterChart>
      <c:valAx>
        <c:axId val="137630464"/>
        <c:scaling>
          <c:orientation val="minMax"/>
          <c:max val="2010"/>
          <c:min val="197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632000"/>
        <c:crossesAt val="-100"/>
        <c:crossBetween val="midCat"/>
        <c:majorUnit val="20"/>
        <c:minorUnit val="10"/>
      </c:valAx>
      <c:valAx>
        <c:axId val="137632000"/>
        <c:scaling>
          <c:orientation val="minMax"/>
          <c:max val="30"/>
          <c:min val="-30"/>
        </c:scaling>
        <c:delete val="0"/>
        <c:axPos val="r"/>
        <c:title>
          <c:tx>
            <c:rich>
              <a:bodyPr rot="-5400000" vert="horz"/>
              <a:lstStyle/>
              <a:p>
                <a:pPr>
                  <a:defRPr sz="1200" b="0">
                    <a:solidFill>
                      <a:srgbClr val="333399"/>
                    </a:solidFill>
                  </a:defRPr>
                </a:pPr>
                <a:r>
                  <a:rPr lang="en-US" sz="1200" b="0">
                    <a:solidFill>
                      <a:srgbClr val="333399"/>
                    </a:solidFill>
                  </a:rPr>
                  <a:t>Residual, months</a:t>
                </a:r>
              </a:p>
            </c:rich>
          </c:tx>
          <c:layout>
            <c:manualLayout>
              <c:xMode val="edge"/>
              <c:yMode val="edge"/>
              <c:x val="0.96240681576144838"/>
              <c:y val="0.27488772236803732"/>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7630464"/>
        <c:crosses val="max"/>
        <c:crossBetween val="midCat"/>
        <c:majorUnit val="3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5902375621580418"/>
          <c:h val="0.77264654418197765"/>
        </c:manualLayout>
      </c:layout>
      <c:scatterChart>
        <c:scatterStyle val="smoothMarker"/>
        <c:varyColors val="0"/>
        <c:ser>
          <c:idx val="0"/>
          <c:order val="0"/>
          <c:tx>
            <c:strRef>
              <c:f>'South Asia'!$F$10</c:f>
              <c:strCache>
                <c:ptCount val="1"/>
                <c:pt idx="0">
                  <c:v>q Gt</c:v>
                </c:pt>
              </c:strCache>
            </c:strRef>
          </c:tx>
          <c:spPr>
            <a:ln w="15875">
              <a:solidFill>
                <a:srgbClr val="008000"/>
              </a:solidFill>
            </a:ln>
          </c:spPr>
          <c:marker>
            <c:symbol val="none"/>
          </c:marker>
          <c:xVal>
            <c:numRef>
              <c:f>'South Asia'!$D$11:$D$362</c:f>
              <c:numCache>
                <c:formatCode>General</c:formatCode>
                <c:ptCount val="352"/>
                <c:pt idx="0">
                  <c:v>1889</c:v>
                </c:pt>
                <c:pt idx="1">
                  <c:v>1890</c:v>
                </c:pt>
                <c:pt idx="2">
                  <c:v>1891</c:v>
                </c:pt>
                <c:pt idx="3">
                  <c:v>1892</c:v>
                </c:pt>
                <c:pt idx="4">
                  <c:v>1893</c:v>
                </c:pt>
                <c:pt idx="5">
                  <c:v>1894</c:v>
                </c:pt>
                <c:pt idx="6">
                  <c:v>1895</c:v>
                </c:pt>
                <c:pt idx="7">
                  <c:v>1896</c:v>
                </c:pt>
                <c:pt idx="8">
                  <c:v>1897</c:v>
                </c:pt>
                <c:pt idx="9">
                  <c:v>1898</c:v>
                </c:pt>
                <c:pt idx="10">
                  <c:v>1899</c:v>
                </c:pt>
                <c:pt idx="11">
                  <c:v>1900</c:v>
                </c:pt>
                <c:pt idx="12">
                  <c:v>1901</c:v>
                </c:pt>
                <c:pt idx="13">
                  <c:v>1902</c:v>
                </c:pt>
                <c:pt idx="14">
                  <c:v>1903</c:v>
                </c:pt>
                <c:pt idx="15">
                  <c:v>1904</c:v>
                </c:pt>
                <c:pt idx="16">
                  <c:v>1905</c:v>
                </c:pt>
                <c:pt idx="17">
                  <c:v>1906</c:v>
                </c:pt>
                <c:pt idx="18">
                  <c:v>1907</c:v>
                </c:pt>
                <c:pt idx="19">
                  <c:v>1908</c:v>
                </c:pt>
                <c:pt idx="20">
                  <c:v>1909</c:v>
                </c:pt>
                <c:pt idx="21">
                  <c:v>1910</c:v>
                </c:pt>
                <c:pt idx="22">
                  <c:v>1911</c:v>
                </c:pt>
                <c:pt idx="23">
                  <c:v>1912</c:v>
                </c:pt>
                <c:pt idx="24">
                  <c:v>1913</c:v>
                </c:pt>
                <c:pt idx="25">
                  <c:v>1914</c:v>
                </c:pt>
                <c:pt idx="26">
                  <c:v>1915</c:v>
                </c:pt>
                <c:pt idx="27">
                  <c:v>1916</c:v>
                </c:pt>
                <c:pt idx="28">
                  <c:v>1917</c:v>
                </c:pt>
                <c:pt idx="29">
                  <c:v>1918</c:v>
                </c:pt>
                <c:pt idx="30">
                  <c:v>1919</c:v>
                </c:pt>
                <c:pt idx="31">
                  <c:v>1920</c:v>
                </c:pt>
                <c:pt idx="32">
                  <c:v>1921</c:v>
                </c:pt>
                <c:pt idx="33">
                  <c:v>1922</c:v>
                </c:pt>
                <c:pt idx="34">
                  <c:v>1923</c:v>
                </c:pt>
                <c:pt idx="35">
                  <c:v>1924</c:v>
                </c:pt>
                <c:pt idx="36">
                  <c:v>1925</c:v>
                </c:pt>
                <c:pt idx="37">
                  <c:v>1926</c:v>
                </c:pt>
                <c:pt idx="38">
                  <c:v>1927</c:v>
                </c:pt>
                <c:pt idx="39">
                  <c:v>1928</c:v>
                </c:pt>
                <c:pt idx="40">
                  <c:v>1929</c:v>
                </c:pt>
                <c:pt idx="41">
                  <c:v>1930</c:v>
                </c:pt>
                <c:pt idx="42">
                  <c:v>1931</c:v>
                </c:pt>
                <c:pt idx="43">
                  <c:v>1932</c:v>
                </c:pt>
                <c:pt idx="44">
                  <c:v>1933</c:v>
                </c:pt>
                <c:pt idx="45">
                  <c:v>1934</c:v>
                </c:pt>
                <c:pt idx="46">
                  <c:v>1935</c:v>
                </c:pt>
                <c:pt idx="47">
                  <c:v>1936</c:v>
                </c:pt>
                <c:pt idx="48">
                  <c:v>1937</c:v>
                </c:pt>
                <c:pt idx="49">
                  <c:v>1938</c:v>
                </c:pt>
                <c:pt idx="50">
                  <c:v>1939</c:v>
                </c:pt>
                <c:pt idx="51">
                  <c:v>1940</c:v>
                </c:pt>
                <c:pt idx="52">
                  <c:v>1941</c:v>
                </c:pt>
                <c:pt idx="53">
                  <c:v>1942</c:v>
                </c:pt>
                <c:pt idx="54">
                  <c:v>1943</c:v>
                </c:pt>
                <c:pt idx="55">
                  <c:v>1944</c:v>
                </c:pt>
                <c:pt idx="56">
                  <c:v>1945</c:v>
                </c:pt>
                <c:pt idx="57">
                  <c:v>1946</c:v>
                </c:pt>
                <c:pt idx="58">
                  <c:v>1947</c:v>
                </c:pt>
                <c:pt idx="59">
                  <c:v>1948</c:v>
                </c:pt>
                <c:pt idx="60">
                  <c:v>1949</c:v>
                </c:pt>
                <c:pt idx="61">
                  <c:v>1950</c:v>
                </c:pt>
                <c:pt idx="62">
                  <c:v>1951</c:v>
                </c:pt>
                <c:pt idx="63">
                  <c:v>1952</c:v>
                </c:pt>
                <c:pt idx="64">
                  <c:v>1953</c:v>
                </c:pt>
                <c:pt idx="65">
                  <c:v>1954</c:v>
                </c:pt>
                <c:pt idx="66">
                  <c:v>1955</c:v>
                </c:pt>
                <c:pt idx="67">
                  <c:v>1956</c:v>
                </c:pt>
                <c:pt idx="68">
                  <c:v>1957</c:v>
                </c:pt>
                <c:pt idx="69">
                  <c:v>1958</c:v>
                </c:pt>
                <c:pt idx="70">
                  <c:v>1959</c:v>
                </c:pt>
                <c:pt idx="71">
                  <c:v>1960</c:v>
                </c:pt>
                <c:pt idx="72">
                  <c:v>1961</c:v>
                </c:pt>
                <c:pt idx="73">
                  <c:v>1962</c:v>
                </c:pt>
                <c:pt idx="74">
                  <c:v>1963</c:v>
                </c:pt>
                <c:pt idx="75">
                  <c:v>1964</c:v>
                </c:pt>
                <c:pt idx="76">
                  <c:v>1965</c:v>
                </c:pt>
                <c:pt idx="77">
                  <c:v>1966</c:v>
                </c:pt>
                <c:pt idx="78">
                  <c:v>1967</c:v>
                </c:pt>
                <c:pt idx="79">
                  <c:v>1968</c:v>
                </c:pt>
                <c:pt idx="80">
                  <c:v>1969</c:v>
                </c:pt>
                <c:pt idx="81">
                  <c:v>1970</c:v>
                </c:pt>
                <c:pt idx="82">
                  <c:v>1971</c:v>
                </c:pt>
                <c:pt idx="83">
                  <c:v>1972</c:v>
                </c:pt>
                <c:pt idx="84">
                  <c:v>1973</c:v>
                </c:pt>
                <c:pt idx="85">
                  <c:v>1974</c:v>
                </c:pt>
                <c:pt idx="86">
                  <c:v>1975</c:v>
                </c:pt>
                <c:pt idx="87">
                  <c:v>1976</c:v>
                </c:pt>
                <c:pt idx="88">
                  <c:v>1977</c:v>
                </c:pt>
                <c:pt idx="89">
                  <c:v>1978</c:v>
                </c:pt>
                <c:pt idx="90">
                  <c:v>1979</c:v>
                </c:pt>
                <c:pt idx="91">
                  <c:v>1980</c:v>
                </c:pt>
                <c:pt idx="92">
                  <c:v>1981</c:v>
                </c:pt>
                <c:pt idx="93">
                  <c:v>1982</c:v>
                </c:pt>
                <c:pt idx="94">
                  <c:v>1983</c:v>
                </c:pt>
                <c:pt idx="95">
                  <c:v>1984</c:v>
                </c:pt>
                <c:pt idx="96">
                  <c:v>1985</c:v>
                </c:pt>
                <c:pt idx="97">
                  <c:v>1986</c:v>
                </c:pt>
                <c:pt idx="98">
                  <c:v>1987</c:v>
                </c:pt>
                <c:pt idx="99">
                  <c:v>1988</c:v>
                </c:pt>
                <c:pt idx="100">
                  <c:v>1989</c:v>
                </c:pt>
                <c:pt idx="101">
                  <c:v>1990</c:v>
                </c:pt>
                <c:pt idx="102">
                  <c:v>1991</c:v>
                </c:pt>
                <c:pt idx="103">
                  <c:v>1992</c:v>
                </c:pt>
                <c:pt idx="104">
                  <c:v>1993</c:v>
                </c:pt>
                <c:pt idx="105">
                  <c:v>1994</c:v>
                </c:pt>
                <c:pt idx="106">
                  <c:v>1995</c:v>
                </c:pt>
                <c:pt idx="107">
                  <c:v>1996</c:v>
                </c:pt>
                <c:pt idx="108">
                  <c:v>1997</c:v>
                </c:pt>
                <c:pt idx="109">
                  <c:v>1998</c:v>
                </c:pt>
                <c:pt idx="110">
                  <c:v>1999</c:v>
                </c:pt>
                <c:pt idx="111">
                  <c:v>2000</c:v>
                </c:pt>
                <c:pt idx="112">
                  <c:v>2001</c:v>
                </c:pt>
                <c:pt idx="113">
                  <c:v>2002</c:v>
                </c:pt>
                <c:pt idx="114">
                  <c:v>2003</c:v>
                </c:pt>
                <c:pt idx="115">
                  <c:v>2004</c:v>
                </c:pt>
                <c:pt idx="116">
                  <c:v>2005</c:v>
                </c:pt>
                <c:pt idx="117">
                  <c:v>2006</c:v>
                </c:pt>
                <c:pt idx="118">
                  <c:v>2007</c:v>
                </c:pt>
                <c:pt idx="119">
                  <c:v>2008</c:v>
                </c:pt>
                <c:pt idx="120">
                  <c:v>2009</c:v>
                </c:pt>
                <c:pt idx="121">
                  <c:v>2010</c:v>
                </c:pt>
                <c:pt idx="122">
                  <c:v>2011</c:v>
                </c:pt>
                <c:pt idx="123">
                  <c:v>2012</c:v>
                </c:pt>
                <c:pt idx="124">
                  <c:v>2013</c:v>
                </c:pt>
                <c:pt idx="125">
                  <c:v>2014</c:v>
                </c:pt>
                <c:pt idx="126">
                  <c:v>2015</c:v>
                </c:pt>
                <c:pt idx="127">
                  <c:v>2016</c:v>
                </c:pt>
                <c:pt idx="128">
                  <c:v>2017</c:v>
                </c:pt>
                <c:pt idx="129">
                  <c:v>2018</c:v>
                </c:pt>
                <c:pt idx="130">
                  <c:v>2019</c:v>
                </c:pt>
                <c:pt idx="131">
                  <c:v>2020</c:v>
                </c:pt>
                <c:pt idx="132">
                  <c:v>2021</c:v>
                </c:pt>
                <c:pt idx="133">
                  <c:v>2022</c:v>
                </c:pt>
                <c:pt idx="134">
                  <c:v>2023</c:v>
                </c:pt>
                <c:pt idx="135">
                  <c:v>2024</c:v>
                </c:pt>
                <c:pt idx="136">
                  <c:v>2025</c:v>
                </c:pt>
                <c:pt idx="137">
                  <c:v>2026</c:v>
                </c:pt>
                <c:pt idx="138">
                  <c:v>2027</c:v>
                </c:pt>
                <c:pt idx="139">
                  <c:v>2028</c:v>
                </c:pt>
                <c:pt idx="140">
                  <c:v>2029</c:v>
                </c:pt>
                <c:pt idx="141">
                  <c:v>2030</c:v>
                </c:pt>
                <c:pt idx="142">
                  <c:v>2031</c:v>
                </c:pt>
                <c:pt idx="143">
                  <c:v>2032</c:v>
                </c:pt>
                <c:pt idx="144">
                  <c:v>2033</c:v>
                </c:pt>
                <c:pt idx="145">
                  <c:v>2034</c:v>
                </c:pt>
                <c:pt idx="146">
                  <c:v>2035</c:v>
                </c:pt>
                <c:pt idx="147">
                  <c:v>2036</c:v>
                </c:pt>
                <c:pt idx="148">
                  <c:v>2037</c:v>
                </c:pt>
                <c:pt idx="149">
                  <c:v>2038</c:v>
                </c:pt>
                <c:pt idx="150">
                  <c:v>2039</c:v>
                </c:pt>
                <c:pt idx="151">
                  <c:v>2040</c:v>
                </c:pt>
                <c:pt idx="152">
                  <c:v>2041</c:v>
                </c:pt>
                <c:pt idx="153">
                  <c:v>2042</c:v>
                </c:pt>
                <c:pt idx="154">
                  <c:v>2043</c:v>
                </c:pt>
                <c:pt idx="155">
                  <c:v>2044</c:v>
                </c:pt>
                <c:pt idx="156">
                  <c:v>2045</c:v>
                </c:pt>
                <c:pt idx="157">
                  <c:v>2046</c:v>
                </c:pt>
                <c:pt idx="158">
                  <c:v>2047</c:v>
                </c:pt>
                <c:pt idx="159">
                  <c:v>2048</c:v>
                </c:pt>
                <c:pt idx="160">
                  <c:v>2049</c:v>
                </c:pt>
                <c:pt idx="161">
                  <c:v>2050</c:v>
                </c:pt>
                <c:pt idx="162">
                  <c:v>2051</c:v>
                </c:pt>
                <c:pt idx="163">
                  <c:v>2052</c:v>
                </c:pt>
                <c:pt idx="164">
                  <c:v>2053</c:v>
                </c:pt>
                <c:pt idx="165">
                  <c:v>2054</c:v>
                </c:pt>
                <c:pt idx="166">
                  <c:v>2055</c:v>
                </c:pt>
                <c:pt idx="167">
                  <c:v>2056</c:v>
                </c:pt>
                <c:pt idx="168">
                  <c:v>2057</c:v>
                </c:pt>
                <c:pt idx="169">
                  <c:v>2058</c:v>
                </c:pt>
                <c:pt idx="170">
                  <c:v>2059</c:v>
                </c:pt>
                <c:pt idx="171">
                  <c:v>2060</c:v>
                </c:pt>
                <c:pt idx="172">
                  <c:v>2061</c:v>
                </c:pt>
                <c:pt idx="173">
                  <c:v>2062</c:v>
                </c:pt>
                <c:pt idx="174">
                  <c:v>2063</c:v>
                </c:pt>
                <c:pt idx="175">
                  <c:v>2064</c:v>
                </c:pt>
                <c:pt idx="176">
                  <c:v>2065</c:v>
                </c:pt>
                <c:pt idx="177">
                  <c:v>2066</c:v>
                </c:pt>
                <c:pt idx="178">
                  <c:v>2067</c:v>
                </c:pt>
                <c:pt idx="179">
                  <c:v>2068</c:v>
                </c:pt>
                <c:pt idx="180">
                  <c:v>2069</c:v>
                </c:pt>
                <c:pt idx="181">
                  <c:v>2070</c:v>
                </c:pt>
                <c:pt idx="182">
                  <c:v>2071</c:v>
                </c:pt>
                <c:pt idx="183">
                  <c:v>2072</c:v>
                </c:pt>
                <c:pt idx="184">
                  <c:v>2073</c:v>
                </c:pt>
                <c:pt idx="185">
                  <c:v>2074</c:v>
                </c:pt>
                <c:pt idx="186">
                  <c:v>2075</c:v>
                </c:pt>
                <c:pt idx="187">
                  <c:v>2076</c:v>
                </c:pt>
                <c:pt idx="188">
                  <c:v>2077</c:v>
                </c:pt>
                <c:pt idx="189">
                  <c:v>2078</c:v>
                </c:pt>
                <c:pt idx="190">
                  <c:v>2079</c:v>
                </c:pt>
                <c:pt idx="191">
                  <c:v>2080</c:v>
                </c:pt>
                <c:pt idx="192">
                  <c:v>2081</c:v>
                </c:pt>
                <c:pt idx="193">
                  <c:v>2082</c:v>
                </c:pt>
                <c:pt idx="194">
                  <c:v>2083</c:v>
                </c:pt>
                <c:pt idx="195">
                  <c:v>2084</c:v>
                </c:pt>
                <c:pt idx="196">
                  <c:v>2085</c:v>
                </c:pt>
                <c:pt idx="197">
                  <c:v>2086</c:v>
                </c:pt>
                <c:pt idx="198">
                  <c:v>2087</c:v>
                </c:pt>
                <c:pt idx="199">
                  <c:v>2088</c:v>
                </c:pt>
                <c:pt idx="200">
                  <c:v>2089</c:v>
                </c:pt>
                <c:pt idx="201">
                  <c:v>2090</c:v>
                </c:pt>
                <c:pt idx="202">
                  <c:v>2091</c:v>
                </c:pt>
                <c:pt idx="203">
                  <c:v>2092</c:v>
                </c:pt>
                <c:pt idx="204">
                  <c:v>2093</c:v>
                </c:pt>
                <c:pt idx="205">
                  <c:v>2094</c:v>
                </c:pt>
                <c:pt idx="206">
                  <c:v>2095</c:v>
                </c:pt>
                <c:pt idx="207">
                  <c:v>2096</c:v>
                </c:pt>
                <c:pt idx="208">
                  <c:v>2097</c:v>
                </c:pt>
                <c:pt idx="209">
                  <c:v>2098</c:v>
                </c:pt>
                <c:pt idx="210">
                  <c:v>2099</c:v>
                </c:pt>
                <c:pt idx="211">
                  <c:v>2100</c:v>
                </c:pt>
                <c:pt idx="212">
                  <c:v>2101</c:v>
                </c:pt>
                <c:pt idx="213">
                  <c:v>2102</c:v>
                </c:pt>
                <c:pt idx="214">
                  <c:v>2103</c:v>
                </c:pt>
                <c:pt idx="215">
                  <c:v>2104</c:v>
                </c:pt>
                <c:pt idx="216">
                  <c:v>2105</c:v>
                </c:pt>
                <c:pt idx="217">
                  <c:v>2106</c:v>
                </c:pt>
                <c:pt idx="218">
                  <c:v>2107</c:v>
                </c:pt>
                <c:pt idx="219">
                  <c:v>2108</c:v>
                </c:pt>
                <c:pt idx="220">
                  <c:v>2109</c:v>
                </c:pt>
                <c:pt idx="221">
                  <c:v>2110</c:v>
                </c:pt>
                <c:pt idx="222">
                  <c:v>2111</c:v>
                </c:pt>
                <c:pt idx="223">
                  <c:v>2112</c:v>
                </c:pt>
                <c:pt idx="224">
                  <c:v>2113</c:v>
                </c:pt>
                <c:pt idx="225">
                  <c:v>2114</c:v>
                </c:pt>
                <c:pt idx="226">
                  <c:v>2115</c:v>
                </c:pt>
                <c:pt idx="227">
                  <c:v>2116</c:v>
                </c:pt>
                <c:pt idx="228">
                  <c:v>2117</c:v>
                </c:pt>
                <c:pt idx="229">
                  <c:v>2118</c:v>
                </c:pt>
                <c:pt idx="230">
                  <c:v>2119</c:v>
                </c:pt>
                <c:pt idx="231">
                  <c:v>2120</c:v>
                </c:pt>
                <c:pt idx="232">
                  <c:v>2121</c:v>
                </c:pt>
                <c:pt idx="233">
                  <c:v>2122</c:v>
                </c:pt>
                <c:pt idx="234">
                  <c:v>2123</c:v>
                </c:pt>
                <c:pt idx="235">
                  <c:v>2124</c:v>
                </c:pt>
                <c:pt idx="236">
                  <c:v>2125</c:v>
                </c:pt>
                <c:pt idx="237">
                  <c:v>2126</c:v>
                </c:pt>
                <c:pt idx="238">
                  <c:v>2127</c:v>
                </c:pt>
                <c:pt idx="239">
                  <c:v>2128</c:v>
                </c:pt>
                <c:pt idx="240">
                  <c:v>2129</c:v>
                </c:pt>
                <c:pt idx="241">
                  <c:v>2130</c:v>
                </c:pt>
                <c:pt idx="242">
                  <c:v>2131</c:v>
                </c:pt>
                <c:pt idx="243">
                  <c:v>2132</c:v>
                </c:pt>
                <c:pt idx="244">
                  <c:v>2133</c:v>
                </c:pt>
                <c:pt idx="245">
                  <c:v>2134</c:v>
                </c:pt>
                <c:pt idx="246">
                  <c:v>2135</c:v>
                </c:pt>
                <c:pt idx="247">
                  <c:v>2136</c:v>
                </c:pt>
                <c:pt idx="248">
                  <c:v>2137</c:v>
                </c:pt>
                <c:pt idx="249">
                  <c:v>2138</c:v>
                </c:pt>
                <c:pt idx="250">
                  <c:v>2139</c:v>
                </c:pt>
                <c:pt idx="251">
                  <c:v>2140</c:v>
                </c:pt>
                <c:pt idx="252">
                  <c:v>2141</c:v>
                </c:pt>
                <c:pt idx="253">
                  <c:v>2142</c:v>
                </c:pt>
                <c:pt idx="254">
                  <c:v>2143</c:v>
                </c:pt>
                <c:pt idx="255">
                  <c:v>2144</c:v>
                </c:pt>
                <c:pt idx="256">
                  <c:v>2145</c:v>
                </c:pt>
                <c:pt idx="257">
                  <c:v>2146</c:v>
                </c:pt>
                <c:pt idx="258">
                  <c:v>2147</c:v>
                </c:pt>
                <c:pt idx="259">
                  <c:v>2148</c:v>
                </c:pt>
                <c:pt idx="260">
                  <c:v>2149</c:v>
                </c:pt>
                <c:pt idx="261">
                  <c:v>2150</c:v>
                </c:pt>
              </c:numCache>
            </c:numRef>
          </c:xVal>
          <c:yVal>
            <c:numRef>
              <c:f>'South Asia'!$F$11:$F$362</c:f>
              <c:numCache>
                <c:formatCode>0.0</c:formatCode>
                <c:ptCount val="352"/>
                <c:pt idx="0" formatCode="0">
                  <c:v>0</c:v>
                </c:pt>
                <c:pt idx="1">
                  <c:v>2.209E-3</c:v>
                </c:pt>
                <c:pt idx="2">
                  <c:v>4.5830000000000003E-3</c:v>
                </c:pt>
                <c:pt idx="3">
                  <c:v>7.2320000000000006E-3</c:v>
                </c:pt>
                <c:pt idx="4">
                  <c:v>9.9020000000000011E-3</c:v>
                </c:pt>
                <c:pt idx="5">
                  <c:v>1.2868000000000001E-2</c:v>
                </c:pt>
                <c:pt idx="6">
                  <c:v>1.6594000000000001E-2</c:v>
                </c:pt>
                <c:pt idx="7">
                  <c:v>2.0664000000000002E-2</c:v>
                </c:pt>
                <c:pt idx="8">
                  <c:v>2.4978E-2</c:v>
                </c:pt>
                <c:pt idx="9">
                  <c:v>3.0072000000000002E-2</c:v>
                </c:pt>
                <c:pt idx="10">
                  <c:v>3.5739E-2</c:v>
                </c:pt>
                <c:pt idx="11">
                  <c:v>4.2402000000000002E-2</c:v>
                </c:pt>
                <c:pt idx="12">
                  <c:v>4.9678E-2</c:v>
                </c:pt>
                <c:pt idx="13">
                  <c:v>5.7841999999999998E-2</c:v>
                </c:pt>
                <c:pt idx="14">
                  <c:v>6.5993999999999997E-2</c:v>
                </c:pt>
                <c:pt idx="15">
                  <c:v>7.492299999999999E-2</c:v>
                </c:pt>
                <c:pt idx="16">
                  <c:v>8.4174999999999986E-2</c:v>
                </c:pt>
                <c:pt idx="17">
                  <c:v>9.490599999999999E-2</c:v>
                </c:pt>
                <c:pt idx="18">
                  <c:v>0.10709299999999999</c:v>
                </c:pt>
                <c:pt idx="19">
                  <c:v>0.12100699999999999</c:v>
                </c:pt>
                <c:pt idx="20">
                  <c:v>0.13416</c:v>
                </c:pt>
                <c:pt idx="21">
                  <c:v>0.147704</c:v>
                </c:pt>
                <c:pt idx="22">
                  <c:v>0.161941</c:v>
                </c:pt>
                <c:pt idx="23">
                  <c:v>0.17821000000000001</c:v>
                </c:pt>
                <c:pt idx="24">
                  <c:v>0.196071</c:v>
                </c:pt>
                <c:pt idx="25">
                  <c:v>0.21438399999999999</c:v>
                </c:pt>
                <c:pt idx="26">
                  <c:v>0.233429</c:v>
                </c:pt>
                <c:pt idx="27">
                  <c:v>0.253021</c:v>
                </c:pt>
                <c:pt idx="28">
                  <c:v>0.27381800000000001</c:v>
                </c:pt>
                <c:pt idx="29">
                  <c:v>0.29736200000000002</c:v>
                </c:pt>
                <c:pt idx="30">
                  <c:v>0.32829000000000003</c:v>
                </c:pt>
                <c:pt idx="31">
                  <c:v>0.34979500000000002</c:v>
                </c:pt>
                <c:pt idx="32">
                  <c:v>0.372921</c:v>
                </c:pt>
                <c:pt idx="33">
                  <c:v>0.39594099999999999</c:v>
                </c:pt>
                <c:pt idx="34">
                  <c:v>0.41993599999999998</c:v>
                </c:pt>
                <c:pt idx="35">
                  <c:v>0.44609599999999999</c:v>
                </c:pt>
                <c:pt idx="36">
                  <c:v>0.47226800000000002</c:v>
                </c:pt>
                <c:pt idx="37">
                  <c:v>0.49865500000000001</c:v>
                </c:pt>
                <c:pt idx="38">
                  <c:v>0.52637600000000007</c:v>
                </c:pt>
                <c:pt idx="39">
                  <c:v>0.55511500000000003</c:v>
                </c:pt>
                <c:pt idx="40">
                  <c:v>0.58490300000000006</c:v>
                </c:pt>
                <c:pt idx="41">
                  <c:v>0.61508000000000007</c:v>
                </c:pt>
                <c:pt idx="42">
                  <c:v>0.64210300000000009</c:v>
                </c:pt>
                <c:pt idx="43">
                  <c:v>0.66697600000000012</c:v>
                </c:pt>
                <c:pt idx="44">
                  <c:v>0.6914570000000001</c:v>
                </c:pt>
                <c:pt idx="45">
                  <c:v>0.71836400000000011</c:v>
                </c:pt>
                <c:pt idx="46">
                  <c:v>0.74664000000000008</c:v>
                </c:pt>
                <c:pt idx="47">
                  <c:v>0.77523200000000003</c:v>
                </c:pt>
                <c:pt idx="48">
                  <c:v>0.80696800000000002</c:v>
                </c:pt>
                <c:pt idx="49">
                  <c:v>0.84228400000000003</c:v>
                </c:pt>
                <c:pt idx="50">
                  <c:v>0.87808400000000009</c:v>
                </c:pt>
                <c:pt idx="51">
                  <c:v>0.91624300000000014</c:v>
                </c:pt>
                <c:pt idx="52">
                  <c:v>0.95414100000000013</c:v>
                </c:pt>
                <c:pt idx="53">
                  <c:v>0.98797600000000019</c:v>
                </c:pt>
                <c:pt idx="54">
                  <c:v>1.0177210000000001</c:v>
                </c:pt>
                <c:pt idx="55">
                  <c:v>1.047234</c:v>
                </c:pt>
                <c:pt idx="56">
                  <c:v>1.0785800000000001</c:v>
                </c:pt>
                <c:pt idx="57">
                  <c:v>1.1106600000000002</c:v>
                </c:pt>
                <c:pt idx="58">
                  <c:v>1.1436260000000003</c:v>
                </c:pt>
                <c:pt idx="59">
                  <c:v>1.1776420000000003</c:v>
                </c:pt>
                <c:pt idx="60">
                  <c:v>1.2135290000000003</c:v>
                </c:pt>
                <c:pt idx="61">
                  <c:v>1.2502930000000003</c:v>
                </c:pt>
                <c:pt idx="62">
                  <c:v>1.2896740000000002</c:v>
                </c:pt>
                <c:pt idx="63">
                  <c:v>1.3319420000000002</c:v>
                </c:pt>
                <c:pt idx="64">
                  <c:v>1.3738840000000001</c:v>
                </c:pt>
                <c:pt idx="65">
                  <c:v>1.4165510000000001</c:v>
                </c:pt>
                <c:pt idx="66">
                  <c:v>1.460855</c:v>
                </c:pt>
                <c:pt idx="67">
                  <c:v>1.506634</c:v>
                </c:pt>
                <c:pt idx="68">
                  <c:v>1.5567405000000001</c:v>
                </c:pt>
                <c:pt idx="69">
                  <c:v>1.6095325</c:v>
                </c:pt>
                <c:pt idx="70">
                  <c:v>1.6651294999999999</c:v>
                </c:pt>
                <c:pt idx="71">
                  <c:v>1.7263845</c:v>
                </c:pt>
                <c:pt idx="72">
                  <c:v>1.7917285000000001</c:v>
                </c:pt>
                <c:pt idx="73">
                  <c:v>1.8634905000000002</c:v>
                </c:pt>
                <c:pt idx="74">
                  <c:v>1.9411645000000002</c:v>
                </c:pt>
                <c:pt idx="75">
                  <c:v>2.0159515000000003</c:v>
                </c:pt>
                <c:pt idx="76">
                  <c:v>2.0963735000000003</c:v>
                </c:pt>
                <c:pt idx="77">
                  <c:v>2.1778175000000002</c:v>
                </c:pt>
                <c:pt idx="78">
                  <c:v>2.2592405000000002</c:v>
                </c:pt>
                <c:pt idx="79">
                  <c:v>2.3443375000000004</c:v>
                </c:pt>
                <c:pt idx="80">
                  <c:v>2.4341355000000005</c:v>
                </c:pt>
                <c:pt idx="81">
                  <c:v>2.5214715000000005</c:v>
                </c:pt>
                <c:pt idx="82">
                  <c:v>2.6067915000000004</c:v>
                </c:pt>
                <c:pt idx="83">
                  <c:v>2.6943305000000004</c:v>
                </c:pt>
                <c:pt idx="84">
                  <c:v>2.7847665000000004</c:v>
                </c:pt>
                <c:pt idx="85">
                  <c:v>2.8819915000000003</c:v>
                </c:pt>
                <c:pt idx="86">
                  <c:v>2.9923255000000002</c:v>
                </c:pt>
                <c:pt idx="87">
                  <c:v>3.1089795000000002</c:v>
                </c:pt>
                <c:pt idx="88">
                  <c:v>3.2253845000000001</c:v>
                </c:pt>
                <c:pt idx="89">
                  <c:v>3.3429785000000001</c:v>
                </c:pt>
                <c:pt idx="90">
                  <c:v>3.4621625000000003</c:v>
                </c:pt>
                <c:pt idx="91">
                  <c:v>3.5884325000000001</c:v>
                </c:pt>
                <c:pt idx="92">
                  <c:v>3.7318294977599629</c:v>
                </c:pt>
                <c:pt idx="93">
                  <c:v>3.8810060480196471</c:v>
                </c:pt>
                <c:pt idx="94">
                  <c:v>4.0384648919299826</c:v>
                </c:pt>
                <c:pt idx="95">
                  <c:v>4.2067938894523946</c:v>
                </c:pt>
                <c:pt idx="96">
                  <c:v>4.3837808868228949</c:v>
                </c:pt>
                <c:pt idx="97">
                  <c:v>4.5736168841857125</c:v>
                </c:pt>
                <c:pt idx="98">
                  <c:v>4.7817818815606161</c:v>
                </c:pt>
                <c:pt idx="99">
                  <c:v>5.0033478789369124</c:v>
                </c:pt>
                <c:pt idx="100">
                  <c:v>5.247678876348794</c:v>
                </c:pt>
                <c:pt idx="101">
                  <c:v>5.5061118739472299</c:v>
                </c:pt>
                <c:pt idx="102">
                  <c:v>5.7862253851752872</c:v>
                </c:pt>
                <c:pt idx="103">
                  <c:v>6.0890145645366616</c:v>
                </c:pt>
                <c:pt idx="104">
                  <c:v>6.4081562646800769</c:v>
                </c:pt>
                <c:pt idx="105">
                  <c:v>6.7411128518741279</c:v>
                </c:pt>
                <c:pt idx="106">
                  <c:v>7.1033061447100216</c:v>
                </c:pt>
                <c:pt idx="107">
                  <c:v>7.5009042527768743</c:v>
                </c:pt>
                <c:pt idx="108">
                  <c:v>7.9152293608758981</c:v>
                </c:pt>
                <c:pt idx="109">
                  <c:v>8.3355114690877432</c:v>
                </c:pt>
                <c:pt idx="110">
                  <c:v>8.7569021967342877</c:v>
                </c:pt>
                <c:pt idx="111">
                  <c:v>9.2048167830069083</c:v>
                </c:pt>
                <c:pt idx="112">
                  <c:v>9.6782626224818475</c:v>
                </c:pt>
                <c:pt idx="113">
                  <c:v>10.182646099198509</c:v>
                </c:pt>
                <c:pt idx="114">
                  <c:v>10.718014486903995</c:v>
                </c:pt>
                <c:pt idx="115">
                  <c:v>11.312824989368693</c:v>
                </c:pt>
                <c:pt idx="116">
                  <c:v>11.956844640061203</c:v>
                </c:pt>
                <c:pt idx="117">
                  <c:v>12.667452011304436</c:v>
                </c:pt>
                <c:pt idx="118">
                  <c:v>13.429848417545424</c:v>
                </c:pt>
                <c:pt idx="119">
                  <c:v>14.250174632369037</c:v>
                </c:pt>
                <c:pt idx="120">
                  <c:v>15.145327420031002</c:v>
                </c:pt>
              </c:numCache>
            </c:numRef>
          </c:yVal>
          <c:smooth val="1"/>
          <c:extLst>
            <c:ext xmlns:c16="http://schemas.microsoft.com/office/drawing/2014/chart" uri="{C3380CC4-5D6E-409C-BE32-E72D297353CC}">
              <c16:uniqueId val="{00000000-AB10-214A-88E0-6A0B520E54C2}"/>
            </c:ext>
          </c:extLst>
        </c:ser>
        <c:ser>
          <c:idx val="1"/>
          <c:order val="1"/>
          <c:tx>
            <c:strRef>
              <c:f>'South Asia'!$J$10</c:f>
              <c:strCache>
                <c:ptCount val="1"/>
                <c:pt idx="0">
                  <c:v>q l</c:v>
                </c:pt>
              </c:strCache>
            </c:strRef>
          </c:tx>
          <c:spPr>
            <a:ln w="15875">
              <a:solidFill>
                <a:srgbClr val="808080"/>
              </a:solidFill>
              <a:prstDash val="dash"/>
            </a:ln>
          </c:spPr>
          <c:marker>
            <c:symbol val="none"/>
          </c:marker>
          <c:xVal>
            <c:numRef>
              <c:f>'South Asia'!$D$12:$D$200</c:f>
              <c:numCache>
                <c:formatCode>General</c:formatCode>
                <c:ptCount val="189"/>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pt idx="135">
                  <c:v>2025</c:v>
                </c:pt>
                <c:pt idx="136">
                  <c:v>2026</c:v>
                </c:pt>
                <c:pt idx="137">
                  <c:v>2027</c:v>
                </c:pt>
                <c:pt idx="138">
                  <c:v>2028</c:v>
                </c:pt>
                <c:pt idx="139">
                  <c:v>2029</c:v>
                </c:pt>
                <c:pt idx="140">
                  <c:v>2030</c:v>
                </c:pt>
                <c:pt idx="141">
                  <c:v>2031</c:v>
                </c:pt>
                <c:pt idx="142">
                  <c:v>2032</c:v>
                </c:pt>
                <c:pt idx="143">
                  <c:v>2033</c:v>
                </c:pt>
                <c:pt idx="144">
                  <c:v>2034</c:v>
                </c:pt>
                <c:pt idx="145">
                  <c:v>2035</c:v>
                </c:pt>
                <c:pt idx="146">
                  <c:v>2036</c:v>
                </c:pt>
                <c:pt idx="147">
                  <c:v>2037</c:v>
                </c:pt>
                <c:pt idx="148">
                  <c:v>2038</c:v>
                </c:pt>
                <c:pt idx="149">
                  <c:v>2039</c:v>
                </c:pt>
                <c:pt idx="150">
                  <c:v>2040</c:v>
                </c:pt>
                <c:pt idx="151">
                  <c:v>2041</c:v>
                </c:pt>
                <c:pt idx="152">
                  <c:v>2042</c:v>
                </c:pt>
                <c:pt idx="153">
                  <c:v>2043</c:v>
                </c:pt>
                <c:pt idx="154">
                  <c:v>2044</c:v>
                </c:pt>
                <c:pt idx="155">
                  <c:v>2045</c:v>
                </c:pt>
                <c:pt idx="156">
                  <c:v>2046</c:v>
                </c:pt>
                <c:pt idx="157">
                  <c:v>2047</c:v>
                </c:pt>
                <c:pt idx="158">
                  <c:v>2048</c:v>
                </c:pt>
                <c:pt idx="159">
                  <c:v>2049</c:v>
                </c:pt>
                <c:pt idx="160">
                  <c:v>2050</c:v>
                </c:pt>
                <c:pt idx="161">
                  <c:v>2051</c:v>
                </c:pt>
                <c:pt idx="162">
                  <c:v>2052</c:v>
                </c:pt>
                <c:pt idx="163">
                  <c:v>2053</c:v>
                </c:pt>
                <c:pt idx="164">
                  <c:v>2054</c:v>
                </c:pt>
                <c:pt idx="165">
                  <c:v>2055</c:v>
                </c:pt>
                <c:pt idx="166">
                  <c:v>2056</c:v>
                </c:pt>
                <c:pt idx="167">
                  <c:v>2057</c:v>
                </c:pt>
                <c:pt idx="168">
                  <c:v>2058</c:v>
                </c:pt>
                <c:pt idx="169">
                  <c:v>2059</c:v>
                </c:pt>
                <c:pt idx="170">
                  <c:v>2060</c:v>
                </c:pt>
                <c:pt idx="171">
                  <c:v>2061</c:v>
                </c:pt>
                <c:pt idx="172">
                  <c:v>2062</c:v>
                </c:pt>
                <c:pt idx="173">
                  <c:v>2063</c:v>
                </c:pt>
                <c:pt idx="174">
                  <c:v>2064</c:v>
                </c:pt>
                <c:pt idx="175">
                  <c:v>2065</c:v>
                </c:pt>
                <c:pt idx="176">
                  <c:v>2066</c:v>
                </c:pt>
                <c:pt idx="177">
                  <c:v>2067</c:v>
                </c:pt>
                <c:pt idx="178">
                  <c:v>2068</c:v>
                </c:pt>
                <c:pt idx="179">
                  <c:v>2069</c:v>
                </c:pt>
                <c:pt idx="180">
                  <c:v>2070</c:v>
                </c:pt>
                <c:pt idx="181">
                  <c:v>2071</c:v>
                </c:pt>
                <c:pt idx="182">
                  <c:v>2072</c:v>
                </c:pt>
                <c:pt idx="183">
                  <c:v>2073</c:v>
                </c:pt>
                <c:pt idx="184">
                  <c:v>2074</c:v>
                </c:pt>
                <c:pt idx="185">
                  <c:v>2075</c:v>
                </c:pt>
                <c:pt idx="186">
                  <c:v>2076</c:v>
                </c:pt>
                <c:pt idx="187">
                  <c:v>2077</c:v>
                </c:pt>
                <c:pt idx="188">
                  <c:v>2078</c:v>
                </c:pt>
              </c:numCache>
            </c:numRef>
          </c:xVal>
          <c:yVal>
            <c:numRef>
              <c:f>'South Asia'!$J$12:$J$200</c:f>
              <c:numCache>
                <c:formatCode>0.0</c:formatCode>
                <c:ptCount val="189"/>
                <c:pt idx="95">
                  <c:v>4.2155277368518993</c:v>
                </c:pt>
                <c:pt idx="96">
                  <c:v>4.4522499326608953</c:v>
                </c:pt>
                <c:pt idx="97">
                  <c:v>4.7014187255939364</c:v>
                </c:pt>
                <c:pt idx="98">
                  <c:v>4.9635916533459161</c:v>
                </c:pt>
                <c:pt idx="99">
                  <c:v>5.2393401758946974</c:v>
                </c:pt>
                <c:pt idx="100">
                  <c:v>5.5292486818110378</c:v>
                </c:pt>
                <c:pt idx="101">
                  <c:v>5.8339132974695254</c:v>
                </c:pt>
                <c:pt idx="102">
                  <c:v>6.1539404829320636</c:v>
                </c:pt>
                <c:pt idx="103">
                  <c:v>6.489945398307297</c:v>
                </c:pt>
                <c:pt idx="104">
                  <c:v>6.8425500246813229</c:v>
                </c:pt>
                <c:pt idx="105">
                  <c:v>7.2123810243123927</c:v>
                </c:pt>
                <c:pt idx="106">
                  <c:v>7.6000673257329936</c:v>
                </c:pt>
                <c:pt idx="107">
                  <c:v>8.0062374207558786</c:v>
                </c:pt>
                <c:pt idx="108">
                  <c:v>8.4315163621859881</c:v>
                </c:pt>
                <c:pt idx="109">
                  <c:v>8.8765224533461993</c:v>
                </c:pt>
                <c:pt idx="110">
                  <c:v>9.3418636233765255</c:v>
                </c:pt>
                <c:pt idx="111">
                  <c:v>9.8281334857042673</c:v>
                </c:pt>
                <c:pt idx="112">
                  <c:v>10.33590708113914</c:v>
                </c:pt>
                <c:pt idx="113">
                  <c:v>10.865736311744101</c:v>
                </c:pt>
                <c:pt idx="114">
                  <c:v>11.418145076978028</c:v>
                </c:pt>
                <c:pt idx="115">
                  <c:v>11.993624129591904</c:v>
                </c:pt>
                <c:pt idx="116">
                  <c:v>12.592625675355643</c:v>
                </c:pt>
                <c:pt idx="117">
                  <c:v>13.21555774784613</c:v>
                </c:pt>
                <c:pt idx="118">
                  <c:v>13.862778397157335</c:v>
                </c:pt>
                <c:pt idx="119">
                  <c:v>14.534589739390883</c:v>
                </c:pt>
                <c:pt idx="120">
                  <c:v>15.231231922008629</c:v>
                </c:pt>
                <c:pt idx="121">
                  <c:v>15.952877068402588</c:v>
                </c:pt>
                <c:pt idx="122">
                  <c:v>16.699623273154476</c:v>
                </c:pt>
                <c:pt idx="123">
                  <c:v>17.471488727179256</c:v>
                </c:pt>
                <c:pt idx="124">
                  <c:v>18.268406059007546</c:v>
                </c:pt>
                <c:pt idx="125">
                  <c:v>19.090216984572784</c:v>
                </c:pt>
                <c:pt idx="126">
                  <c:v>19.936667362728247</c:v>
                </c:pt>
                <c:pt idx="127">
                  <c:v>20.807402757018234</c:v>
                </c:pt>
                <c:pt idx="128">
                  <c:v>21.701964605667527</c:v>
                </c:pt>
                <c:pt idx="129">
                  <c:v>22.619787101053319</c:v>
                </c:pt>
                <c:pt idx="130">
                  <c:v>23.560194876840484</c:v>
                </c:pt>
                <c:pt idx="131">
                  <c:v>24.522401595301094</c:v>
                </c:pt>
                <c:pt idx="132">
                  <c:v>25.505509518976577</c:v>
                </c:pt>
                <c:pt idx="133">
                  <c:v>26.508510139730436</c:v>
                </c:pt>
                <c:pt idx="134">
                  <c:v>27.530285924429574</c:v>
                </c:pt>
                <c:pt idx="135">
                  <c:v>28.569613220134645</c:v>
                </c:pt>
                <c:pt idx="136">
                  <c:v>29.625166343034071</c:v>
                </c:pt>
                <c:pt idx="137">
                  <c:v>30.695522854789875</c:v>
                </c:pt>
                <c:pt idx="138">
                  <c:v>31.779170007948856</c:v>
                </c:pt>
                <c:pt idx="139">
                  <c:v>32.874512319171018</c:v>
                </c:pt>
                <c:pt idx="140">
                  <c:v>33.979880205877272</c:v>
                </c:pt>
                <c:pt idx="141">
                  <c:v>35.093539599208846</c:v>
                </c:pt>
                <c:pt idx="142">
                  <c:v>36.21370242463535</c:v>
                </c:pt>
                <c:pt idx="143">
                  <c:v>37.33853782185556</c:v>
                </c:pt>
                <c:pt idx="144">
                  <c:v>38.466183958473913</c:v>
                </c:pt>
                <c:pt idx="145">
                  <c:v>39.594760277908584</c:v>
                </c:pt>
                <c:pt idx="146">
                  <c:v>40.722380011594019</c:v>
                </c:pt>
                <c:pt idx="147">
                  <c:v>41.847162779161543</c:v>
                </c:pt>
                <c:pt idx="148">
                  <c:v>42.967247098148427</c:v>
                </c:pt>
                <c:pt idx="149">
                  <c:v>44.080802626979334</c:v>
                </c:pt>
                <c:pt idx="150">
                  <c:v>45.186041971401615</c:v>
                </c:pt>
                <c:pt idx="151">
                  <c:v>46.281231895002612</c:v>
                </c:pt>
                <c:pt idx="152">
                  <c:v>47.364703788512067</c:v>
                </c:pt>
                <c:pt idx="153">
                  <c:v>48.434863269793276</c:v>
                </c:pt>
                <c:pt idx="154">
                  <c:v>49.490198806150566</c:v>
                </c:pt>
                <c:pt idx="155">
                  <c:v>50.529289272157271</c:v>
                </c:pt>
                <c:pt idx="156">
                  <c:v>51.550810378928837</c:v>
                </c:pt>
                <c:pt idx="157">
                  <c:v>52.553539933917122</c:v>
                </c:pt>
                <c:pt idx="158">
                  <c:v>53.536361913194902</c:v>
                </c:pt>
                <c:pt idx="159">
                  <c:v>54.498269350198107</c:v>
                </c:pt>
                <c:pt idx="160">
                  <c:v>55.43836606543573</c:v>
                </c:pt>
                <c:pt idx="161">
                  <c:v>56.355867280293225</c:v>
                </c:pt>
                <c:pt idx="162">
                  <c:v>57.250099174379066</c:v>
                </c:pt>
                <c:pt idx="163">
                  <c:v>58.120497459636688</c:v>
                </c:pt>
                <c:pt idx="164">
                  <c:v>58.966605055516276</c:v>
                </c:pt>
                <c:pt idx="165">
                  <c:v>59.788068957825018</c:v>
                </c:pt>
                <c:pt idx="166">
                  <c:v>60.584636399497327</c:v>
                </c:pt>
                <c:pt idx="167">
                  <c:v>61.356150404574826</c:v>
                </c:pt>
                <c:pt idx="168">
                  <c:v>62.102544837354323</c:v>
                </c:pt>
                <c:pt idx="169">
                  <c:v>62.823839047193999</c:v>
                </c:pt>
                <c:pt idx="170">
                  <c:v>63.520132206144915</c:v>
                </c:pt>
                <c:pt idx="171">
                  <c:v>64.191597431696053</c:v>
                </c:pt>
                <c:pt idx="172">
                  <c:v>64.838475780794951</c:v>
                </c:pt>
                <c:pt idx="173">
                  <c:v>65.461070194233727</c:v>
                </c:pt>
                <c:pt idx="174">
                  <c:v>66.059739462761726</c:v>
                </c:pt>
                <c:pt idx="175">
                  <c:v>66.634892278164457</c:v>
                </c:pt>
                <c:pt idx="176">
                  <c:v>67.186981424274606</c:v>
                </c:pt>
                <c:pt idx="177">
                  <c:v>67.716498154659675</c:v>
                </c:pt>
                <c:pt idx="178">
                  <c:v>68.223966795737155</c:v>
                </c:pt>
                <c:pt idx="179">
                  <c:v>68.709939606444593</c:v>
                </c:pt>
                <c:pt idx="180">
                  <c:v>69.174991918444874</c:v>
                </c:pt>
                <c:pt idx="181">
                  <c:v>69.61971757426052</c:v>
                </c:pt>
                <c:pt idx="182">
                  <c:v>70.044724674753809</c:v>
                </c:pt>
                <c:pt idx="183">
                  <c:v>70.450631642033244</c:v>
                </c:pt>
                <c:pt idx="184">
                  <c:v>70.83806359917898</c:v>
                </c:pt>
                <c:pt idx="185">
                  <c:v>71.207649064132767</c:v>
                </c:pt>
                <c:pt idx="186">
                  <c:v>71.560016951667762</c:v>
                </c:pt>
                <c:pt idx="187">
                  <c:v>71.895793874510417</c:v>
                </c:pt>
                <c:pt idx="188">
                  <c:v>72.215601732387768</c:v>
                </c:pt>
              </c:numCache>
            </c:numRef>
          </c:yVal>
          <c:smooth val="1"/>
          <c:extLst>
            <c:ext xmlns:c16="http://schemas.microsoft.com/office/drawing/2014/chart" uri="{C3380CC4-5D6E-409C-BE32-E72D297353CC}">
              <c16:uniqueId val="{00000001-AB10-214A-88E0-6A0B520E54C2}"/>
            </c:ext>
          </c:extLst>
        </c:ser>
        <c:ser>
          <c:idx val="2"/>
          <c:order val="2"/>
          <c:tx>
            <c:strRef>
              <c:f>'South Asia'!$O$10</c:f>
              <c:strCache>
                <c:ptCount val="1"/>
                <c:pt idx="0">
                  <c:v>Q reserves (2 year reference except IGC)</c:v>
                </c:pt>
              </c:strCache>
            </c:strRef>
          </c:tx>
          <c:spPr>
            <a:ln w="15875">
              <a:noFill/>
            </a:ln>
          </c:spPr>
          <c:marker>
            <c:symbol val="circle"/>
            <c:size val="6"/>
            <c:spPr>
              <a:noFill/>
              <a:ln>
                <a:solidFill>
                  <a:srgbClr val="333399"/>
                </a:solidFill>
              </a:ln>
            </c:spPr>
          </c:marker>
          <c:xVal>
            <c:numRef>
              <c:f>'South Asia'!$N$11:$N$92</c:f>
              <c:numCache>
                <c:formatCode>General</c:formatCode>
                <c:ptCount val="82"/>
                <c:pt idx="0">
                  <c:v>1913</c:v>
                </c:pt>
                <c:pt idx="1">
                  <c:v>1936</c:v>
                </c:pt>
                <c:pt idx="2">
                  <c:v>1937</c:v>
                </c:pt>
                <c:pt idx="3">
                  <c:v>1938</c:v>
                </c:pt>
                <c:pt idx="4">
                  <c:v>1948</c:v>
                </c:pt>
                <c:pt idx="5" formatCode="0">
                  <c:v>1952</c:v>
                </c:pt>
                <c:pt idx="6" formatCode="0">
                  <c:v>1954</c:v>
                </c:pt>
                <c:pt idx="7" formatCode="0">
                  <c:v>1960</c:v>
                </c:pt>
                <c:pt idx="8" formatCode="0">
                  <c:v>1968</c:v>
                </c:pt>
                <c:pt idx="9" formatCode="0">
                  <c:v>1974</c:v>
                </c:pt>
                <c:pt idx="10" formatCode="0">
                  <c:v>1986</c:v>
                </c:pt>
                <c:pt idx="11" formatCode="0">
                  <c:v>1989</c:v>
                </c:pt>
                <c:pt idx="12" formatCode="0">
                  <c:v>1992</c:v>
                </c:pt>
                <c:pt idx="13" formatCode="0">
                  <c:v>1995</c:v>
                </c:pt>
                <c:pt idx="14" formatCode="0">
                  <c:v>1998</c:v>
                </c:pt>
                <c:pt idx="15" formatCode="0">
                  <c:v>2001</c:v>
                </c:pt>
                <c:pt idx="16" formatCode="0">
                  <c:v>2004</c:v>
                </c:pt>
                <c:pt idx="17" formatCode="0">
                  <c:v>2007</c:v>
                </c:pt>
                <c:pt idx="18">
                  <c:v>2010</c:v>
                </c:pt>
              </c:numCache>
            </c:numRef>
          </c:xVal>
          <c:yVal>
            <c:numRef>
              <c:f>'South Asia'!$O$11:$O$92</c:f>
              <c:numCache>
                <c:formatCode>0.0</c:formatCode>
                <c:ptCount val="82"/>
                <c:pt idx="0">
                  <c:v>102.474941</c:v>
                </c:pt>
                <c:pt idx="1">
                  <c:v>21.331364000000001</c:v>
                </c:pt>
                <c:pt idx="2">
                  <c:v>21.359639999999999</c:v>
                </c:pt>
                <c:pt idx="3">
                  <c:v>22.513231999999999</c:v>
                </c:pt>
                <c:pt idx="4">
                  <c:v>66.153660000000002</c:v>
                </c:pt>
                <c:pt idx="5">
                  <c:v>64.562292999999997</c:v>
                </c:pt>
                <c:pt idx="6">
                  <c:v>65.430942000000002</c:v>
                </c:pt>
                <c:pt idx="7">
                  <c:v>129.93120250000001</c:v>
                </c:pt>
                <c:pt idx="8">
                  <c:v>116.02611750000001</c:v>
                </c:pt>
                <c:pt idx="9">
                  <c:v>16.691330499999999</c:v>
                </c:pt>
                <c:pt idx="10">
                  <c:v>20.556493889452394</c:v>
                </c:pt>
                <c:pt idx="11">
                  <c:v>71.892781881560623</c:v>
                </c:pt>
                <c:pt idx="12">
                  <c:v>102.35241187394723</c:v>
                </c:pt>
                <c:pt idx="13">
                  <c:v>110.92845626468008</c:v>
                </c:pt>
                <c:pt idx="14">
                  <c:v>93.099204252776886</c:v>
                </c:pt>
                <c:pt idx="15">
                  <c:v>104.32320219673429</c:v>
                </c:pt>
                <c:pt idx="16">
                  <c:v>112.87894609919852</c:v>
                </c:pt>
                <c:pt idx="17">
                  <c:v>78.04514464006121</c:v>
                </c:pt>
                <c:pt idx="18">
                  <c:v>86.229174632369038</c:v>
                </c:pt>
              </c:numCache>
            </c:numRef>
          </c:yVal>
          <c:smooth val="1"/>
          <c:extLst>
            <c:ext xmlns:c16="http://schemas.microsoft.com/office/drawing/2014/chart" uri="{C3380CC4-5D6E-409C-BE32-E72D297353CC}">
              <c16:uniqueId val="{00000002-AB10-214A-88E0-6A0B520E54C2}"/>
            </c:ext>
          </c:extLst>
        </c:ser>
        <c:dLbls>
          <c:showLegendKey val="0"/>
          <c:showVal val="0"/>
          <c:showCatName val="0"/>
          <c:showSerName val="0"/>
          <c:showPercent val="0"/>
          <c:showBubbleSize val="0"/>
        </c:dLbls>
        <c:axId val="137641984"/>
        <c:axId val="137696768"/>
      </c:scatterChart>
      <c:valAx>
        <c:axId val="137641984"/>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696768"/>
        <c:crosses val="autoZero"/>
        <c:crossBetween val="midCat"/>
        <c:majorUnit val="30"/>
        <c:minorUnit val="10"/>
      </c:valAx>
      <c:valAx>
        <c:axId val="137696768"/>
        <c:scaling>
          <c:orientation val="minMax"/>
          <c:max val="150"/>
          <c:min val="0"/>
        </c:scaling>
        <c:delete val="0"/>
        <c:axPos val="r"/>
        <c:title>
          <c:tx>
            <c:rich>
              <a:bodyPr rot="-5400000" vert="horz"/>
              <a:lstStyle/>
              <a:p>
                <a:pPr>
                  <a:defRPr sz="1200" b="0">
                    <a:solidFill>
                      <a:srgbClr val="333399"/>
                    </a:solidFill>
                  </a:defRPr>
                </a:pPr>
                <a:r>
                  <a:rPr lang="en-US" sz="1200" b="0">
                    <a:solidFill>
                      <a:srgbClr val="333399"/>
                    </a:solidFill>
                  </a:rPr>
                  <a:t>Cumulative production, Gt</a:t>
                </a:r>
              </a:p>
            </c:rich>
          </c:tx>
          <c:layout>
            <c:manualLayout>
              <c:xMode val="edge"/>
              <c:yMode val="edge"/>
              <c:x val="0.96240681576144838"/>
              <c:y val="0.14525809273841594"/>
            </c:manualLayout>
          </c:layout>
          <c:overlay val="0"/>
        </c:title>
        <c:numFmt formatCode="0"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641984"/>
        <c:crosses val="max"/>
        <c:crossBetween val="midCat"/>
        <c:majorUnit val="5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5902375621583948"/>
          <c:h val="0.77264654418197765"/>
        </c:manualLayout>
      </c:layout>
      <c:scatterChart>
        <c:scatterStyle val="smoothMarker"/>
        <c:varyColors val="0"/>
        <c:ser>
          <c:idx val="0"/>
          <c:order val="0"/>
          <c:tx>
            <c:strRef>
              <c:f>'Latin America'!$E$10</c:f>
              <c:strCache>
                <c:ptCount val="1"/>
                <c:pt idx="0">
                  <c:v>p Mt</c:v>
                </c:pt>
              </c:strCache>
            </c:strRef>
          </c:tx>
          <c:spPr>
            <a:ln w="15875">
              <a:solidFill>
                <a:srgbClr val="008000"/>
              </a:solidFill>
            </a:ln>
          </c:spPr>
          <c:marker>
            <c:symbol val="none"/>
          </c:marker>
          <c:xVal>
            <c:numRef>
              <c:f>'Latin America'!$D$11:$D$362</c:f>
              <c:numCache>
                <c:formatCode>General</c:formatCode>
                <c:ptCount val="352"/>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pt idx="135">
                  <c:v>2025</c:v>
                </c:pt>
                <c:pt idx="136">
                  <c:v>2026</c:v>
                </c:pt>
                <c:pt idx="137">
                  <c:v>2027</c:v>
                </c:pt>
                <c:pt idx="138">
                  <c:v>2028</c:v>
                </c:pt>
                <c:pt idx="139">
                  <c:v>2029</c:v>
                </c:pt>
                <c:pt idx="140">
                  <c:v>2030</c:v>
                </c:pt>
                <c:pt idx="141">
                  <c:v>2031</c:v>
                </c:pt>
                <c:pt idx="142">
                  <c:v>2032</c:v>
                </c:pt>
                <c:pt idx="143">
                  <c:v>2033</c:v>
                </c:pt>
                <c:pt idx="144">
                  <c:v>2034</c:v>
                </c:pt>
                <c:pt idx="145">
                  <c:v>2035</c:v>
                </c:pt>
                <c:pt idx="146">
                  <c:v>2036</c:v>
                </c:pt>
                <c:pt idx="147">
                  <c:v>2037</c:v>
                </c:pt>
                <c:pt idx="148">
                  <c:v>2038</c:v>
                </c:pt>
                <c:pt idx="149">
                  <c:v>2039</c:v>
                </c:pt>
                <c:pt idx="150">
                  <c:v>2040</c:v>
                </c:pt>
                <c:pt idx="151">
                  <c:v>2041</c:v>
                </c:pt>
                <c:pt idx="152">
                  <c:v>2042</c:v>
                </c:pt>
                <c:pt idx="153">
                  <c:v>2043</c:v>
                </c:pt>
                <c:pt idx="154">
                  <c:v>2044</c:v>
                </c:pt>
                <c:pt idx="155">
                  <c:v>2045</c:v>
                </c:pt>
                <c:pt idx="156">
                  <c:v>2046</c:v>
                </c:pt>
                <c:pt idx="157">
                  <c:v>2047</c:v>
                </c:pt>
                <c:pt idx="158">
                  <c:v>2048</c:v>
                </c:pt>
                <c:pt idx="159">
                  <c:v>2049</c:v>
                </c:pt>
                <c:pt idx="160">
                  <c:v>2050</c:v>
                </c:pt>
                <c:pt idx="161">
                  <c:v>2051</c:v>
                </c:pt>
                <c:pt idx="162">
                  <c:v>2052</c:v>
                </c:pt>
                <c:pt idx="163">
                  <c:v>2053</c:v>
                </c:pt>
                <c:pt idx="164">
                  <c:v>2054</c:v>
                </c:pt>
                <c:pt idx="165">
                  <c:v>2055</c:v>
                </c:pt>
                <c:pt idx="166">
                  <c:v>2056</c:v>
                </c:pt>
                <c:pt idx="167">
                  <c:v>2057</c:v>
                </c:pt>
                <c:pt idx="168">
                  <c:v>2058</c:v>
                </c:pt>
                <c:pt idx="169">
                  <c:v>2059</c:v>
                </c:pt>
                <c:pt idx="170">
                  <c:v>2060</c:v>
                </c:pt>
                <c:pt idx="171">
                  <c:v>2061</c:v>
                </c:pt>
                <c:pt idx="172">
                  <c:v>2062</c:v>
                </c:pt>
                <c:pt idx="173">
                  <c:v>2063</c:v>
                </c:pt>
                <c:pt idx="174">
                  <c:v>2064</c:v>
                </c:pt>
                <c:pt idx="175">
                  <c:v>2065</c:v>
                </c:pt>
                <c:pt idx="176">
                  <c:v>2066</c:v>
                </c:pt>
                <c:pt idx="177">
                  <c:v>2067</c:v>
                </c:pt>
                <c:pt idx="178">
                  <c:v>2068</c:v>
                </c:pt>
                <c:pt idx="179">
                  <c:v>2069</c:v>
                </c:pt>
                <c:pt idx="180">
                  <c:v>2070</c:v>
                </c:pt>
                <c:pt idx="181">
                  <c:v>2071</c:v>
                </c:pt>
                <c:pt idx="182">
                  <c:v>2072</c:v>
                </c:pt>
                <c:pt idx="183">
                  <c:v>2073</c:v>
                </c:pt>
                <c:pt idx="184">
                  <c:v>2074</c:v>
                </c:pt>
                <c:pt idx="185">
                  <c:v>2075</c:v>
                </c:pt>
                <c:pt idx="186">
                  <c:v>2076</c:v>
                </c:pt>
                <c:pt idx="187">
                  <c:v>2077</c:v>
                </c:pt>
                <c:pt idx="188">
                  <c:v>2078</c:v>
                </c:pt>
                <c:pt idx="189">
                  <c:v>2079</c:v>
                </c:pt>
                <c:pt idx="190">
                  <c:v>2080</c:v>
                </c:pt>
                <c:pt idx="191">
                  <c:v>2081</c:v>
                </c:pt>
                <c:pt idx="192">
                  <c:v>2082</c:v>
                </c:pt>
                <c:pt idx="193">
                  <c:v>2083</c:v>
                </c:pt>
                <c:pt idx="194">
                  <c:v>2084</c:v>
                </c:pt>
                <c:pt idx="195">
                  <c:v>2085</c:v>
                </c:pt>
                <c:pt idx="196">
                  <c:v>2086</c:v>
                </c:pt>
                <c:pt idx="197">
                  <c:v>2087</c:v>
                </c:pt>
                <c:pt idx="198">
                  <c:v>2088</c:v>
                </c:pt>
                <c:pt idx="199">
                  <c:v>2089</c:v>
                </c:pt>
                <c:pt idx="200">
                  <c:v>2090</c:v>
                </c:pt>
                <c:pt idx="201">
                  <c:v>2091</c:v>
                </c:pt>
                <c:pt idx="202">
                  <c:v>2092</c:v>
                </c:pt>
                <c:pt idx="203">
                  <c:v>2093</c:v>
                </c:pt>
                <c:pt idx="204">
                  <c:v>2094</c:v>
                </c:pt>
                <c:pt idx="205">
                  <c:v>2095</c:v>
                </c:pt>
                <c:pt idx="206">
                  <c:v>2096</c:v>
                </c:pt>
                <c:pt idx="207">
                  <c:v>2097</c:v>
                </c:pt>
                <c:pt idx="208">
                  <c:v>2098</c:v>
                </c:pt>
                <c:pt idx="209">
                  <c:v>2099</c:v>
                </c:pt>
                <c:pt idx="210">
                  <c:v>2100</c:v>
                </c:pt>
                <c:pt idx="211">
                  <c:v>2101</c:v>
                </c:pt>
                <c:pt idx="212">
                  <c:v>2102</c:v>
                </c:pt>
                <c:pt idx="213">
                  <c:v>2103</c:v>
                </c:pt>
                <c:pt idx="214">
                  <c:v>2104</c:v>
                </c:pt>
                <c:pt idx="215">
                  <c:v>2105</c:v>
                </c:pt>
                <c:pt idx="216">
                  <c:v>2106</c:v>
                </c:pt>
                <c:pt idx="217">
                  <c:v>2107</c:v>
                </c:pt>
                <c:pt idx="218">
                  <c:v>2108</c:v>
                </c:pt>
                <c:pt idx="219">
                  <c:v>2109</c:v>
                </c:pt>
                <c:pt idx="220">
                  <c:v>2110</c:v>
                </c:pt>
                <c:pt idx="221">
                  <c:v>2111</c:v>
                </c:pt>
                <c:pt idx="222">
                  <c:v>2112</c:v>
                </c:pt>
                <c:pt idx="223">
                  <c:v>2113</c:v>
                </c:pt>
                <c:pt idx="224">
                  <c:v>2114</c:v>
                </c:pt>
                <c:pt idx="225">
                  <c:v>2115</c:v>
                </c:pt>
                <c:pt idx="226">
                  <c:v>2116</c:v>
                </c:pt>
                <c:pt idx="227">
                  <c:v>2117</c:v>
                </c:pt>
                <c:pt idx="228">
                  <c:v>2118</c:v>
                </c:pt>
                <c:pt idx="229">
                  <c:v>2119</c:v>
                </c:pt>
                <c:pt idx="230">
                  <c:v>2120</c:v>
                </c:pt>
                <c:pt idx="231">
                  <c:v>2121</c:v>
                </c:pt>
                <c:pt idx="232">
                  <c:v>2122</c:v>
                </c:pt>
                <c:pt idx="233">
                  <c:v>2123</c:v>
                </c:pt>
                <c:pt idx="234">
                  <c:v>2124</c:v>
                </c:pt>
                <c:pt idx="235">
                  <c:v>2125</c:v>
                </c:pt>
                <c:pt idx="236">
                  <c:v>2126</c:v>
                </c:pt>
                <c:pt idx="237">
                  <c:v>2127</c:v>
                </c:pt>
                <c:pt idx="238">
                  <c:v>2128</c:v>
                </c:pt>
                <c:pt idx="239">
                  <c:v>2129</c:v>
                </c:pt>
                <c:pt idx="240">
                  <c:v>2130</c:v>
                </c:pt>
                <c:pt idx="241">
                  <c:v>2131</c:v>
                </c:pt>
                <c:pt idx="242">
                  <c:v>2132</c:v>
                </c:pt>
                <c:pt idx="243">
                  <c:v>2133</c:v>
                </c:pt>
                <c:pt idx="244">
                  <c:v>2134</c:v>
                </c:pt>
                <c:pt idx="245">
                  <c:v>2135</c:v>
                </c:pt>
                <c:pt idx="246">
                  <c:v>2136</c:v>
                </c:pt>
                <c:pt idx="247">
                  <c:v>2137</c:v>
                </c:pt>
                <c:pt idx="248">
                  <c:v>2138</c:v>
                </c:pt>
                <c:pt idx="249">
                  <c:v>2139</c:v>
                </c:pt>
                <c:pt idx="250">
                  <c:v>2140</c:v>
                </c:pt>
                <c:pt idx="251">
                  <c:v>2141</c:v>
                </c:pt>
                <c:pt idx="252">
                  <c:v>2142</c:v>
                </c:pt>
                <c:pt idx="253">
                  <c:v>2143</c:v>
                </c:pt>
                <c:pt idx="254">
                  <c:v>2144</c:v>
                </c:pt>
                <c:pt idx="255">
                  <c:v>2145</c:v>
                </c:pt>
                <c:pt idx="256">
                  <c:v>2146</c:v>
                </c:pt>
                <c:pt idx="257">
                  <c:v>2147</c:v>
                </c:pt>
                <c:pt idx="258">
                  <c:v>2148</c:v>
                </c:pt>
                <c:pt idx="259">
                  <c:v>2149</c:v>
                </c:pt>
                <c:pt idx="260">
                  <c:v>2150</c:v>
                </c:pt>
              </c:numCache>
            </c:numRef>
          </c:xVal>
          <c:yVal>
            <c:numRef>
              <c:f>'Latin America'!$E$11:$E$362</c:f>
              <c:numCache>
                <c:formatCode>0.0</c:formatCode>
                <c:ptCount val="352"/>
                <c:pt idx="1">
                  <c:v>0.2</c:v>
                </c:pt>
                <c:pt idx="2">
                  <c:v>0.35</c:v>
                </c:pt>
                <c:pt idx="3">
                  <c:v>0.26</c:v>
                </c:pt>
                <c:pt idx="4">
                  <c:v>0.3</c:v>
                </c:pt>
                <c:pt idx="5">
                  <c:v>0.47</c:v>
                </c:pt>
                <c:pt idx="6">
                  <c:v>0.45800000000000002</c:v>
                </c:pt>
                <c:pt idx="7">
                  <c:v>0.60299999999999998</c:v>
                </c:pt>
                <c:pt idx="8">
                  <c:v>0.66</c:v>
                </c:pt>
                <c:pt idx="9">
                  <c:v>0.65100000000000002</c:v>
                </c:pt>
                <c:pt idx="10">
                  <c:v>0.76100000000000001</c:v>
                </c:pt>
                <c:pt idx="11">
                  <c:v>1.3149999999999999</c:v>
                </c:pt>
                <c:pt idx="12">
                  <c:v>1.51</c:v>
                </c:pt>
                <c:pt idx="13">
                  <c:v>1.6619999999999999</c:v>
                </c:pt>
                <c:pt idx="14">
                  <c:v>1.6439999999999999</c:v>
                </c:pt>
                <c:pt idx="15">
                  <c:v>1.7889999999999999</c:v>
                </c:pt>
                <c:pt idx="16">
                  <c:v>1.7769999999999999</c:v>
                </c:pt>
                <c:pt idx="17">
                  <c:v>2.044</c:v>
                </c:pt>
                <c:pt idx="18">
                  <c:v>2.117</c:v>
                </c:pt>
                <c:pt idx="19">
                  <c:v>2.5099999999999998</c:v>
                </c:pt>
                <c:pt idx="20">
                  <c:v>2.6850000000000001</c:v>
                </c:pt>
                <c:pt idx="21">
                  <c:v>2.9119999999999999</c:v>
                </c:pt>
                <c:pt idx="22">
                  <c:v>2.5840000000000001</c:v>
                </c:pt>
                <c:pt idx="23">
                  <c:v>2.19</c:v>
                </c:pt>
                <c:pt idx="24">
                  <c:v>2.88</c:v>
                </c:pt>
                <c:pt idx="25">
                  <c:v>1.9259999999999999</c:v>
                </c:pt>
                <c:pt idx="26">
                  <c:v>2.0550000000000002</c:v>
                </c:pt>
                <c:pt idx="27">
                  <c:v>2.3439999999999999</c:v>
                </c:pt>
                <c:pt idx="28">
                  <c:v>2.669</c:v>
                </c:pt>
                <c:pt idx="29">
                  <c:v>2.5870000000000002</c:v>
                </c:pt>
                <c:pt idx="30">
                  <c:v>2.488</c:v>
                </c:pt>
                <c:pt idx="31">
                  <c:v>2.6549999999999998</c:v>
                </c:pt>
                <c:pt idx="32">
                  <c:v>2.718</c:v>
                </c:pt>
                <c:pt idx="33">
                  <c:v>3.0289999999999999</c:v>
                </c:pt>
                <c:pt idx="34">
                  <c:v>3.2440000000000002</c:v>
                </c:pt>
                <c:pt idx="35">
                  <c:v>3.4020000000000001</c:v>
                </c:pt>
                <c:pt idx="36">
                  <c:v>3.347</c:v>
                </c:pt>
                <c:pt idx="37">
                  <c:v>3.0379999999999998</c:v>
                </c:pt>
                <c:pt idx="38">
                  <c:v>2.923</c:v>
                </c:pt>
                <c:pt idx="39">
                  <c:v>3.1749999999999998</c:v>
                </c:pt>
                <c:pt idx="40">
                  <c:v>3.331</c:v>
                </c:pt>
                <c:pt idx="41">
                  <c:v>2.6269999999999998</c:v>
                </c:pt>
                <c:pt idx="42">
                  <c:v>2.339</c:v>
                </c:pt>
                <c:pt idx="43">
                  <c:v>2.9510000000000001</c:v>
                </c:pt>
                <c:pt idx="44">
                  <c:v>3.601</c:v>
                </c:pt>
                <c:pt idx="45">
                  <c:v>4.4450000000000003</c:v>
                </c:pt>
                <c:pt idx="46">
                  <c:v>4.32</c:v>
                </c:pt>
                <c:pt idx="47">
                  <c:v>4.4400000000000004</c:v>
                </c:pt>
                <c:pt idx="48">
                  <c:v>4.4560000000000004</c:v>
                </c:pt>
                <c:pt idx="49">
                  <c:v>4.2350000000000003</c:v>
                </c:pt>
                <c:pt idx="50">
                  <c:v>4.7300000000000004</c:v>
                </c:pt>
                <c:pt idx="51">
                  <c:v>4.851</c:v>
                </c:pt>
                <c:pt idx="52">
                  <c:v>5.58</c:v>
                </c:pt>
                <c:pt idx="53">
                  <c:v>6.0860000000000003</c:v>
                </c:pt>
                <c:pt idx="54">
                  <c:v>5.7770000000000001</c:v>
                </c:pt>
                <c:pt idx="55">
                  <c:v>5.8120000000000003</c:v>
                </c:pt>
                <c:pt idx="56">
                  <c:v>5.6289999999999996</c:v>
                </c:pt>
                <c:pt idx="57">
                  <c:v>5.8440000000000003</c:v>
                </c:pt>
                <c:pt idx="58">
                  <c:v>5.7990000000000004</c:v>
                </c:pt>
                <c:pt idx="59">
                  <c:v>6.056</c:v>
                </c:pt>
                <c:pt idx="60">
                  <c:v>6.3220000000000001</c:v>
                </c:pt>
                <c:pt idx="61">
                  <c:v>6.6630000000000003</c:v>
                </c:pt>
                <c:pt idx="62">
                  <c:v>7.0519999999999996</c:v>
                </c:pt>
                <c:pt idx="63">
                  <c:v>7.2679999999999998</c:v>
                </c:pt>
                <c:pt idx="64">
                  <c:v>7.2569999999999997</c:v>
                </c:pt>
                <c:pt idx="65">
                  <c:v>7.524</c:v>
                </c:pt>
                <c:pt idx="66">
                  <c:v>7.468</c:v>
                </c:pt>
                <c:pt idx="67">
                  <c:v>7.234</c:v>
                </c:pt>
                <c:pt idx="68">
                  <c:v>7.3680000000000003</c:v>
                </c:pt>
                <c:pt idx="69">
                  <c:v>6.85</c:v>
                </c:pt>
                <c:pt idx="70">
                  <c:v>6.6879999999999997</c:v>
                </c:pt>
                <c:pt idx="71">
                  <c:v>7.1749999999999998</c:v>
                </c:pt>
                <c:pt idx="72">
                  <c:v>7.8109999999999999</c:v>
                </c:pt>
                <c:pt idx="73">
                  <c:v>7.9509999999999996</c:v>
                </c:pt>
                <c:pt idx="74">
                  <c:v>8.2539999999999996</c:v>
                </c:pt>
                <c:pt idx="75">
                  <c:v>8.3640000000000008</c:v>
                </c:pt>
                <c:pt idx="76">
                  <c:v>7.9880000000000004</c:v>
                </c:pt>
                <c:pt idx="77">
                  <c:v>8.8279999999999994</c:v>
                </c:pt>
                <c:pt idx="78">
                  <c:v>9.16</c:v>
                </c:pt>
                <c:pt idx="79">
                  <c:v>10.47</c:v>
                </c:pt>
                <c:pt idx="80">
                  <c:v>9.8140000000000001</c:v>
                </c:pt>
                <c:pt idx="81">
                  <c:v>10.885999999999999</c:v>
                </c:pt>
                <c:pt idx="82">
                  <c:v>10.933999999999999</c:v>
                </c:pt>
                <c:pt idx="83">
                  <c:v>11.683999999999999</c:v>
                </c:pt>
                <c:pt idx="84">
                  <c:v>13.781000000000001</c:v>
                </c:pt>
                <c:pt idx="85">
                  <c:v>13.548999999999999</c:v>
                </c:pt>
                <c:pt idx="86">
                  <c:v>14.680999999999999</c:v>
                </c:pt>
                <c:pt idx="87">
                  <c:v>16.448</c:v>
                </c:pt>
                <c:pt idx="88">
                  <c:v>17.056999999999999</c:v>
                </c:pt>
                <c:pt idx="89">
                  <c:v>18.774000000000001</c:v>
                </c:pt>
                <c:pt idx="90">
                  <c:v>17.849</c:v>
                </c:pt>
                <c:pt idx="91">
                  <c:v>14.459305106895885</c:v>
                </c:pt>
                <c:pt idx="92">
                  <c:v>16.048254260191666</c:v>
                </c:pt>
                <c:pt idx="93">
                  <c:v>18.042440699588838</c:v>
                </c:pt>
                <c:pt idx="94">
                  <c:v>21.074474598873351</c:v>
                </c:pt>
                <c:pt idx="95">
                  <c:v>23.734000017780367</c:v>
                </c:pt>
                <c:pt idx="96">
                  <c:v>25.952406795859236</c:v>
                </c:pt>
                <c:pt idx="97">
                  <c:v>30.010881372507122</c:v>
                </c:pt>
                <c:pt idx="98">
                  <c:v>32.357864429532505</c:v>
                </c:pt>
                <c:pt idx="99">
                  <c:v>37.234559344862078</c:v>
                </c:pt>
                <c:pt idx="100">
                  <c:v>36.692271198721187</c:v>
                </c:pt>
                <c:pt idx="101">
                  <c:v>37.81252543668738</c:v>
                </c:pt>
                <c:pt idx="102">
                  <c:v>38.731694924219759</c:v>
                </c:pt>
                <c:pt idx="103">
                  <c:v>38.507796617628209</c:v>
                </c:pt>
                <c:pt idx="104">
                  <c:v>42.687457642563459</c:v>
                </c:pt>
                <c:pt idx="105">
                  <c:v>45.973084759324017</c:v>
                </c:pt>
                <c:pt idx="106">
                  <c:v>50.689169505312748</c:v>
                </c:pt>
                <c:pt idx="107">
                  <c:v>54.959847468777525</c:v>
                </c:pt>
                <c:pt idx="108">
                  <c:v>58.211830521357811</c:v>
                </c:pt>
                <c:pt idx="109">
                  <c:v>56.166593235256421</c:v>
                </c:pt>
                <c:pt idx="110">
                  <c:v>64.919322045425417</c:v>
                </c:pt>
                <c:pt idx="111">
                  <c:v>69.377240686253558</c:v>
                </c:pt>
                <c:pt idx="112">
                  <c:v>64.34381017378594</c:v>
                </c:pt>
                <c:pt idx="113">
                  <c:v>71.993398003956045</c:v>
                </c:pt>
                <c:pt idx="114">
                  <c:v>77.343551459887337</c:v>
                </c:pt>
                <c:pt idx="115">
                  <c:v>83.727923729943683</c:v>
                </c:pt>
                <c:pt idx="116">
                  <c:v>91.227477972354947</c:v>
                </c:pt>
                <c:pt idx="117">
                  <c:v>96.524669496422561</c:v>
                </c:pt>
                <c:pt idx="118">
                  <c:v>101.02186949642255</c:v>
                </c:pt>
                <c:pt idx="119">
                  <c:v>93.986964198422555</c:v>
                </c:pt>
              </c:numCache>
            </c:numRef>
          </c:yVal>
          <c:smooth val="1"/>
          <c:extLst>
            <c:ext xmlns:c16="http://schemas.microsoft.com/office/drawing/2014/chart" uri="{C3380CC4-5D6E-409C-BE32-E72D297353CC}">
              <c16:uniqueId val="{00000000-4837-A443-B43D-A3765921BB13}"/>
            </c:ext>
          </c:extLst>
        </c:ser>
        <c:dLbls>
          <c:showLegendKey val="0"/>
          <c:showVal val="0"/>
          <c:showCatName val="0"/>
          <c:showSerName val="0"/>
          <c:showPercent val="0"/>
          <c:showBubbleSize val="0"/>
        </c:dLbls>
        <c:axId val="137725824"/>
        <c:axId val="137727360"/>
      </c:scatterChart>
      <c:valAx>
        <c:axId val="137725824"/>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727360"/>
        <c:crosses val="autoZero"/>
        <c:crossBetween val="midCat"/>
        <c:majorUnit val="50"/>
        <c:minorUnit val="10"/>
      </c:valAx>
      <c:valAx>
        <c:axId val="137727360"/>
        <c:scaling>
          <c:orientation val="minMax"/>
          <c:max val="102"/>
          <c:min val="0"/>
        </c:scaling>
        <c:delete val="0"/>
        <c:axPos val="r"/>
        <c:title>
          <c:tx>
            <c:rich>
              <a:bodyPr rot="-5400000" vert="horz"/>
              <a:lstStyle/>
              <a:p>
                <a:pPr>
                  <a:defRPr sz="1200" b="0">
                    <a:solidFill>
                      <a:srgbClr val="333399"/>
                    </a:solidFill>
                  </a:defRPr>
                </a:pPr>
                <a:r>
                  <a:rPr lang="en-US" sz="1200" b="0">
                    <a:solidFill>
                      <a:srgbClr val="333399"/>
                    </a:solidFill>
                  </a:rPr>
                  <a:t>Annual production, Mt</a:t>
                </a:r>
              </a:p>
            </c:rich>
          </c:tx>
          <c:layout>
            <c:manualLayout>
              <c:xMode val="edge"/>
              <c:yMode val="edge"/>
              <c:x val="0.96240681576144838"/>
              <c:y val="0.17766550014581511"/>
            </c:manualLayout>
          </c:layout>
          <c:overlay val="0"/>
        </c:title>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725824"/>
        <c:crosses val="max"/>
        <c:crossBetween val="midCat"/>
        <c:majorUnit val="5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328360712099483"/>
          <c:h val="0.77264654418197765"/>
        </c:manualLayout>
      </c:layout>
      <c:scatterChart>
        <c:scatterStyle val="smoothMarker"/>
        <c:varyColors val="0"/>
        <c:ser>
          <c:idx val="1"/>
          <c:order val="0"/>
          <c:tx>
            <c:strRef>
              <c:f>'Latin America'!$G$3</c:f>
              <c:strCache>
                <c:ptCount val="1"/>
                <c:pt idx="0">
                  <c:v>trend</c:v>
                </c:pt>
              </c:strCache>
            </c:strRef>
          </c:tx>
          <c:spPr>
            <a:ln w="15875">
              <a:solidFill>
                <a:srgbClr val="808080"/>
              </a:solidFill>
              <a:prstDash val="dash"/>
            </a:ln>
          </c:spPr>
          <c:marker>
            <c:symbol val="none"/>
          </c:marker>
          <c:xVal>
            <c:numRef>
              <c:f>'Latin America'!$E$3:$E$4</c:f>
              <c:numCache>
                <c:formatCode>General</c:formatCode>
                <c:ptCount val="2"/>
                <c:pt idx="0">
                  <c:v>1986</c:v>
                </c:pt>
                <c:pt idx="1">
                  <c:v>2009</c:v>
                </c:pt>
              </c:numCache>
            </c:numRef>
          </c:xVal>
          <c:yVal>
            <c:numRef>
              <c:f>'Latin America'!$F$3:$F$4</c:f>
              <c:numCache>
                <c:formatCode>0.00</c:formatCode>
                <c:ptCount val="2"/>
                <c:pt idx="0">
                  <c:v>-3.446777753839668</c:v>
                </c:pt>
                <c:pt idx="1">
                  <c:v>-2.1768506085447279</c:v>
                </c:pt>
              </c:numCache>
            </c:numRef>
          </c:yVal>
          <c:smooth val="1"/>
          <c:extLst>
            <c:ext xmlns:c16="http://schemas.microsoft.com/office/drawing/2014/chart" uri="{C3380CC4-5D6E-409C-BE32-E72D297353CC}">
              <c16:uniqueId val="{00000000-F30B-A64E-A1FB-56BDC2BF434E}"/>
            </c:ext>
          </c:extLst>
        </c:ser>
        <c:ser>
          <c:idx val="0"/>
          <c:order val="1"/>
          <c:tx>
            <c:strRef>
              <c:f>'Latin America'!$G$10</c:f>
              <c:strCache>
                <c:ptCount val="1"/>
                <c:pt idx="0">
                  <c:v>logit</c:v>
                </c:pt>
              </c:strCache>
            </c:strRef>
          </c:tx>
          <c:spPr>
            <a:ln w="15875">
              <a:solidFill>
                <a:srgbClr val="008000"/>
              </a:solidFill>
            </a:ln>
          </c:spPr>
          <c:marker>
            <c:symbol val="none"/>
          </c:marker>
          <c:xVal>
            <c:numRef>
              <c:f>'Latin America'!$D$106:$D$201</c:f>
              <c:numCache>
                <c:formatCode>General</c:formatCode>
                <c:ptCount val="96"/>
                <c:pt idx="0">
                  <c:v>1985</c:v>
                </c:pt>
                <c:pt idx="1">
                  <c:v>1986</c:v>
                </c:pt>
                <c:pt idx="2">
                  <c:v>1987</c:v>
                </c:pt>
                <c:pt idx="3">
                  <c:v>1988</c:v>
                </c:pt>
                <c:pt idx="4">
                  <c:v>1989</c:v>
                </c:pt>
                <c:pt idx="5">
                  <c:v>1990</c:v>
                </c:pt>
                <c:pt idx="6">
                  <c:v>1991</c:v>
                </c:pt>
                <c:pt idx="7">
                  <c:v>1992</c:v>
                </c:pt>
                <c:pt idx="8">
                  <c:v>1993</c:v>
                </c:pt>
                <c:pt idx="9">
                  <c:v>1994</c:v>
                </c:pt>
                <c:pt idx="10">
                  <c:v>1995</c:v>
                </c:pt>
                <c:pt idx="11">
                  <c:v>1996</c:v>
                </c:pt>
                <c:pt idx="12">
                  <c:v>1997</c:v>
                </c:pt>
                <c:pt idx="13">
                  <c:v>1998</c:v>
                </c:pt>
                <c:pt idx="14">
                  <c:v>1999</c:v>
                </c:pt>
                <c:pt idx="15">
                  <c:v>2000</c:v>
                </c:pt>
                <c:pt idx="16">
                  <c:v>2001</c:v>
                </c:pt>
                <c:pt idx="17">
                  <c:v>2002</c:v>
                </c:pt>
                <c:pt idx="18">
                  <c:v>2003</c:v>
                </c:pt>
                <c:pt idx="19">
                  <c:v>2004</c:v>
                </c:pt>
                <c:pt idx="20">
                  <c:v>2005</c:v>
                </c:pt>
                <c:pt idx="21">
                  <c:v>2006</c:v>
                </c:pt>
                <c:pt idx="22">
                  <c:v>2007</c:v>
                </c:pt>
                <c:pt idx="23">
                  <c:v>2008</c:v>
                </c:pt>
                <c:pt idx="24">
                  <c:v>2009</c:v>
                </c:pt>
                <c:pt idx="25">
                  <c:v>2010</c:v>
                </c:pt>
                <c:pt idx="26">
                  <c:v>2011</c:v>
                </c:pt>
                <c:pt idx="27">
                  <c:v>2012</c:v>
                </c:pt>
                <c:pt idx="28">
                  <c:v>2013</c:v>
                </c:pt>
                <c:pt idx="29">
                  <c:v>2014</c:v>
                </c:pt>
                <c:pt idx="30">
                  <c:v>2015</c:v>
                </c:pt>
                <c:pt idx="31">
                  <c:v>2016</c:v>
                </c:pt>
                <c:pt idx="32">
                  <c:v>2017</c:v>
                </c:pt>
                <c:pt idx="33">
                  <c:v>2018</c:v>
                </c:pt>
                <c:pt idx="34">
                  <c:v>2019</c:v>
                </c:pt>
                <c:pt idx="35">
                  <c:v>2020</c:v>
                </c:pt>
                <c:pt idx="36">
                  <c:v>2021</c:v>
                </c:pt>
                <c:pt idx="37">
                  <c:v>2022</c:v>
                </c:pt>
                <c:pt idx="38">
                  <c:v>2023</c:v>
                </c:pt>
                <c:pt idx="39">
                  <c:v>2024</c:v>
                </c:pt>
                <c:pt idx="40">
                  <c:v>2025</c:v>
                </c:pt>
                <c:pt idx="41">
                  <c:v>2026</c:v>
                </c:pt>
                <c:pt idx="42">
                  <c:v>2027</c:v>
                </c:pt>
                <c:pt idx="43">
                  <c:v>2028</c:v>
                </c:pt>
                <c:pt idx="44">
                  <c:v>2029</c:v>
                </c:pt>
                <c:pt idx="45">
                  <c:v>2030</c:v>
                </c:pt>
                <c:pt idx="46">
                  <c:v>2031</c:v>
                </c:pt>
                <c:pt idx="47">
                  <c:v>2032</c:v>
                </c:pt>
                <c:pt idx="48">
                  <c:v>2033</c:v>
                </c:pt>
                <c:pt idx="49">
                  <c:v>2034</c:v>
                </c:pt>
                <c:pt idx="50">
                  <c:v>2035</c:v>
                </c:pt>
                <c:pt idx="51">
                  <c:v>2036</c:v>
                </c:pt>
                <c:pt idx="52">
                  <c:v>2037</c:v>
                </c:pt>
                <c:pt idx="53">
                  <c:v>2038</c:v>
                </c:pt>
                <c:pt idx="54">
                  <c:v>2039</c:v>
                </c:pt>
                <c:pt idx="55">
                  <c:v>2040</c:v>
                </c:pt>
                <c:pt idx="56">
                  <c:v>2041</c:v>
                </c:pt>
                <c:pt idx="57">
                  <c:v>2042</c:v>
                </c:pt>
                <c:pt idx="58">
                  <c:v>2043</c:v>
                </c:pt>
                <c:pt idx="59">
                  <c:v>2044</c:v>
                </c:pt>
                <c:pt idx="60">
                  <c:v>2045</c:v>
                </c:pt>
                <c:pt idx="61">
                  <c:v>2046</c:v>
                </c:pt>
                <c:pt idx="62">
                  <c:v>2047</c:v>
                </c:pt>
                <c:pt idx="63">
                  <c:v>2048</c:v>
                </c:pt>
                <c:pt idx="64">
                  <c:v>2049</c:v>
                </c:pt>
                <c:pt idx="65">
                  <c:v>2050</c:v>
                </c:pt>
                <c:pt idx="66">
                  <c:v>2051</c:v>
                </c:pt>
                <c:pt idx="67">
                  <c:v>2052</c:v>
                </c:pt>
                <c:pt idx="68">
                  <c:v>2053</c:v>
                </c:pt>
                <c:pt idx="69">
                  <c:v>2054</c:v>
                </c:pt>
                <c:pt idx="70">
                  <c:v>2055</c:v>
                </c:pt>
                <c:pt idx="71">
                  <c:v>2056</c:v>
                </c:pt>
                <c:pt idx="72">
                  <c:v>2057</c:v>
                </c:pt>
                <c:pt idx="73">
                  <c:v>2058</c:v>
                </c:pt>
                <c:pt idx="74">
                  <c:v>2059</c:v>
                </c:pt>
                <c:pt idx="75">
                  <c:v>2060</c:v>
                </c:pt>
                <c:pt idx="76">
                  <c:v>2061</c:v>
                </c:pt>
                <c:pt idx="77">
                  <c:v>2062</c:v>
                </c:pt>
                <c:pt idx="78">
                  <c:v>2063</c:v>
                </c:pt>
                <c:pt idx="79">
                  <c:v>2064</c:v>
                </c:pt>
                <c:pt idx="80">
                  <c:v>2065</c:v>
                </c:pt>
                <c:pt idx="81">
                  <c:v>2066</c:v>
                </c:pt>
                <c:pt idx="82">
                  <c:v>2067</c:v>
                </c:pt>
                <c:pt idx="83">
                  <c:v>2068</c:v>
                </c:pt>
                <c:pt idx="84">
                  <c:v>2069</c:v>
                </c:pt>
                <c:pt idx="85">
                  <c:v>2070</c:v>
                </c:pt>
                <c:pt idx="86">
                  <c:v>2071</c:v>
                </c:pt>
                <c:pt idx="87">
                  <c:v>2072</c:v>
                </c:pt>
                <c:pt idx="88">
                  <c:v>2073</c:v>
                </c:pt>
                <c:pt idx="89">
                  <c:v>2074</c:v>
                </c:pt>
                <c:pt idx="90">
                  <c:v>2075</c:v>
                </c:pt>
                <c:pt idx="91">
                  <c:v>2076</c:v>
                </c:pt>
                <c:pt idx="92">
                  <c:v>2077</c:v>
                </c:pt>
                <c:pt idx="93">
                  <c:v>2078</c:v>
                </c:pt>
                <c:pt idx="94">
                  <c:v>2079</c:v>
                </c:pt>
                <c:pt idx="95">
                  <c:v>2080</c:v>
                </c:pt>
              </c:numCache>
            </c:numRef>
          </c:xVal>
          <c:yVal>
            <c:numRef>
              <c:f>'Latin America'!$G$106:$G$201</c:f>
              <c:numCache>
                <c:formatCode>0.00</c:formatCode>
                <c:ptCount val="96"/>
                <c:pt idx="0">
                  <c:v>-3.4777751043259979</c:v>
                </c:pt>
                <c:pt idx="1">
                  <c:v>-3.4319502074748338</c:v>
                </c:pt>
                <c:pt idx="2">
                  <c:v>-3.3813023804394771</c:v>
                </c:pt>
                <c:pt idx="3">
                  <c:v>-3.3292516420602385</c:v>
                </c:pt>
                <c:pt idx="4">
                  <c:v>-3.2723192290806504</c:v>
                </c:pt>
                <c:pt idx="5">
                  <c:v>-3.2190098836249605</c:v>
                </c:pt>
                <c:pt idx="6">
                  <c:v>-3.1666868808457309</c:v>
                </c:pt>
                <c:pt idx="7">
                  <c:v>-3.1155796563336526</c:v>
                </c:pt>
                <c:pt idx="8">
                  <c:v>-3.0670322745597249</c:v>
                </c:pt>
                <c:pt idx="9">
                  <c:v>-3.01561142685811</c:v>
                </c:pt>
                <c:pt idx="10">
                  <c:v>-2.9627886355618913</c:v>
                </c:pt>
                <c:pt idx="11">
                  <c:v>-2.9073225209508586</c:v>
                </c:pt>
                <c:pt idx="12">
                  <c:v>-2.8501442365804621</c:v>
                </c:pt>
                <c:pt idx="13">
                  <c:v>-2.7925989212315292</c:v>
                </c:pt>
                <c:pt idx="14">
                  <c:v>-2.739721352933377</c:v>
                </c:pt>
                <c:pt idx="15">
                  <c:v>-2.6815149764133221</c:v>
                </c:pt>
                <c:pt idx="16">
                  <c:v>-2.6224125088731483</c:v>
                </c:pt>
                <c:pt idx="17">
                  <c:v>-2.5701732907888633</c:v>
                </c:pt>
                <c:pt idx="18">
                  <c:v>-2.5143703961132107</c:v>
                </c:pt>
                <c:pt idx="19">
                  <c:v>-2.4572309699582506</c:v>
                </c:pt>
                <c:pt idx="20">
                  <c:v>-2.398324727133291</c:v>
                </c:pt>
                <c:pt idx="21">
                  <c:v>-2.3372714248049338</c:v>
                </c:pt>
                <c:pt idx="22">
                  <c:v>-2.2758508022334021</c:v>
                </c:pt>
                <c:pt idx="23">
                  <c:v>-2.2146953895406738</c:v>
                </c:pt>
                <c:pt idx="24">
                  <c:v>-2.1603766142179768</c:v>
                </c:pt>
              </c:numCache>
            </c:numRef>
          </c:yVal>
          <c:smooth val="1"/>
          <c:extLst>
            <c:ext xmlns:c16="http://schemas.microsoft.com/office/drawing/2014/chart" uri="{C3380CC4-5D6E-409C-BE32-E72D297353CC}">
              <c16:uniqueId val="{00000001-F30B-A64E-A1FB-56BDC2BF434E}"/>
            </c:ext>
          </c:extLst>
        </c:ser>
        <c:ser>
          <c:idx val="2"/>
          <c:order val="2"/>
          <c:tx>
            <c:v>early logit</c:v>
          </c:tx>
          <c:spPr>
            <a:ln w="15875">
              <a:solidFill>
                <a:srgbClr val="008000"/>
              </a:solidFill>
              <a:prstDash val="lgDash"/>
            </a:ln>
          </c:spPr>
          <c:marker>
            <c:symbol val="none"/>
          </c:marker>
          <c:xVal>
            <c:numRef>
              <c:f>'Latin America'!$D$12:$D$105</c:f>
              <c:numCache>
                <c:formatCode>General</c:formatCode>
                <c:ptCount val="94"/>
                <c:pt idx="0">
                  <c:v>1891</c:v>
                </c:pt>
                <c:pt idx="1">
                  <c:v>1892</c:v>
                </c:pt>
                <c:pt idx="2">
                  <c:v>1893</c:v>
                </c:pt>
                <c:pt idx="3">
                  <c:v>1894</c:v>
                </c:pt>
                <c:pt idx="4">
                  <c:v>1895</c:v>
                </c:pt>
                <c:pt idx="5">
                  <c:v>1896</c:v>
                </c:pt>
                <c:pt idx="6">
                  <c:v>1897</c:v>
                </c:pt>
                <c:pt idx="7">
                  <c:v>1898</c:v>
                </c:pt>
                <c:pt idx="8">
                  <c:v>1899</c:v>
                </c:pt>
                <c:pt idx="9">
                  <c:v>1900</c:v>
                </c:pt>
                <c:pt idx="10">
                  <c:v>1901</c:v>
                </c:pt>
                <c:pt idx="11">
                  <c:v>1902</c:v>
                </c:pt>
                <c:pt idx="12">
                  <c:v>1903</c:v>
                </c:pt>
                <c:pt idx="13">
                  <c:v>1904</c:v>
                </c:pt>
                <c:pt idx="14">
                  <c:v>1905</c:v>
                </c:pt>
                <c:pt idx="15">
                  <c:v>1906</c:v>
                </c:pt>
                <c:pt idx="16">
                  <c:v>1907</c:v>
                </c:pt>
                <c:pt idx="17">
                  <c:v>1908</c:v>
                </c:pt>
                <c:pt idx="18">
                  <c:v>1909</c:v>
                </c:pt>
                <c:pt idx="19">
                  <c:v>1910</c:v>
                </c:pt>
                <c:pt idx="20">
                  <c:v>1911</c:v>
                </c:pt>
                <c:pt idx="21">
                  <c:v>1912</c:v>
                </c:pt>
                <c:pt idx="22">
                  <c:v>1913</c:v>
                </c:pt>
                <c:pt idx="23">
                  <c:v>1914</c:v>
                </c:pt>
                <c:pt idx="24">
                  <c:v>1915</c:v>
                </c:pt>
                <c:pt idx="25">
                  <c:v>1916</c:v>
                </c:pt>
                <c:pt idx="26">
                  <c:v>1917</c:v>
                </c:pt>
                <c:pt idx="27">
                  <c:v>1918</c:v>
                </c:pt>
                <c:pt idx="28">
                  <c:v>1919</c:v>
                </c:pt>
                <c:pt idx="29">
                  <c:v>1920</c:v>
                </c:pt>
                <c:pt idx="30">
                  <c:v>1921</c:v>
                </c:pt>
                <c:pt idx="31">
                  <c:v>1922</c:v>
                </c:pt>
                <c:pt idx="32">
                  <c:v>1923</c:v>
                </c:pt>
                <c:pt idx="33">
                  <c:v>1924</c:v>
                </c:pt>
                <c:pt idx="34">
                  <c:v>1925</c:v>
                </c:pt>
                <c:pt idx="35">
                  <c:v>1926</c:v>
                </c:pt>
                <c:pt idx="36">
                  <c:v>1927</c:v>
                </c:pt>
                <c:pt idx="37">
                  <c:v>1928</c:v>
                </c:pt>
                <c:pt idx="38">
                  <c:v>1929</c:v>
                </c:pt>
                <c:pt idx="39">
                  <c:v>1930</c:v>
                </c:pt>
                <c:pt idx="40">
                  <c:v>1931</c:v>
                </c:pt>
                <c:pt idx="41">
                  <c:v>1932</c:v>
                </c:pt>
                <c:pt idx="42">
                  <c:v>1933</c:v>
                </c:pt>
                <c:pt idx="43">
                  <c:v>1934</c:v>
                </c:pt>
                <c:pt idx="44">
                  <c:v>1935</c:v>
                </c:pt>
                <c:pt idx="45">
                  <c:v>1936</c:v>
                </c:pt>
                <c:pt idx="46">
                  <c:v>1937</c:v>
                </c:pt>
                <c:pt idx="47">
                  <c:v>1938</c:v>
                </c:pt>
                <c:pt idx="48">
                  <c:v>1939</c:v>
                </c:pt>
                <c:pt idx="49">
                  <c:v>1940</c:v>
                </c:pt>
                <c:pt idx="50">
                  <c:v>1941</c:v>
                </c:pt>
                <c:pt idx="51">
                  <c:v>1942</c:v>
                </c:pt>
                <c:pt idx="52">
                  <c:v>1943</c:v>
                </c:pt>
                <c:pt idx="53">
                  <c:v>1944</c:v>
                </c:pt>
                <c:pt idx="54">
                  <c:v>1945</c:v>
                </c:pt>
                <c:pt idx="55">
                  <c:v>1946</c:v>
                </c:pt>
                <c:pt idx="56">
                  <c:v>1947</c:v>
                </c:pt>
                <c:pt idx="57">
                  <c:v>1948</c:v>
                </c:pt>
                <c:pt idx="58">
                  <c:v>1949</c:v>
                </c:pt>
                <c:pt idx="59">
                  <c:v>1950</c:v>
                </c:pt>
                <c:pt idx="60">
                  <c:v>1951</c:v>
                </c:pt>
                <c:pt idx="61">
                  <c:v>1952</c:v>
                </c:pt>
                <c:pt idx="62">
                  <c:v>1953</c:v>
                </c:pt>
                <c:pt idx="63">
                  <c:v>1954</c:v>
                </c:pt>
                <c:pt idx="64">
                  <c:v>1955</c:v>
                </c:pt>
                <c:pt idx="65">
                  <c:v>1956</c:v>
                </c:pt>
                <c:pt idx="66">
                  <c:v>1957</c:v>
                </c:pt>
                <c:pt idx="67">
                  <c:v>1958</c:v>
                </c:pt>
                <c:pt idx="68">
                  <c:v>1959</c:v>
                </c:pt>
                <c:pt idx="69">
                  <c:v>1960</c:v>
                </c:pt>
                <c:pt idx="70">
                  <c:v>1961</c:v>
                </c:pt>
                <c:pt idx="71">
                  <c:v>1962</c:v>
                </c:pt>
                <c:pt idx="72">
                  <c:v>1963</c:v>
                </c:pt>
                <c:pt idx="73">
                  <c:v>1964</c:v>
                </c:pt>
                <c:pt idx="74">
                  <c:v>1965</c:v>
                </c:pt>
                <c:pt idx="75">
                  <c:v>1966</c:v>
                </c:pt>
                <c:pt idx="76">
                  <c:v>1967</c:v>
                </c:pt>
                <c:pt idx="77">
                  <c:v>1968</c:v>
                </c:pt>
                <c:pt idx="78">
                  <c:v>1969</c:v>
                </c:pt>
                <c:pt idx="79">
                  <c:v>1970</c:v>
                </c:pt>
                <c:pt idx="80">
                  <c:v>1971</c:v>
                </c:pt>
                <c:pt idx="81">
                  <c:v>1972</c:v>
                </c:pt>
                <c:pt idx="82">
                  <c:v>1973</c:v>
                </c:pt>
                <c:pt idx="83">
                  <c:v>1974</c:v>
                </c:pt>
                <c:pt idx="84">
                  <c:v>1975</c:v>
                </c:pt>
                <c:pt idx="85">
                  <c:v>1976</c:v>
                </c:pt>
                <c:pt idx="86">
                  <c:v>1977</c:v>
                </c:pt>
                <c:pt idx="87">
                  <c:v>1978</c:v>
                </c:pt>
                <c:pt idx="88">
                  <c:v>1979</c:v>
                </c:pt>
                <c:pt idx="89">
                  <c:v>1980</c:v>
                </c:pt>
                <c:pt idx="90">
                  <c:v>1981</c:v>
                </c:pt>
                <c:pt idx="91">
                  <c:v>1982</c:v>
                </c:pt>
                <c:pt idx="92">
                  <c:v>1983</c:v>
                </c:pt>
                <c:pt idx="93">
                  <c:v>1984</c:v>
                </c:pt>
              </c:numCache>
            </c:numRef>
          </c:xVal>
          <c:yVal>
            <c:numRef>
              <c:f>'Latin America'!$G$12:$G$105</c:f>
              <c:numCache>
                <c:formatCode>0.00</c:formatCode>
                <c:ptCount val="94"/>
                <c:pt idx="0">
                  <c:v>-11.465616050910878</c:v>
                </c:pt>
                <c:pt idx="1">
                  <c:v>-10.453996791252724</c:v>
                </c:pt>
                <c:pt idx="2">
                  <c:v>-10.066867191667066</c:v>
                </c:pt>
                <c:pt idx="3">
                  <c:v>-9.751770417705135</c:v>
                </c:pt>
                <c:pt idx="4">
                  <c:v>-9.3986809460219938</c:v>
                </c:pt>
                <c:pt idx="5">
                  <c:v>-9.1441128468133179</c:v>
                </c:pt>
                <c:pt idx="6">
                  <c:v>-8.884892534095238</c:v>
                </c:pt>
                <c:pt idx="7">
                  <c:v>-8.6617901107825777</c:v>
                </c:pt>
                <c:pt idx="8">
                  <c:v>-8.4817596507077422</c:v>
                </c:pt>
                <c:pt idx="9">
                  <c:v>-8.3056168806234698</c:v>
                </c:pt>
                <c:pt idx="10">
                  <c:v>-8.059457293762458</c:v>
                </c:pt>
                <c:pt idx="11">
                  <c:v>-7.8358364946548749</c:v>
                </c:pt>
                <c:pt idx="12">
                  <c:v>-7.6365027422254128</c:v>
                </c:pt>
                <c:pt idx="13">
                  <c:v>-7.4720080679554686</c:v>
                </c:pt>
                <c:pt idx="14">
                  <c:v>-7.3192137214551156</c:v>
                </c:pt>
                <c:pt idx="15">
                  <c:v>-7.1875105297328599</c:v>
                </c:pt>
                <c:pt idx="16">
                  <c:v>-7.054757094150883</c:v>
                </c:pt>
                <c:pt idx="17">
                  <c:v>-6.9336133998281912</c:v>
                </c:pt>
                <c:pt idx="18">
                  <c:v>-6.8067107476279336</c:v>
                </c:pt>
                <c:pt idx="19">
                  <c:v>-6.6866860025431896</c:v>
                </c:pt>
                <c:pt idx="20">
                  <c:v>-6.5709498804007378</c:v>
                </c:pt>
                <c:pt idx="21">
                  <c:v>-6.4783637334085871</c:v>
                </c:pt>
                <c:pt idx="22">
                  <c:v>-6.4060759185760272</c:v>
                </c:pt>
                <c:pt idx="23">
                  <c:v>-6.3183093933868841</c:v>
                </c:pt>
                <c:pt idx="24">
                  <c:v>-6.2636260591559711</c:v>
                </c:pt>
                <c:pt idx="25">
                  <c:v>-6.2083889038747699</c:v>
                </c:pt>
                <c:pt idx="26">
                  <c:v>-6.1488840136739693</c:v>
                </c:pt>
                <c:pt idx="27">
                  <c:v>-6.0851618975001411</c:v>
                </c:pt>
                <c:pt idx="28">
                  <c:v>-6.0270305797629806</c:v>
                </c:pt>
                <c:pt idx="29">
                  <c:v>-5.9741276578859663</c:v>
                </c:pt>
                <c:pt idx="30">
                  <c:v>-5.9205855194505999</c:v>
                </c:pt>
                <c:pt idx="31">
                  <c:v>-5.8685756350647242</c:v>
                </c:pt>
                <c:pt idx="32">
                  <c:v>-5.8136173257236115</c:v>
                </c:pt>
                <c:pt idx="33">
                  <c:v>-5.7579082993914392</c:v>
                </c:pt>
                <c:pt idx="34">
                  <c:v>-5.7026205367027822</c:v>
                </c:pt>
                <c:pt idx="35">
                  <c:v>-5.6510377150990001</c:v>
                </c:pt>
                <c:pt idx="36">
                  <c:v>-5.6064000867070769</c:v>
                </c:pt>
                <c:pt idx="37">
                  <c:v>-5.5652421588798449</c:v>
                </c:pt>
                <c:pt idx="38">
                  <c:v>-5.5223619869940155</c:v>
                </c:pt>
                <c:pt idx="39">
                  <c:v>-5.4792534226437981</c:v>
                </c:pt>
                <c:pt idx="40">
                  <c:v>-5.4465096803773436</c:v>
                </c:pt>
                <c:pt idx="41">
                  <c:v>-5.4182241329266478</c:v>
                </c:pt>
                <c:pt idx="42">
                  <c:v>-5.3836330713245548</c:v>
                </c:pt>
                <c:pt idx="43">
                  <c:v>-5.3429683500852114</c:v>
                </c:pt>
                <c:pt idx="44">
                  <c:v>-5.294931192571573</c:v>
                </c:pt>
                <c:pt idx="45">
                  <c:v>-5.2503367333404167</c:v>
                </c:pt>
                <c:pt idx="46">
                  <c:v>-5.2064663065433967</c:v>
                </c:pt>
                <c:pt idx="47">
                  <c:v>-5.1642722140959432</c:v>
                </c:pt>
                <c:pt idx="48">
                  <c:v>-5.1257390629714346</c:v>
                </c:pt>
                <c:pt idx="49">
                  <c:v>-5.0843683913451754</c:v>
                </c:pt>
                <c:pt idx="50">
                  <c:v>-5.0436254507317599</c:v>
                </c:pt>
                <c:pt idx="51">
                  <c:v>-4.9987007356602486</c:v>
                </c:pt>
                <c:pt idx="52">
                  <c:v>-4.9518708551886101</c:v>
                </c:pt>
                <c:pt idx="53">
                  <c:v>-4.9093338774213509</c:v>
                </c:pt>
                <c:pt idx="54">
                  <c:v>-4.8682659020141967</c:v>
                </c:pt>
                <c:pt idx="55">
                  <c:v>-4.8300141448888843</c:v>
                </c:pt>
                <c:pt idx="56">
                  <c:v>-4.7917684605981528</c:v>
                </c:pt>
                <c:pt idx="57">
                  <c:v>-4.7551882149720939</c:v>
                </c:pt>
                <c:pt idx="58">
                  <c:v>-4.7183408331269234</c:v>
                </c:pt>
                <c:pt idx="59">
                  <c:v>-4.6812468819822435</c:v>
                </c:pt>
                <c:pt idx="60">
                  <c:v>-4.6435610797596256</c:v>
                </c:pt>
                <c:pt idx="61">
                  <c:v>-4.6051366560596696</c:v>
                </c:pt>
                <c:pt idx="62">
                  <c:v>-4.566993794541812</c:v>
                </c:pt>
                <c:pt idx="63">
                  <c:v>-4.5302793907104197</c:v>
                </c:pt>
                <c:pt idx="64">
                  <c:v>-4.4935577696097839</c:v>
                </c:pt>
                <c:pt idx="65">
                  <c:v>-4.4583685805604816</c:v>
                </c:pt>
                <c:pt idx="66">
                  <c:v>-4.4253981884356008</c:v>
                </c:pt>
                <c:pt idx="67">
                  <c:v>-4.3928737248311416</c:v>
                </c:pt>
                <c:pt idx="68">
                  <c:v>-4.3635344873291189</c:v>
                </c:pt>
                <c:pt idx="69">
                  <c:v>-4.3356766120566013</c:v>
                </c:pt>
                <c:pt idx="70">
                  <c:v>-4.3066075773950896</c:v>
                </c:pt>
                <c:pt idx="71">
                  <c:v>-4.2758698018052925</c:v>
                </c:pt>
                <c:pt idx="72">
                  <c:v>-4.2454972107872191</c:v>
                </c:pt>
                <c:pt idx="73">
                  <c:v>-4.2148876980370229</c:v>
                </c:pt>
                <c:pt idx="74">
                  <c:v>-4.18477123513102</c:v>
                </c:pt>
                <c:pt idx="75">
                  <c:v>-4.1568074323300221</c:v>
                </c:pt>
                <c:pt idx="76">
                  <c:v>-4.1267598084277344</c:v>
                </c:pt>
                <c:pt idx="77">
                  <c:v>-4.0964795806104197</c:v>
                </c:pt>
                <c:pt idx="78">
                  <c:v>-4.0629213868607614</c:v>
                </c:pt>
                <c:pt idx="79">
                  <c:v>-4.0324240619038862</c:v>
                </c:pt>
                <c:pt idx="80">
                  <c:v>-3.9996134844812499</c:v>
                </c:pt>
                <c:pt idx="81">
                  <c:v>-3.9676708656129094</c:v>
                </c:pt>
                <c:pt idx="82">
                  <c:v>-3.9345892651294001</c:v>
                </c:pt>
                <c:pt idx="83">
                  <c:v>-3.896876525169136</c:v>
                </c:pt>
                <c:pt idx="84">
                  <c:v>-3.8610841469868435</c:v>
                </c:pt>
                <c:pt idx="85">
                  <c:v>-3.823639496040089</c:v>
                </c:pt>
                <c:pt idx="86">
                  <c:v>-3.7832228830867343</c:v>
                </c:pt>
                <c:pt idx="87">
                  <c:v>-3.7428958296295294</c:v>
                </c:pt>
                <c:pt idx="88">
                  <c:v>-3.7002318870899606</c:v>
                </c:pt>
                <c:pt idx="89">
                  <c:v>-3.6612160190872887</c:v>
                </c:pt>
                <c:pt idx="90">
                  <c:v>-3.6306367278065221</c:v>
                </c:pt>
                <c:pt idx="91">
                  <c:v>-3.5977040815425401</c:v>
                </c:pt>
                <c:pt idx="92">
                  <c:v>-3.5618652055742897</c:v>
                </c:pt>
                <c:pt idx="93">
                  <c:v>-3.5214844344129173</c:v>
                </c:pt>
              </c:numCache>
            </c:numRef>
          </c:yVal>
          <c:smooth val="1"/>
          <c:extLst>
            <c:ext xmlns:c16="http://schemas.microsoft.com/office/drawing/2014/chart" uri="{C3380CC4-5D6E-409C-BE32-E72D297353CC}">
              <c16:uniqueId val="{00000002-F30B-A64E-A1FB-56BDC2BF434E}"/>
            </c:ext>
          </c:extLst>
        </c:ser>
        <c:dLbls>
          <c:showLegendKey val="0"/>
          <c:showVal val="0"/>
          <c:showCatName val="0"/>
          <c:showSerName val="0"/>
          <c:showPercent val="0"/>
          <c:showBubbleSize val="0"/>
        </c:dLbls>
        <c:axId val="137791360"/>
        <c:axId val="137792896"/>
      </c:scatterChart>
      <c:valAx>
        <c:axId val="137791360"/>
        <c:scaling>
          <c:orientation val="minMax"/>
          <c:max val="2010"/>
          <c:min val="197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7792896"/>
        <c:crossesAt val="-100"/>
        <c:crossBetween val="midCat"/>
        <c:majorUnit val="20"/>
        <c:minorUnit val="10"/>
      </c:valAx>
      <c:valAx>
        <c:axId val="137792896"/>
        <c:scaling>
          <c:orientation val="minMax"/>
          <c:max val="-2"/>
          <c:min val="-4"/>
        </c:scaling>
        <c:delete val="0"/>
        <c:axPos val="r"/>
        <c:title>
          <c:tx>
            <c:rich>
              <a:bodyPr rot="-5400000" vert="horz"/>
              <a:lstStyle/>
              <a:p>
                <a:pPr>
                  <a:defRPr sz="1200" b="0">
                    <a:solidFill>
                      <a:srgbClr val="333399"/>
                    </a:solidFill>
                  </a:defRPr>
                </a:pPr>
                <a:r>
                  <a:rPr lang="en-US" sz="1200" b="0">
                    <a:solidFill>
                      <a:srgbClr val="333399"/>
                    </a:solidFill>
                  </a:rPr>
                  <a:t>logit (q/Q)</a:t>
                </a:r>
              </a:p>
            </c:rich>
          </c:tx>
          <c:layout>
            <c:manualLayout>
              <c:xMode val="edge"/>
              <c:yMode val="edge"/>
              <c:x val="0.96240681576144838"/>
              <c:y val="0.3026655001458238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7791360"/>
        <c:crosses val="max"/>
        <c:crossBetween val="midCat"/>
        <c:majorUnit val="1"/>
        <c:minorUnit val="0.5"/>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328360712099483"/>
          <c:h val="0.77264654418197765"/>
        </c:manualLayout>
      </c:layout>
      <c:scatterChart>
        <c:scatterStyle val="smoothMarker"/>
        <c:varyColors val="0"/>
        <c:ser>
          <c:idx val="0"/>
          <c:order val="0"/>
          <c:tx>
            <c:strRef>
              <c:f>'Latin America'!$I$10</c:f>
              <c:strCache>
                <c:ptCount val="1"/>
                <c:pt idx="0">
                  <c:v>r m</c:v>
                </c:pt>
              </c:strCache>
            </c:strRef>
          </c:tx>
          <c:spPr>
            <a:ln w="15875">
              <a:solidFill>
                <a:srgbClr val="008000"/>
              </a:solidFill>
            </a:ln>
          </c:spPr>
          <c:marker>
            <c:symbol val="none"/>
          </c:marker>
          <c:xVal>
            <c:numRef>
              <c:f>'Latin America'!$D$107:$D$201</c:f>
              <c:numCache>
                <c:formatCode>General</c:formatCode>
                <c:ptCount val="95"/>
                <c:pt idx="0">
                  <c:v>1986</c:v>
                </c:pt>
                <c:pt idx="1">
                  <c:v>1987</c:v>
                </c:pt>
                <c:pt idx="2">
                  <c:v>1988</c:v>
                </c:pt>
                <c:pt idx="3">
                  <c:v>1989</c:v>
                </c:pt>
                <c:pt idx="4">
                  <c:v>1990</c:v>
                </c:pt>
                <c:pt idx="5">
                  <c:v>1991</c:v>
                </c:pt>
                <c:pt idx="6">
                  <c:v>1992</c:v>
                </c:pt>
                <c:pt idx="7">
                  <c:v>1993</c:v>
                </c:pt>
                <c:pt idx="8">
                  <c:v>1994</c:v>
                </c:pt>
                <c:pt idx="9">
                  <c:v>1995</c:v>
                </c:pt>
                <c:pt idx="10">
                  <c:v>1996</c:v>
                </c:pt>
                <c:pt idx="11">
                  <c:v>1997</c:v>
                </c:pt>
                <c:pt idx="12">
                  <c:v>1998</c:v>
                </c:pt>
                <c:pt idx="13">
                  <c:v>1999</c:v>
                </c:pt>
                <c:pt idx="14">
                  <c:v>2000</c:v>
                </c:pt>
                <c:pt idx="15">
                  <c:v>2001</c:v>
                </c:pt>
                <c:pt idx="16">
                  <c:v>2002</c:v>
                </c:pt>
                <c:pt idx="17">
                  <c:v>2003</c:v>
                </c:pt>
                <c:pt idx="18">
                  <c:v>2004</c:v>
                </c:pt>
                <c:pt idx="19">
                  <c:v>2005</c:v>
                </c:pt>
                <c:pt idx="20">
                  <c:v>2006</c:v>
                </c:pt>
                <c:pt idx="21">
                  <c:v>2007</c:v>
                </c:pt>
                <c:pt idx="22">
                  <c:v>2008</c:v>
                </c:pt>
                <c:pt idx="23">
                  <c:v>2009</c:v>
                </c:pt>
                <c:pt idx="24">
                  <c:v>2010</c:v>
                </c:pt>
                <c:pt idx="25">
                  <c:v>2011</c:v>
                </c:pt>
                <c:pt idx="26">
                  <c:v>2012</c:v>
                </c:pt>
                <c:pt idx="27">
                  <c:v>2013</c:v>
                </c:pt>
                <c:pt idx="28">
                  <c:v>2014</c:v>
                </c:pt>
                <c:pt idx="29">
                  <c:v>2015</c:v>
                </c:pt>
                <c:pt idx="30">
                  <c:v>2016</c:v>
                </c:pt>
                <c:pt idx="31">
                  <c:v>2017</c:v>
                </c:pt>
                <c:pt idx="32">
                  <c:v>2018</c:v>
                </c:pt>
                <c:pt idx="33">
                  <c:v>2019</c:v>
                </c:pt>
                <c:pt idx="34">
                  <c:v>2020</c:v>
                </c:pt>
                <c:pt idx="35">
                  <c:v>2021</c:v>
                </c:pt>
                <c:pt idx="36">
                  <c:v>2022</c:v>
                </c:pt>
                <c:pt idx="37">
                  <c:v>2023</c:v>
                </c:pt>
                <c:pt idx="38">
                  <c:v>2024</c:v>
                </c:pt>
                <c:pt idx="39">
                  <c:v>2025</c:v>
                </c:pt>
                <c:pt idx="40">
                  <c:v>2026</c:v>
                </c:pt>
                <c:pt idx="41">
                  <c:v>2027</c:v>
                </c:pt>
                <c:pt idx="42">
                  <c:v>2028</c:v>
                </c:pt>
                <c:pt idx="43">
                  <c:v>2029</c:v>
                </c:pt>
                <c:pt idx="44">
                  <c:v>2030</c:v>
                </c:pt>
                <c:pt idx="45">
                  <c:v>2031</c:v>
                </c:pt>
                <c:pt idx="46">
                  <c:v>2032</c:v>
                </c:pt>
                <c:pt idx="47">
                  <c:v>2033</c:v>
                </c:pt>
                <c:pt idx="48">
                  <c:v>2034</c:v>
                </c:pt>
                <c:pt idx="49">
                  <c:v>2035</c:v>
                </c:pt>
                <c:pt idx="50">
                  <c:v>2036</c:v>
                </c:pt>
                <c:pt idx="51">
                  <c:v>2037</c:v>
                </c:pt>
                <c:pt idx="52">
                  <c:v>2038</c:v>
                </c:pt>
                <c:pt idx="53">
                  <c:v>2039</c:v>
                </c:pt>
                <c:pt idx="54">
                  <c:v>2040</c:v>
                </c:pt>
                <c:pt idx="55">
                  <c:v>2041</c:v>
                </c:pt>
                <c:pt idx="56">
                  <c:v>2042</c:v>
                </c:pt>
                <c:pt idx="57">
                  <c:v>2043</c:v>
                </c:pt>
                <c:pt idx="58">
                  <c:v>2044</c:v>
                </c:pt>
                <c:pt idx="59">
                  <c:v>2045</c:v>
                </c:pt>
                <c:pt idx="60">
                  <c:v>2046</c:v>
                </c:pt>
                <c:pt idx="61">
                  <c:v>2047</c:v>
                </c:pt>
                <c:pt idx="62">
                  <c:v>2048</c:v>
                </c:pt>
                <c:pt idx="63">
                  <c:v>2049</c:v>
                </c:pt>
                <c:pt idx="64">
                  <c:v>2050</c:v>
                </c:pt>
                <c:pt idx="65">
                  <c:v>2051</c:v>
                </c:pt>
                <c:pt idx="66">
                  <c:v>2052</c:v>
                </c:pt>
                <c:pt idx="67">
                  <c:v>2053</c:v>
                </c:pt>
                <c:pt idx="68">
                  <c:v>2054</c:v>
                </c:pt>
                <c:pt idx="69">
                  <c:v>2055</c:v>
                </c:pt>
                <c:pt idx="70">
                  <c:v>2056</c:v>
                </c:pt>
                <c:pt idx="71">
                  <c:v>2057</c:v>
                </c:pt>
                <c:pt idx="72">
                  <c:v>2058</c:v>
                </c:pt>
                <c:pt idx="73">
                  <c:v>2059</c:v>
                </c:pt>
                <c:pt idx="74">
                  <c:v>2060</c:v>
                </c:pt>
                <c:pt idx="75">
                  <c:v>2061</c:v>
                </c:pt>
                <c:pt idx="76">
                  <c:v>2062</c:v>
                </c:pt>
                <c:pt idx="77">
                  <c:v>2063</c:v>
                </c:pt>
                <c:pt idx="78">
                  <c:v>2064</c:v>
                </c:pt>
                <c:pt idx="79">
                  <c:v>2065</c:v>
                </c:pt>
                <c:pt idx="80">
                  <c:v>2066</c:v>
                </c:pt>
                <c:pt idx="81">
                  <c:v>2067</c:v>
                </c:pt>
                <c:pt idx="82">
                  <c:v>2068</c:v>
                </c:pt>
                <c:pt idx="83">
                  <c:v>2069</c:v>
                </c:pt>
                <c:pt idx="84">
                  <c:v>2070</c:v>
                </c:pt>
                <c:pt idx="85">
                  <c:v>2071</c:v>
                </c:pt>
                <c:pt idx="86">
                  <c:v>2072</c:v>
                </c:pt>
                <c:pt idx="87">
                  <c:v>2073</c:v>
                </c:pt>
                <c:pt idx="88">
                  <c:v>2074</c:v>
                </c:pt>
                <c:pt idx="89">
                  <c:v>2075</c:v>
                </c:pt>
                <c:pt idx="90">
                  <c:v>2076</c:v>
                </c:pt>
                <c:pt idx="91">
                  <c:v>2077</c:v>
                </c:pt>
                <c:pt idx="92">
                  <c:v>2078</c:v>
                </c:pt>
                <c:pt idx="93">
                  <c:v>2079</c:v>
                </c:pt>
                <c:pt idx="94">
                  <c:v>2080</c:v>
                </c:pt>
              </c:numCache>
            </c:numRef>
          </c:xVal>
          <c:yVal>
            <c:numRef>
              <c:f>'Latin America'!$I$107:$I$201</c:f>
              <c:numCache>
                <c:formatCode>0.0</c:formatCode>
                <c:ptCount val="95"/>
                <c:pt idx="0">
                  <c:v>3.2225492713168933</c:v>
                </c:pt>
                <c:pt idx="1">
                  <c:v>2.2301100700187817</c:v>
                </c:pt>
                <c:pt idx="2">
                  <c:v>1.542573029722007</c:v>
                </c:pt>
                <c:pt idx="3">
                  <c:v>1.9159962143376106</c:v>
                </c:pt>
                <c:pt idx="4">
                  <c:v>1.5019989234579043</c:v>
                </c:pt>
                <c:pt idx="5">
                  <c:v>0.87363454883143277</c:v>
                </c:pt>
                <c:pt idx="6">
                  <c:v>-1.8961362990921771E-2</c:v>
                </c:pt>
                <c:pt idx="7">
                  <c:v>-1.4679014701105189</c:v>
                </c:pt>
                <c:pt idx="8">
                  <c:v>-2.2923359912329033</c:v>
                </c:pt>
                <c:pt idx="9">
                  <c:v>-2.8120786774406952</c:v>
                </c:pt>
                <c:pt idx="10">
                  <c:v>-2.7573338919910384</c:v>
                </c:pt>
                <c:pt idx="11">
                  <c:v>-2.3304741743304476</c:v>
                </c:pt>
                <c:pt idx="12">
                  <c:v>-1.8238456680037416</c:v>
                </c:pt>
                <c:pt idx="13">
                  <c:v>-2.3316833779354056</c:v>
                </c:pt>
                <c:pt idx="14">
                  <c:v>-1.6813829421562332</c:v>
                </c:pt>
                <c:pt idx="15">
                  <c:v>-0.83633029364318645</c:v>
                </c:pt>
                <c:pt idx="16">
                  <c:v>-1.4829040402692044</c:v>
                </c:pt>
                <c:pt idx="17">
                  <c:v>-1.3549650576742351</c:v>
                </c:pt>
                <c:pt idx="18">
                  <c:v>-0.93655060201035667</c:v>
                </c:pt>
                <c:pt idx="19">
                  <c:v>-0.13414451129574445</c:v>
                </c:pt>
                <c:pt idx="20">
                  <c:v>1.1348934056095459</c:v>
                </c:pt>
                <c:pt idx="21">
                  <c:v>2.4837629786006801</c:v>
                </c:pt>
                <c:pt idx="22">
                  <c:v>3.7749930824138573</c:v>
                </c:pt>
                <c:pt idx="23">
                  <c:v>3.5803805368113899</c:v>
                </c:pt>
              </c:numCache>
            </c:numRef>
          </c:yVal>
          <c:smooth val="1"/>
          <c:extLst>
            <c:ext xmlns:c16="http://schemas.microsoft.com/office/drawing/2014/chart" uri="{C3380CC4-5D6E-409C-BE32-E72D297353CC}">
              <c16:uniqueId val="{00000000-B8AE-4C47-ABBA-729E9BC54334}"/>
            </c:ext>
          </c:extLst>
        </c:ser>
        <c:ser>
          <c:idx val="1"/>
          <c:order val="1"/>
          <c:tx>
            <c:v>zero</c:v>
          </c:tx>
          <c:spPr>
            <a:ln w="15875">
              <a:solidFill>
                <a:srgbClr val="808080"/>
              </a:solidFill>
            </a:ln>
          </c:spPr>
          <c:marker>
            <c:symbol val="none"/>
          </c:marker>
          <c:xVal>
            <c:numRef>
              <c:f>('Latin America'!$E$3,'Latin America'!$E$4)</c:f>
              <c:numCache>
                <c:formatCode>General</c:formatCode>
                <c:ptCount val="2"/>
                <c:pt idx="0">
                  <c:v>1986</c:v>
                </c:pt>
                <c:pt idx="1">
                  <c:v>2009</c:v>
                </c:pt>
              </c:numCache>
            </c:numRef>
          </c:xVal>
          <c:yVal>
            <c:numLit>
              <c:formatCode>General</c:formatCode>
              <c:ptCount val="2"/>
              <c:pt idx="0">
                <c:v>0</c:v>
              </c:pt>
              <c:pt idx="1">
                <c:v>0</c:v>
              </c:pt>
            </c:numLit>
          </c:yVal>
          <c:smooth val="1"/>
          <c:extLst>
            <c:ext xmlns:c16="http://schemas.microsoft.com/office/drawing/2014/chart" uri="{C3380CC4-5D6E-409C-BE32-E72D297353CC}">
              <c16:uniqueId val="{00000001-B8AE-4C47-ABBA-729E9BC54334}"/>
            </c:ext>
          </c:extLst>
        </c:ser>
        <c:ser>
          <c:idx val="2"/>
          <c:order val="2"/>
          <c:tx>
            <c:v>early r m</c:v>
          </c:tx>
          <c:spPr>
            <a:ln w="15875">
              <a:solidFill>
                <a:srgbClr val="008000"/>
              </a:solidFill>
              <a:prstDash val="lgDash"/>
            </a:ln>
          </c:spPr>
          <c:marker>
            <c:symbol val="none"/>
          </c:marker>
          <c:xVal>
            <c:numRef>
              <c:f>'Latin America'!$D$12:$D$106</c:f>
              <c:numCache>
                <c:formatCode>General</c:formatCode>
                <c:ptCount val="95"/>
                <c:pt idx="0">
                  <c:v>1891</c:v>
                </c:pt>
                <c:pt idx="1">
                  <c:v>1892</c:v>
                </c:pt>
                <c:pt idx="2">
                  <c:v>1893</c:v>
                </c:pt>
                <c:pt idx="3">
                  <c:v>1894</c:v>
                </c:pt>
                <c:pt idx="4">
                  <c:v>1895</c:v>
                </c:pt>
                <c:pt idx="5">
                  <c:v>1896</c:v>
                </c:pt>
                <c:pt idx="6">
                  <c:v>1897</c:v>
                </c:pt>
                <c:pt idx="7">
                  <c:v>1898</c:v>
                </c:pt>
                <c:pt idx="8">
                  <c:v>1899</c:v>
                </c:pt>
                <c:pt idx="9">
                  <c:v>1900</c:v>
                </c:pt>
                <c:pt idx="10">
                  <c:v>1901</c:v>
                </c:pt>
                <c:pt idx="11">
                  <c:v>1902</c:v>
                </c:pt>
                <c:pt idx="12">
                  <c:v>1903</c:v>
                </c:pt>
                <c:pt idx="13">
                  <c:v>1904</c:v>
                </c:pt>
                <c:pt idx="14">
                  <c:v>1905</c:v>
                </c:pt>
                <c:pt idx="15">
                  <c:v>1906</c:v>
                </c:pt>
                <c:pt idx="16">
                  <c:v>1907</c:v>
                </c:pt>
                <c:pt idx="17">
                  <c:v>1908</c:v>
                </c:pt>
                <c:pt idx="18">
                  <c:v>1909</c:v>
                </c:pt>
                <c:pt idx="19">
                  <c:v>1910</c:v>
                </c:pt>
                <c:pt idx="20">
                  <c:v>1911</c:v>
                </c:pt>
                <c:pt idx="21">
                  <c:v>1912</c:v>
                </c:pt>
                <c:pt idx="22">
                  <c:v>1913</c:v>
                </c:pt>
                <c:pt idx="23">
                  <c:v>1914</c:v>
                </c:pt>
                <c:pt idx="24">
                  <c:v>1915</c:v>
                </c:pt>
                <c:pt idx="25">
                  <c:v>1916</c:v>
                </c:pt>
                <c:pt idx="26">
                  <c:v>1917</c:v>
                </c:pt>
                <c:pt idx="27">
                  <c:v>1918</c:v>
                </c:pt>
                <c:pt idx="28">
                  <c:v>1919</c:v>
                </c:pt>
                <c:pt idx="29">
                  <c:v>1920</c:v>
                </c:pt>
                <c:pt idx="30">
                  <c:v>1921</c:v>
                </c:pt>
                <c:pt idx="31">
                  <c:v>1922</c:v>
                </c:pt>
                <c:pt idx="32">
                  <c:v>1923</c:v>
                </c:pt>
                <c:pt idx="33">
                  <c:v>1924</c:v>
                </c:pt>
                <c:pt idx="34">
                  <c:v>1925</c:v>
                </c:pt>
                <c:pt idx="35">
                  <c:v>1926</c:v>
                </c:pt>
                <c:pt idx="36">
                  <c:v>1927</c:v>
                </c:pt>
                <c:pt idx="37">
                  <c:v>1928</c:v>
                </c:pt>
                <c:pt idx="38">
                  <c:v>1929</c:v>
                </c:pt>
                <c:pt idx="39">
                  <c:v>1930</c:v>
                </c:pt>
                <c:pt idx="40">
                  <c:v>1931</c:v>
                </c:pt>
                <c:pt idx="41">
                  <c:v>1932</c:v>
                </c:pt>
                <c:pt idx="42">
                  <c:v>1933</c:v>
                </c:pt>
                <c:pt idx="43">
                  <c:v>1934</c:v>
                </c:pt>
                <c:pt idx="44">
                  <c:v>1935</c:v>
                </c:pt>
                <c:pt idx="45">
                  <c:v>1936</c:v>
                </c:pt>
                <c:pt idx="46">
                  <c:v>1937</c:v>
                </c:pt>
                <c:pt idx="47">
                  <c:v>1938</c:v>
                </c:pt>
                <c:pt idx="48">
                  <c:v>1939</c:v>
                </c:pt>
                <c:pt idx="49">
                  <c:v>1940</c:v>
                </c:pt>
                <c:pt idx="50">
                  <c:v>1941</c:v>
                </c:pt>
                <c:pt idx="51">
                  <c:v>1942</c:v>
                </c:pt>
                <c:pt idx="52">
                  <c:v>1943</c:v>
                </c:pt>
                <c:pt idx="53">
                  <c:v>1944</c:v>
                </c:pt>
                <c:pt idx="54">
                  <c:v>1945</c:v>
                </c:pt>
                <c:pt idx="55">
                  <c:v>1946</c:v>
                </c:pt>
                <c:pt idx="56">
                  <c:v>1947</c:v>
                </c:pt>
                <c:pt idx="57">
                  <c:v>1948</c:v>
                </c:pt>
                <c:pt idx="58">
                  <c:v>1949</c:v>
                </c:pt>
                <c:pt idx="59">
                  <c:v>1950</c:v>
                </c:pt>
                <c:pt idx="60">
                  <c:v>1951</c:v>
                </c:pt>
                <c:pt idx="61">
                  <c:v>1952</c:v>
                </c:pt>
                <c:pt idx="62">
                  <c:v>1953</c:v>
                </c:pt>
                <c:pt idx="63">
                  <c:v>1954</c:v>
                </c:pt>
                <c:pt idx="64">
                  <c:v>1955</c:v>
                </c:pt>
                <c:pt idx="65">
                  <c:v>1956</c:v>
                </c:pt>
                <c:pt idx="66">
                  <c:v>1957</c:v>
                </c:pt>
                <c:pt idx="67">
                  <c:v>1958</c:v>
                </c:pt>
                <c:pt idx="68">
                  <c:v>1959</c:v>
                </c:pt>
                <c:pt idx="69">
                  <c:v>1960</c:v>
                </c:pt>
                <c:pt idx="70">
                  <c:v>1961</c:v>
                </c:pt>
                <c:pt idx="71">
                  <c:v>1962</c:v>
                </c:pt>
                <c:pt idx="72">
                  <c:v>1963</c:v>
                </c:pt>
                <c:pt idx="73">
                  <c:v>1964</c:v>
                </c:pt>
                <c:pt idx="74">
                  <c:v>1965</c:v>
                </c:pt>
                <c:pt idx="75">
                  <c:v>1966</c:v>
                </c:pt>
                <c:pt idx="76">
                  <c:v>1967</c:v>
                </c:pt>
                <c:pt idx="77">
                  <c:v>1968</c:v>
                </c:pt>
                <c:pt idx="78">
                  <c:v>1969</c:v>
                </c:pt>
                <c:pt idx="79">
                  <c:v>1970</c:v>
                </c:pt>
                <c:pt idx="80">
                  <c:v>1971</c:v>
                </c:pt>
                <c:pt idx="81">
                  <c:v>1972</c:v>
                </c:pt>
                <c:pt idx="82">
                  <c:v>1973</c:v>
                </c:pt>
                <c:pt idx="83">
                  <c:v>1974</c:v>
                </c:pt>
                <c:pt idx="84">
                  <c:v>1975</c:v>
                </c:pt>
                <c:pt idx="85">
                  <c:v>1976</c:v>
                </c:pt>
                <c:pt idx="86">
                  <c:v>1977</c:v>
                </c:pt>
                <c:pt idx="87">
                  <c:v>1978</c:v>
                </c:pt>
                <c:pt idx="88">
                  <c:v>1979</c:v>
                </c:pt>
                <c:pt idx="89">
                  <c:v>1980</c:v>
                </c:pt>
                <c:pt idx="90">
                  <c:v>1981</c:v>
                </c:pt>
                <c:pt idx="91">
                  <c:v>1982</c:v>
                </c:pt>
                <c:pt idx="92">
                  <c:v>1983</c:v>
                </c:pt>
                <c:pt idx="93">
                  <c:v>1984</c:v>
                </c:pt>
                <c:pt idx="94">
                  <c:v>1985</c:v>
                </c:pt>
              </c:numCache>
            </c:numRef>
          </c:xVal>
          <c:yVal>
            <c:numRef>
              <c:f>'Latin America'!$I$12:$I$106</c:f>
              <c:numCache>
                <c:formatCode>0.0</c:formatCode>
                <c:ptCount val="95"/>
                <c:pt idx="0">
                  <c:v>-602.77664525207183</c:v>
                </c:pt>
                <c:pt idx="1">
                  <c:v>-394.91606765901179</c:v>
                </c:pt>
                <c:pt idx="2">
                  <c:v>-322.77913911038377</c:v>
                </c:pt>
                <c:pt idx="3">
                  <c:v>-266.29748649298745</c:v>
                </c:pt>
                <c:pt idx="4">
                  <c:v>-201.55867943180419</c:v>
                </c:pt>
                <c:pt idx="5">
                  <c:v>-158.23204463868933</c:v>
                </c:pt>
                <c:pt idx="6">
                  <c:v>-113.89431961622449</c:v>
                </c:pt>
                <c:pt idx="7">
                  <c:v>-77.406287005509512</c:v>
                </c:pt>
                <c:pt idx="8">
                  <c:v>-50.279312545006178</c:v>
                </c:pt>
                <c:pt idx="9">
                  <c:v>-23.997270363784082</c:v>
                </c:pt>
                <c:pt idx="10">
                  <c:v>17.501897856498545</c:v>
                </c:pt>
                <c:pt idx="11">
                  <c:v>54.102591827300785</c:v>
                </c:pt>
                <c:pt idx="12">
                  <c:v>85.424853166754474</c:v>
                </c:pt>
                <c:pt idx="13">
                  <c:v>109.17535292314824</c:v>
                </c:pt>
                <c:pt idx="14">
                  <c:v>130.38295840692626</c:v>
                </c:pt>
                <c:pt idx="15">
                  <c:v>147.006711391512</c:v>
                </c:pt>
                <c:pt idx="16">
                  <c:v>163.85871944282189</c:v>
                </c:pt>
                <c:pt idx="17">
                  <c:v>178.18752086811674</c:v>
                </c:pt>
                <c:pt idx="18">
                  <c:v>193.76794714456992</c:v>
                </c:pt>
                <c:pt idx="19">
                  <c:v>207.85356139899523</c:v>
                </c:pt>
                <c:pt idx="20">
                  <c:v>221.00710648988297</c:v>
                </c:pt>
                <c:pt idx="21">
                  <c:v>229.12934473363475</c:v>
                </c:pt>
                <c:pt idx="22">
                  <c:v>232.84003882164234</c:v>
                </c:pt>
                <c:pt idx="23">
                  <c:v>239.91480310395036</c:v>
                </c:pt>
                <c:pt idx="24">
                  <c:v>239.79942207886506</c:v>
                </c:pt>
                <c:pt idx="25">
                  <c:v>239.80440591915431</c:v>
                </c:pt>
                <c:pt idx="26">
                  <c:v>240.73691921825957</c:v>
                </c:pt>
                <c:pt idx="27">
                  <c:v>242.58598459900895</c:v>
                </c:pt>
                <c:pt idx="28">
                  <c:v>243.2199721115212</c:v>
                </c:pt>
                <c:pt idx="29">
                  <c:v>242.7176446293106</c:v>
                </c:pt>
                <c:pt idx="30">
                  <c:v>242.35424147103913</c:v>
                </c:pt>
                <c:pt idx="31">
                  <c:v>241.65782541574481</c:v>
                </c:pt>
                <c:pt idx="32">
                  <c:v>241.60220618935455</c:v>
                </c:pt>
                <c:pt idx="33">
                  <c:v>241.70974426714565</c:v>
                </c:pt>
                <c:pt idx="34">
                  <c:v>241.72572688363289</c:v>
                </c:pt>
                <c:pt idx="35">
                  <c:v>240.93649500949869</c:v>
                </c:pt>
                <c:pt idx="36">
                  <c:v>238.63782746925244</c:v>
                </c:pt>
                <c:pt idx="37">
                  <c:v>235.58289815492208</c:v>
                </c:pt>
                <c:pt idx="38">
                  <c:v>232.90227327367484</c:v>
                </c:pt>
                <c:pt idx="39">
                  <c:v>230.2712861377122</c:v>
                </c:pt>
                <c:pt idx="40">
                  <c:v>225.38765726106794</c:v>
                </c:pt>
                <c:pt idx="41">
                  <c:v>219.53510526650189</c:v>
                </c:pt>
                <c:pt idx="42">
                  <c:v>215.05296409608309</c:v>
                </c:pt>
                <c:pt idx="43">
                  <c:v>211.89084357888532</c:v>
                </c:pt>
                <c:pt idx="44">
                  <c:v>210.33101372792771</c:v>
                </c:pt>
                <c:pt idx="45">
                  <c:v>208.02296400507475</c:v>
                </c:pt>
                <c:pt idx="46">
                  <c:v>205.55755647428759</c:v>
                </c:pt>
                <c:pt idx="47">
                  <c:v>202.7278223109106</c:v>
                </c:pt>
                <c:pt idx="48">
                  <c:v>199.10243635846928</c:v>
                </c:pt>
                <c:pt idx="49">
                  <c:v>196.09374378201028</c:v>
                </c:pt>
                <c:pt idx="50">
                  <c:v>192.94862309612472</c:v>
                </c:pt>
                <c:pt idx="51">
                  <c:v>190.71234962616563</c:v>
                </c:pt>
                <c:pt idx="52">
                  <c:v>188.89013585434441</c:v>
                </c:pt>
                <c:pt idx="53">
                  <c:v>186.13492277559453</c:v>
                </c:pt>
                <c:pt idx="54">
                  <c:v>183.06044362485682</c:v>
                </c:pt>
                <c:pt idx="55">
                  <c:v>179.37390082254205</c:v>
                </c:pt>
                <c:pt idx="56">
                  <c:v>175.68603817888652</c:v>
                </c:pt>
                <c:pt idx="57">
                  <c:v>171.63621691960907</c:v>
                </c:pt>
                <c:pt idx="58">
                  <c:v>167.64445379126482</c:v>
                </c:pt>
                <c:pt idx="59">
                  <c:v>163.70627887616229</c:v>
                </c:pt>
                <c:pt idx="60">
                  <c:v>159.89673409399074</c:v>
                </c:pt>
                <c:pt idx="61">
                  <c:v>156.2477178338695</c:v>
                </c:pt>
                <c:pt idx="62">
                  <c:v>152.53750817178934</c:v>
                </c:pt>
                <c:pt idx="63">
                  <c:v>148.5168442266222</c:v>
                </c:pt>
                <c:pt idx="64">
                  <c:v>144.49774884885028</c:v>
                </c:pt>
                <c:pt idx="65">
                  <c:v>140.14560188797077</c:v>
                </c:pt>
                <c:pt idx="66">
                  <c:v>135.31123202682102</c:v>
                </c:pt>
                <c:pt idx="67">
                  <c:v>130.37994615588741</c:v>
                </c:pt>
                <c:pt idx="68">
                  <c:v>124.75639820713968</c:v>
                </c:pt>
                <c:pt idx="69">
                  <c:v>118.81089795045227</c:v>
                </c:pt>
                <c:pt idx="70">
                  <c:v>113.12862538568606</c:v>
                </c:pt>
                <c:pt idx="71">
                  <c:v>107.80902913500086</c:v>
                </c:pt>
                <c:pt idx="72">
                  <c:v>102.41006538502916</c:v>
                </c:pt>
                <c:pt idx="73">
                  <c:v>97.062593091327471</c:v>
                </c:pt>
                <c:pt idx="74">
                  <c:v>91.60796366069826</c:v>
                </c:pt>
                <c:pt idx="75">
                  <c:v>85.685485195433102</c:v>
                </c:pt>
                <c:pt idx="76">
                  <c:v>80.215894619121173</c:v>
                </c:pt>
                <c:pt idx="77">
                  <c:v>74.796857084992553</c:v>
                </c:pt>
                <c:pt idx="78">
                  <c:v>70.090237267644625</c:v>
                </c:pt>
                <c:pt idx="79">
                  <c:v>64.718382605968145</c:v>
                </c:pt>
                <c:pt idx="80">
                  <c:v>59.849279368196221</c:v>
                </c:pt>
                <c:pt idx="81">
                  <c:v>54.791538095654687</c:v>
                </c:pt>
                <c:pt idx="82">
                  <c:v>49.981337736744536</c:v>
                </c:pt>
                <c:pt idx="83">
                  <c:v>46.177647475924459</c:v>
                </c:pt>
                <c:pt idx="84">
                  <c:v>41.956594807599686</c:v>
                </c:pt>
                <c:pt idx="85">
                  <c:v>38.094639339992682</c:v>
                </c:pt>
                <c:pt idx="86">
                  <c:v>34.878596133461542</c:v>
                </c:pt>
                <c:pt idx="87">
                  <c:v>31.643088486765919</c:v>
                </c:pt>
                <c:pt idx="88">
                  <c:v>28.915469335183843</c:v>
                </c:pt>
                <c:pt idx="89">
                  <c:v>25.394994801376015</c:v>
                </c:pt>
                <c:pt idx="90">
                  <c:v>20.040954315480121</c:v>
                </c:pt>
                <c:pt idx="91">
                  <c:v>15.198380946240832</c:v>
                </c:pt>
                <c:pt idx="92">
                  <c:v>10.987433888280066</c:v>
                </c:pt>
                <c:pt idx="93">
                  <c:v>7.7636009950565494</c:v>
                </c:pt>
                <c:pt idx="94">
                  <c:v>5.2631814620835939</c:v>
                </c:pt>
              </c:numCache>
            </c:numRef>
          </c:yVal>
          <c:smooth val="1"/>
          <c:extLst>
            <c:ext xmlns:c16="http://schemas.microsoft.com/office/drawing/2014/chart" uri="{C3380CC4-5D6E-409C-BE32-E72D297353CC}">
              <c16:uniqueId val="{00000002-B8AE-4C47-ABBA-729E9BC54334}"/>
            </c:ext>
          </c:extLst>
        </c:ser>
        <c:dLbls>
          <c:showLegendKey val="0"/>
          <c:showVal val="0"/>
          <c:showCatName val="0"/>
          <c:showSerName val="0"/>
          <c:showPercent val="0"/>
          <c:showBubbleSize val="0"/>
        </c:dLbls>
        <c:axId val="137808512"/>
        <c:axId val="138101504"/>
      </c:scatterChart>
      <c:valAx>
        <c:axId val="137808512"/>
        <c:scaling>
          <c:orientation val="minMax"/>
          <c:max val="2010"/>
          <c:min val="197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8101504"/>
        <c:crossesAt val="-100"/>
        <c:crossBetween val="midCat"/>
        <c:majorUnit val="20"/>
        <c:minorUnit val="10"/>
      </c:valAx>
      <c:valAx>
        <c:axId val="138101504"/>
        <c:scaling>
          <c:orientation val="minMax"/>
          <c:max val="20"/>
          <c:min val="-20"/>
        </c:scaling>
        <c:delete val="0"/>
        <c:axPos val="r"/>
        <c:title>
          <c:tx>
            <c:rich>
              <a:bodyPr rot="-5400000" vert="horz"/>
              <a:lstStyle/>
              <a:p>
                <a:pPr>
                  <a:defRPr sz="1200" b="0">
                    <a:solidFill>
                      <a:srgbClr val="333399"/>
                    </a:solidFill>
                  </a:defRPr>
                </a:pPr>
                <a:r>
                  <a:rPr lang="en-US" sz="1200" b="0">
                    <a:solidFill>
                      <a:srgbClr val="333399"/>
                    </a:solidFill>
                  </a:rPr>
                  <a:t>Residual, months</a:t>
                </a:r>
              </a:p>
            </c:rich>
          </c:tx>
          <c:layout>
            <c:manualLayout>
              <c:xMode val="edge"/>
              <c:yMode val="edge"/>
              <c:x val="0.96240681576144838"/>
              <c:y val="0.27488772236803732"/>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7808512"/>
        <c:crosses val="max"/>
        <c:crossBetween val="midCat"/>
        <c:majorUnit val="2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690011991312591E-2"/>
          <c:y val="5.7060002916302532E-2"/>
          <c:w val="0.86967338347884426"/>
          <c:h val="0.77264654418197765"/>
        </c:manualLayout>
      </c:layout>
      <c:scatterChart>
        <c:scatterStyle val="smoothMarker"/>
        <c:varyColors val="0"/>
        <c:ser>
          <c:idx val="0"/>
          <c:order val="0"/>
          <c:tx>
            <c:strRef>
              <c:f>'Latin America'!$F$10</c:f>
              <c:strCache>
                <c:ptCount val="1"/>
                <c:pt idx="0">
                  <c:v>q Gt</c:v>
                </c:pt>
              </c:strCache>
            </c:strRef>
          </c:tx>
          <c:spPr>
            <a:ln w="15875">
              <a:solidFill>
                <a:srgbClr val="008000"/>
              </a:solidFill>
            </a:ln>
          </c:spPr>
          <c:marker>
            <c:symbol val="none"/>
          </c:marker>
          <c:xVal>
            <c:numRef>
              <c:f>'Latin America'!$D$11:$D$362</c:f>
              <c:numCache>
                <c:formatCode>General</c:formatCode>
                <c:ptCount val="352"/>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pt idx="135">
                  <c:v>2025</c:v>
                </c:pt>
                <c:pt idx="136">
                  <c:v>2026</c:v>
                </c:pt>
                <c:pt idx="137">
                  <c:v>2027</c:v>
                </c:pt>
                <c:pt idx="138">
                  <c:v>2028</c:v>
                </c:pt>
                <c:pt idx="139">
                  <c:v>2029</c:v>
                </c:pt>
                <c:pt idx="140">
                  <c:v>2030</c:v>
                </c:pt>
                <c:pt idx="141">
                  <c:v>2031</c:v>
                </c:pt>
                <c:pt idx="142">
                  <c:v>2032</c:v>
                </c:pt>
                <c:pt idx="143">
                  <c:v>2033</c:v>
                </c:pt>
                <c:pt idx="144">
                  <c:v>2034</c:v>
                </c:pt>
                <c:pt idx="145">
                  <c:v>2035</c:v>
                </c:pt>
                <c:pt idx="146">
                  <c:v>2036</c:v>
                </c:pt>
                <c:pt idx="147">
                  <c:v>2037</c:v>
                </c:pt>
                <c:pt idx="148">
                  <c:v>2038</c:v>
                </c:pt>
                <c:pt idx="149">
                  <c:v>2039</c:v>
                </c:pt>
                <c:pt idx="150">
                  <c:v>2040</c:v>
                </c:pt>
                <c:pt idx="151">
                  <c:v>2041</c:v>
                </c:pt>
                <c:pt idx="152">
                  <c:v>2042</c:v>
                </c:pt>
                <c:pt idx="153">
                  <c:v>2043</c:v>
                </c:pt>
                <c:pt idx="154">
                  <c:v>2044</c:v>
                </c:pt>
                <c:pt idx="155">
                  <c:v>2045</c:v>
                </c:pt>
                <c:pt idx="156">
                  <c:v>2046</c:v>
                </c:pt>
                <c:pt idx="157">
                  <c:v>2047</c:v>
                </c:pt>
                <c:pt idx="158">
                  <c:v>2048</c:v>
                </c:pt>
                <c:pt idx="159">
                  <c:v>2049</c:v>
                </c:pt>
                <c:pt idx="160">
                  <c:v>2050</c:v>
                </c:pt>
                <c:pt idx="161">
                  <c:v>2051</c:v>
                </c:pt>
                <c:pt idx="162">
                  <c:v>2052</c:v>
                </c:pt>
                <c:pt idx="163">
                  <c:v>2053</c:v>
                </c:pt>
                <c:pt idx="164">
                  <c:v>2054</c:v>
                </c:pt>
                <c:pt idx="165">
                  <c:v>2055</c:v>
                </c:pt>
                <c:pt idx="166">
                  <c:v>2056</c:v>
                </c:pt>
                <c:pt idx="167">
                  <c:v>2057</c:v>
                </c:pt>
                <c:pt idx="168">
                  <c:v>2058</c:v>
                </c:pt>
                <c:pt idx="169">
                  <c:v>2059</c:v>
                </c:pt>
                <c:pt idx="170">
                  <c:v>2060</c:v>
                </c:pt>
                <c:pt idx="171">
                  <c:v>2061</c:v>
                </c:pt>
                <c:pt idx="172">
                  <c:v>2062</c:v>
                </c:pt>
                <c:pt idx="173">
                  <c:v>2063</c:v>
                </c:pt>
                <c:pt idx="174">
                  <c:v>2064</c:v>
                </c:pt>
                <c:pt idx="175">
                  <c:v>2065</c:v>
                </c:pt>
                <c:pt idx="176">
                  <c:v>2066</c:v>
                </c:pt>
                <c:pt idx="177">
                  <c:v>2067</c:v>
                </c:pt>
                <c:pt idx="178">
                  <c:v>2068</c:v>
                </c:pt>
                <c:pt idx="179">
                  <c:v>2069</c:v>
                </c:pt>
                <c:pt idx="180">
                  <c:v>2070</c:v>
                </c:pt>
                <c:pt idx="181">
                  <c:v>2071</c:v>
                </c:pt>
                <c:pt idx="182">
                  <c:v>2072</c:v>
                </c:pt>
                <c:pt idx="183">
                  <c:v>2073</c:v>
                </c:pt>
                <c:pt idx="184">
                  <c:v>2074</c:v>
                </c:pt>
                <c:pt idx="185">
                  <c:v>2075</c:v>
                </c:pt>
                <c:pt idx="186">
                  <c:v>2076</c:v>
                </c:pt>
                <c:pt idx="187">
                  <c:v>2077</c:v>
                </c:pt>
                <c:pt idx="188">
                  <c:v>2078</c:v>
                </c:pt>
                <c:pt idx="189">
                  <c:v>2079</c:v>
                </c:pt>
                <c:pt idx="190">
                  <c:v>2080</c:v>
                </c:pt>
                <c:pt idx="191">
                  <c:v>2081</c:v>
                </c:pt>
                <c:pt idx="192">
                  <c:v>2082</c:v>
                </c:pt>
                <c:pt idx="193">
                  <c:v>2083</c:v>
                </c:pt>
                <c:pt idx="194">
                  <c:v>2084</c:v>
                </c:pt>
                <c:pt idx="195">
                  <c:v>2085</c:v>
                </c:pt>
                <c:pt idx="196">
                  <c:v>2086</c:v>
                </c:pt>
                <c:pt idx="197">
                  <c:v>2087</c:v>
                </c:pt>
                <c:pt idx="198">
                  <c:v>2088</c:v>
                </c:pt>
                <c:pt idx="199">
                  <c:v>2089</c:v>
                </c:pt>
                <c:pt idx="200">
                  <c:v>2090</c:v>
                </c:pt>
                <c:pt idx="201">
                  <c:v>2091</c:v>
                </c:pt>
                <c:pt idx="202">
                  <c:v>2092</c:v>
                </c:pt>
                <c:pt idx="203">
                  <c:v>2093</c:v>
                </c:pt>
                <c:pt idx="204">
                  <c:v>2094</c:v>
                </c:pt>
                <c:pt idx="205">
                  <c:v>2095</c:v>
                </c:pt>
                <c:pt idx="206">
                  <c:v>2096</c:v>
                </c:pt>
                <c:pt idx="207">
                  <c:v>2097</c:v>
                </c:pt>
                <c:pt idx="208">
                  <c:v>2098</c:v>
                </c:pt>
                <c:pt idx="209">
                  <c:v>2099</c:v>
                </c:pt>
                <c:pt idx="210">
                  <c:v>2100</c:v>
                </c:pt>
                <c:pt idx="211">
                  <c:v>2101</c:v>
                </c:pt>
                <c:pt idx="212">
                  <c:v>2102</c:v>
                </c:pt>
                <c:pt idx="213">
                  <c:v>2103</c:v>
                </c:pt>
                <c:pt idx="214">
                  <c:v>2104</c:v>
                </c:pt>
                <c:pt idx="215">
                  <c:v>2105</c:v>
                </c:pt>
                <c:pt idx="216">
                  <c:v>2106</c:v>
                </c:pt>
                <c:pt idx="217">
                  <c:v>2107</c:v>
                </c:pt>
                <c:pt idx="218">
                  <c:v>2108</c:v>
                </c:pt>
                <c:pt idx="219">
                  <c:v>2109</c:v>
                </c:pt>
                <c:pt idx="220">
                  <c:v>2110</c:v>
                </c:pt>
                <c:pt idx="221">
                  <c:v>2111</c:v>
                </c:pt>
                <c:pt idx="222">
                  <c:v>2112</c:v>
                </c:pt>
                <c:pt idx="223">
                  <c:v>2113</c:v>
                </c:pt>
                <c:pt idx="224">
                  <c:v>2114</c:v>
                </c:pt>
                <c:pt idx="225">
                  <c:v>2115</c:v>
                </c:pt>
                <c:pt idx="226">
                  <c:v>2116</c:v>
                </c:pt>
                <c:pt idx="227">
                  <c:v>2117</c:v>
                </c:pt>
                <c:pt idx="228">
                  <c:v>2118</c:v>
                </c:pt>
                <c:pt idx="229">
                  <c:v>2119</c:v>
                </c:pt>
                <c:pt idx="230">
                  <c:v>2120</c:v>
                </c:pt>
                <c:pt idx="231">
                  <c:v>2121</c:v>
                </c:pt>
                <c:pt idx="232">
                  <c:v>2122</c:v>
                </c:pt>
                <c:pt idx="233">
                  <c:v>2123</c:v>
                </c:pt>
                <c:pt idx="234">
                  <c:v>2124</c:v>
                </c:pt>
                <c:pt idx="235">
                  <c:v>2125</c:v>
                </c:pt>
                <c:pt idx="236">
                  <c:v>2126</c:v>
                </c:pt>
                <c:pt idx="237">
                  <c:v>2127</c:v>
                </c:pt>
                <c:pt idx="238">
                  <c:v>2128</c:v>
                </c:pt>
                <c:pt idx="239">
                  <c:v>2129</c:v>
                </c:pt>
                <c:pt idx="240">
                  <c:v>2130</c:v>
                </c:pt>
                <c:pt idx="241">
                  <c:v>2131</c:v>
                </c:pt>
                <c:pt idx="242">
                  <c:v>2132</c:v>
                </c:pt>
                <c:pt idx="243">
                  <c:v>2133</c:v>
                </c:pt>
                <c:pt idx="244">
                  <c:v>2134</c:v>
                </c:pt>
                <c:pt idx="245">
                  <c:v>2135</c:v>
                </c:pt>
                <c:pt idx="246">
                  <c:v>2136</c:v>
                </c:pt>
                <c:pt idx="247">
                  <c:v>2137</c:v>
                </c:pt>
                <c:pt idx="248">
                  <c:v>2138</c:v>
                </c:pt>
                <c:pt idx="249">
                  <c:v>2139</c:v>
                </c:pt>
                <c:pt idx="250">
                  <c:v>2140</c:v>
                </c:pt>
                <c:pt idx="251">
                  <c:v>2141</c:v>
                </c:pt>
                <c:pt idx="252">
                  <c:v>2142</c:v>
                </c:pt>
                <c:pt idx="253">
                  <c:v>2143</c:v>
                </c:pt>
                <c:pt idx="254">
                  <c:v>2144</c:v>
                </c:pt>
                <c:pt idx="255">
                  <c:v>2145</c:v>
                </c:pt>
                <c:pt idx="256">
                  <c:v>2146</c:v>
                </c:pt>
                <c:pt idx="257">
                  <c:v>2147</c:v>
                </c:pt>
                <c:pt idx="258">
                  <c:v>2148</c:v>
                </c:pt>
                <c:pt idx="259">
                  <c:v>2149</c:v>
                </c:pt>
                <c:pt idx="260">
                  <c:v>2150</c:v>
                </c:pt>
              </c:numCache>
            </c:numRef>
          </c:xVal>
          <c:yVal>
            <c:numRef>
              <c:f>'Latin America'!$F$11:$F$362</c:f>
              <c:numCache>
                <c:formatCode>0.00</c:formatCode>
                <c:ptCount val="352"/>
                <c:pt idx="0" formatCode="General">
                  <c:v>0</c:v>
                </c:pt>
                <c:pt idx="1">
                  <c:v>2.0000000000000001E-4</c:v>
                </c:pt>
                <c:pt idx="2">
                  <c:v>5.5000000000000003E-4</c:v>
                </c:pt>
                <c:pt idx="3">
                  <c:v>8.1000000000000006E-4</c:v>
                </c:pt>
                <c:pt idx="4">
                  <c:v>1.1100000000000001E-3</c:v>
                </c:pt>
                <c:pt idx="5">
                  <c:v>1.58E-3</c:v>
                </c:pt>
                <c:pt idx="6">
                  <c:v>2.0379999999999999E-3</c:v>
                </c:pt>
                <c:pt idx="7">
                  <c:v>2.6410000000000001E-3</c:v>
                </c:pt>
                <c:pt idx="8">
                  <c:v>3.3010000000000001E-3</c:v>
                </c:pt>
                <c:pt idx="9">
                  <c:v>3.9519999999999998E-3</c:v>
                </c:pt>
                <c:pt idx="10">
                  <c:v>4.7130000000000002E-3</c:v>
                </c:pt>
                <c:pt idx="11">
                  <c:v>6.0280000000000004E-3</c:v>
                </c:pt>
                <c:pt idx="12">
                  <c:v>7.5380000000000004E-3</c:v>
                </c:pt>
                <c:pt idx="13">
                  <c:v>9.1999999999999998E-3</c:v>
                </c:pt>
                <c:pt idx="14">
                  <c:v>1.0843999999999999E-2</c:v>
                </c:pt>
                <c:pt idx="15">
                  <c:v>1.2633E-2</c:v>
                </c:pt>
                <c:pt idx="16">
                  <c:v>1.4409999999999999E-2</c:v>
                </c:pt>
                <c:pt idx="17">
                  <c:v>1.6454E-2</c:v>
                </c:pt>
                <c:pt idx="18">
                  <c:v>1.8571000000000001E-2</c:v>
                </c:pt>
                <c:pt idx="19">
                  <c:v>2.1080999999999999E-2</c:v>
                </c:pt>
                <c:pt idx="20">
                  <c:v>2.3765999999999999E-2</c:v>
                </c:pt>
                <c:pt idx="21">
                  <c:v>2.6678E-2</c:v>
                </c:pt>
                <c:pt idx="22">
                  <c:v>2.9262E-2</c:v>
                </c:pt>
                <c:pt idx="23">
                  <c:v>3.1452000000000001E-2</c:v>
                </c:pt>
                <c:pt idx="24">
                  <c:v>3.4332000000000001E-2</c:v>
                </c:pt>
                <c:pt idx="25">
                  <c:v>3.6257999999999999E-2</c:v>
                </c:pt>
                <c:pt idx="26">
                  <c:v>3.8313E-2</c:v>
                </c:pt>
                <c:pt idx="27">
                  <c:v>4.0656999999999999E-2</c:v>
                </c:pt>
                <c:pt idx="28">
                  <c:v>4.3325999999999996E-2</c:v>
                </c:pt>
                <c:pt idx="29">
                  <c:v>4.5912999999999995E-2</c:v>
                </c:pt>
                <c:pt idx="30">
                  <c:v>4.8400999999999993E-2</c:v>
                </c:pt>
                <c:pt idx="31">
                  <c:v>5.105599999999999E-2</c:v>
                </c:pt>
                <c:pt idx="32">
                  <c:v>5.3773999999999988E-2</c:v>
                </c:pt>
                <c:pt idx="33">
                  <c:v>5.6802999999999985E-2</c:v>
                </c:pt>
                <c:pt idx="34">
                  <c:v>6.0046999999999989E-2</c:v>
                </c:pt>
                <c:pt idx="35">
                  <c:v>6.3448999999999992E-2</c:v>
                </c:pt>
                <c:pt idx="36">
                  <c:v>6.6795999999999994E-2</c:v>
                </c:pt>
                <c:pt idx="37">
                  <c:v>6.9833999999999993E-2</c:v>
                </c:pt>
                <c:pt idx="38">
                  <c:v>7.2756999999999988E-2</c:v>
                </c:pt>
                <c:pt idx="39">
                  <c:v>7.5931999999999986E-2</c:v>
                </c:pt>
                <c:pt idx="40">
                  <c:v>7.9262999999999986E-2</c:v>
                </c:pt>
                <c:pt idx="41">
                  <c:v>8.1889999999999991E-2</c:v>
                </c:pt>
                <c:pt idx="42">
                  <c:v>8.4228999999999984E-2</c:v>
                </c:pt>
                <c:pt idx="43">
                  <c:v>8.717999999999998E-2</c:v>
                </c:pt>
                <c:pt idx="44">
                  <c:v>9.0780999999999973E-2</c:v>
                </c:pt>
                <c:pt idx="45">
                  <c:v>9.5225999999999977E-2</c:v>
                </c:pt>
                <c:pt idx="46">
                  <c:v>9.9545999999999982E-2</c:v>
                </c:pt>
                <c:pt idx="47">
                  <c:v>0.10398599999999998</c:v>
                </c:pt>
                <c:pt idx="48">
                  <c:v>0.10844199999999998</c:v>
                </c:pt>
                <c:pt idx="49">
                  <c:v>0.11267699999999999</c:v>
                </c:pt>
                <c:pt idx="50">
                  <c:v>0.11740699999999998</c:v>
                </c:pt>
                <c:pt idx="51">
                  <c:v>0.12225799999999998</c:v>
                </c:pt>
                <c:pt idx="52">
                  <c:v>0.12783799999999998</c:v>
                </c:pt>
                <c:pt idx="53">
                  <c:v>0.13392399999999999</c:v>
                </c:pt>
                <c:pt idx="54">
                  <c:v>0.13970099999999999</c:v>
                </c:pt>
                <c:pt idx="55">
                  <c:v>0.145513</c:v>
                </c:pt>
                <c:pt idx="56">
                  <c:v>0.151142</c:v>
                </c:pt>
                <c:pt idx="57">
                  <c:v>0.15698599999999999</c:v>
                </c:pt>
                <c:pt idx="58">
                  <c:v>0.16278499999999999</c:v>
                </c:pt>
                <c:pt idx="59">
                  <c:v>0.16884099999999999</c:v>
                </c:pt>
                <c:pt idx="60">
                  <c:v>0.17516299999999999</c:v>
                </c:pt>
                <c:pt idx="61">
                  <c:v>0.18182599999999999</c:v>
                </c:pt>
                <c:pt idx="62">
                  <c:v>0.18887799999999999</c:v>
                </c:pt>
                <c:pt idx="63">
                  <c:v>0.19614599999999999</c:v>
                </c:pt>
                <c:pt idx="64">
                  <c:v>0.203403</c:v>
                </c:pt>
                <c:pt idx="65">
                  <c:v>0.210927</c:v>
                </c:pt>
                <c:pt idx="66">
                  <c:v>0.21839500000000001</c:v>
                </c:pt>
                <c:pt idx="67">
                  <c:v>0.225629</c:v>
                </c:pt>
                <c:pt idx="68">
                  <c:v>0.23299700000000001</c:v>
                </c:pt>
                <c:pt idx="69">
                  <c:v>0.239847</c:v>
                </c:pt>
                <c:pt idx="70">
                  <c:v>0.246535</c:v>
                </c:pt>
                <c:pt idx="71">
                  <c:v>0.25370999999999999</c:v>
                </c:pt>
                <c:pt idx="72">
                  <c:v>0.261521</c:v>
                </c:pt>
                <c:pt idx="73">
                  <c:v>0.26947199999999999</c:v>
                </c:pt>
                <c:pt idx="74">
                  <c:v>0.27772599999999997</c:v>
                </c:pt>
                <c:pt idx="75">
                  <c:v>0.28608999999999996</c:v>
                </c:pt>
                <c:pt idx="76">
                  <c:v>0.29407799999999995</c:v>
                </c:pt>
                <c:pt idx="77">
                  <c:v>0.30290599999999995</c:v>
                </c:pt>
                <c:pt idx="78">
                  <c:v>0.31206599999999995</c:v>
                </c:pt>
                <c:pt idx="79">
                  <c:v>0.32253599999999993</c:v>
                </c:pt>
                <c:pt idx="80">
                  <c:v>0.33234999999999992</c:v>
                </c:pt>
                <c:pt idx="81">
                  <c:v>0.34323599999999993</c:v>
                </c:pt>
                <c:pt idx="82">
                  <c:v>0.35416999999999993</c:v>
                </c:pt>
                <c:pt idx="83">
                  <c:v>0.3658539999999999</c:v>
                </c:pt>
                <c:pt idx="84">
                  <c:v>0.37963499999999989</c:v>
                </c:pt>
                <c:pt idx="85">
                  <c:v>0.39318399999999987</c:v>
                </c:pt>
                <c:pt idx="86">
                  <c:v>0.40786499999999987</c:v>
                </c:pt>
                <c:pt idx="87">
                  <c:v>0.42431299999999988</c:v>
                </c:pt>
                <c:pt idx="88">
                  <c:v>0.44136999999999987</c:v>
                </c:pt>
                <c:pt idx="89">
                  <c:v>0.46014399999999989</c:v>
                </c:pt>
                <c:pt idx="90">
                  <c:v>0.47799299999999989</c:v>
                </c:pt>
                <c:pt idx="91">
                  <c:v>0.49245230510689575</c:v>
                </c:pt>
                <c:pt idx="92">
                  <c:v>0.50850055936708738</c:v>
                </c:pt>
                <c:pt idx="93">
                  <c:v>0.5265430000666762</c:v>
                </c:pt>
                <c:pt idx="94">
                  <c:v>0.54761747466554955</c:v>
                </c:pt>
                <c:pt idx="95">
                  <c:v>0.57135147468332992</c:v>
                </c:pt>
                <c:pt idx="96">
                  <c:v>0.59730388147918911</c:v>
                </c:pt>
                <c:pt idx="97">
                  <c:v>0.62731476285169618</c:v>
                </c:pt>
                <c:pt idx="98">
                  <c:v>0.65967262728122866</c:v>
                </c:pt>
                <c:pt idx="99">
                  <c:v>0.69690718662609075</c:v>
                </c:pt>
                <c:pt idx="100">
                  <c:v>0.73359945782481195</c:v>
                </c:pt>
                <c:pt idx="101">
                  <c:v>0.77141198326149929</c:v>
                </c:pt>
                <c:pt idx="102">
                  <c:v>0.81014367818571908</c:v>
                </c:pt>
                <c:pt idx="103">
                  <c:v>0.84865147480334735</c:v>
                </c:pt>
                <c:pt idx="104">
                  <c:v>0.89133893244591078</c:v>
                </c:pt>
                <c:pt idx="105">
                  <c:v>0.93731201720523483</c:v>
                </c:pt>
                <c:pt idx="106">
                  <c:v>0.9880011867105476</c:v>
                </c:pt>
                <c:pt idx="107">
                  <c:v>1.0429610341793252</c:v>
                </c:pt>
                <c:pt idx="108">
                  <c:v>1.1011728647006831</c:v>
                </c:pt>
                <c:pt idx="109">
                  <c:v>1.1573394579359395</c:v>
                </c:pt>
                <c:pt idx="110">
                  <c:v>1.2222587799813649</c:v>
                </c:pt>
                <c:pt idx="111">
                  <c:v>1.2916360206676185</c:v>
                </c:pt>
                <c:pt idx="112">
                  <c:v>1.3559798308414044</c:v>
                </c:pt>
                <c:pt idx="113">
                  <c:v>1.4279732288453604</c:v>
                </c:pt>
                <c:pt idx="114">
                  <c:v>1.5053167803052476</c:v>
                </c:pt>
                <c:pt idx="115">
                  <c:v>1.5890447040351914</c:v>
                </c:pt>
                <c:pt idx="116">
                  <c:v>1.6802721820075464</c:v>
                </c:pt>
                <c:pt idx="117">
                  <c:v>1.7767968515039689</c:v>
                </c:pt>
                <c:pt idx="118">
                  <c:v>1.8778187210003914</c:v>
                </c:pt>
                <c:pt idx="119">
                  <c:v>1.9718056851988139</c:v>
                </c:pt>
              </c:numCache>
            </c:numRef>
          </c:yVal>
          <c:smooth val="1"/>
          <c:extLst>
            <c:ext xmlns:c16="http://schemas.microsoft.com/office/drawing/2014/chart" uri="{C3380CC4-5D6E-409C-BE32-E72D297353CC}">
              <c16:uniqueId val="{00000000-5557-2F40-916F-F848C156A1D5}"/>
            </c:ext>
          </c:extLst>
        </c:ser>
        <c:ser>
          <c:idx val="1"/>
          <c:order val="1"/>
          <c:tx>
            <c:strRef>
              <c:f>'Latin America'!$J$10</c:f>
              <c:strCache>
                <c:ptCount val="1"/>
                <c:pt idx="0">
                  <c:v>q l</c:v>
                </c:pt>
              </c:strCache>
            </c:strRef>
          </c:tx>
          <c:spPr>
            <a:ln w="15875">
              <a:solidFill>
                <a:srgbClr val="808080"/>
              </a:solidFill>
              <a:prstDash val="dash"/>
            </a:ln>
          </c:spPr>
          <c:marker>
            <c:symbol val="none"/>
          </c:marker>
          <c:xVal>
            <c:numRef>
              <c:f>'Latin America'!$D$12:$D$200</c:f>
              <c:numCache>
                <c:formatCode>General</c:formatCode>
                <c:ptCount val="189"/>
                <c:pt idx="0">
                  <c:v>1891</c:v>
                </c:pt>
                <c:pt idx="1">
                  <c:v>1892</c:v>
                </c:pt>
                <c:pt idx="2">
                  <c:v>1893</c:v>
                </c:pt>
                <c:pt idx="3">
                  <c:v>1894</c:v>
                </c:pt>
                <c:pt idx="4">
                  <c:v>1895</c:v>
                </c:pt>
                <c:pt idx="5">
                  <c:v>1896</c:v>
                </c:pt>
                <c:pt idx="6">
                  <c:v>1897</c:v>
                </c:pt>
                <c:pt idx="7">
                  <c:v>1898</c:v>
                </c:pt>
                <c:pt idx="8">
                  <c:v>1899</c:v>
                </c:pt>
                <c:pt idx="9">
                  <c:v>1900</c:v>
                </c:pt>
                <c:pt idx="10">
                  <c:v>1901</c:v>
                </c:pt>
                <c:pt idx="11">
                  <c:v>1902</c:v>
                </c:pt>
                <c:pt idx="12">
                  <c:v>1903</c:v>
                </c:pt>
                <c:pt idx="13">
                  <c:v>1904</c:v>
                </c:pt>
                <c:pt idx="14">
                  <c:v>1905</c:v>
                </c:pt>
                <c:pt idx="15">
                  <c:v>1906</c:v>
                </c:pt>
                <c:pt idx="16">
                  <c:v>1907</c:v>
                </c:pt>
                <c:pt idx="17">
                  <c:v>1908</c:v>
                </c:pt>
                <c:pt idx="18">
                  <c:v>1909</c:v>
                </c:pt>
                <c:pt idx="19">
                  <c:v>1910</c:v>
                </c:pt>
                <c:pt idx="20">
                  <c:v>1911</c:v>
                </c:pt>
                <c:pt idx="21">
                  <c:v>1912</c:v>
                </c:pt>
                <c:pt idx="22">
                  <c:v>1913</c:v>
                </c:pt>
                <c:pt idx="23">
                  <c:v>1914</c:v>
                </c:pt>
                <c:pt idx="24">
                  <c:v>1915</c:v>
                </c:pt>
                <c:pt idx="25">
                  <c:v>1916</c:v>
                </c:pt>
                <c:pt idx="26">
                  <c:v>1917</c:v>
                </c:pt>
                <c:pt idx="27">
                  <c:v>1918</c:v>
                </c:pt>
                <c:pt idx="28">
                  <c:v>1919</c:v>
                </c:pt>
                <c:pt idx="29">
                  <c:v>1920</c:v>
                </c:pt>
                <c:pt idx="30">
                  <c:v>1921</c:v>
                </c:pt>
                <c:pt idx="31">
                  <c:v>1922</c:v>
                </c:pt>
                <c:pt idx="32">
                  <c:v>1923</c:v>
                </c:pt>
                <c:pt idx="33">
                  <c:v>1924</c:v>
                </c:pt>
                <c:pt idx="34">
                  <c:v>1925</c:v>
                </c:pt>
                <c:pt idx="35">
                  <c:v>1926</c:v>
                </c:pt>
                <c:pt idx="36">
                  <c:v>1927</c:v>
                </c:pt>
                <c:pt idx="37">
                  <c:v>1928</c:v>
                </c:pt>
                <c:pt idx="38">
                  <c:v>1929</c:v>
                </c:pt>
                <c:pt idx="39">
                  <c:v>1930</c:v>
                </c:pt>
                <c:pt idx="40">
                  <c:v>1931</c:v>
                </c:pt>
                <c:pt idx="41">
                  <c:v>1932</c:v>
                </c:pt>
                <c:pt idx="42">
                  <c:v>1933</c:v>
                </c:pt>
                <c:pt idx="43">
                  <c:v>1934</c:v>
                </c:pt>
                <c:pt idx="44">
                  <c:v>1935</c:v>
                </c:pt>
                <c:pt idx="45">
                  <c:v>1936</c:v>
                </c:pt>
                <c:pt idx="46">
                  <c:v>1937</c:v>
                </c:pt>
                <c:pt idx="47">
                  <c:v>1938</c:v>
                </c:pt>
                <c:pt idx="48">
                  <c:v>1939</c:v>
                </c:pt>
                <c:pt idx="49">
                  <c:v>1940</c:v>
                </c:pt>
                <c:pt idx="50">
                  <c:v>1941</c:v>
                </c:pt>
                <c:pt idx="51">
                  <c:v>1942</c:v>
                </c:pt>
                <c:pt idx="52">
                  <c:v>1943</c:v>
                </c:pt>
                <c:pt idx="53">
                  <c:v>1944</c:v>
                </c:pt>
                <c:pt idx="54">
                  <c:v>1945</c:v>
                </c:pt>
                <c:pt idx="55">
                  <c:v>1946</c:v>
                </c:pt>
                <c:pt idx="56">
                  <c:v>1947</c:v>
                </c:pt>
                <c:pt idx="57">
                  <c:v>1948</c:v>
                </c:pt>
                <c:pt idx="58">
                  <c:v>1949</c:v>
                </c:pt>
                <c:pt idx="59">
                  <c:v>1950</c:v>
                </c:pt>
                <c:pt idx="60">
                  <c:v>1951</c:v>
                </c:pt>
                <c:pt idx="61">
                  <c:v>1952</c:v>
                </c:pt>
                <c:pt idx="62">
                  <c:v>1953</c:v>
                </c:pt>
                <c:pt idx="63">
                  <c:v>1954</c:v>
                </c:pt>
                <c:pt idx="64">
                  <c:v>1955</c:v>
                </c:pt>
                <c:pt idx="65">
                  <c:v>1956</c:v>
                </c:pt>
                <c:pt idx="66">
                  <c:v>1957</c:v>
                </c:pt>
                <c:pt idx="67">
                  <c:v>1958</c:v>
                </c:pt>
                <c:pt idx="68">
                  <c:v>1959</c:v>
                </c:pt>
                <c:pt idx="69">
                  <c:v>1960</c:v>
                </c:pt>
                <c:pt idx="70">
                  <c:v>1961</c:v>
                </c:pt>
                <c:pt idx="71">
                  <c:v>1962</c:v>
                </c:pt>
                <c:pt idx="72">
                  <c:v>1963</c:v>
                </c:pt>
                <c:pt idx="73">
                  <c:v>1964</c:v>
                </c:pt>
                <c:pt idx="74">
                  <c:v>1965</c:v>
                </c:pt>
                <c:pt idx="75">
                  <c:v>1966</c:v>
                </c:pt>
                <c:pt idx="76">
                  <c:v>1967</c:v>
                </c:pt>
                <c:pt idx="77">
                  <c:v>1968</c:v>
                </c:pt>
                <c:pt idx="78">
                  <c:v>1969</c:v>
                </c:pt>
                <c:pt idx="79">
                  <c:v>1970</c:v>
                </c:pt>
                <c:pt idx="80">
                  <c:v>1971</c:v>
                </c:pt>
                <c:pt idx="81">
                  <c:v>1972</c:v>
                </c:pt>
                <c:pt idx="82">
                  <c:v>1973</c:v>
                </c:pt>
                <c:pt idx="83">
                  <c:v>1974</c:v>
                </c:pt>
                <c:pt idx="84">
                  <c:v>1975</c:v>
                </c:pt>
                <c:pt idx="85">
                  <c:v>1976</c:v>
                </c:pt>
                <c:pt idx="86">
                  <c:v>1977</c:v>
                </c:pt>
                <c:pt idx="87">
                  <c:v>1978</c:v>
                </c:pt>
                <c:pt idx="88">
                  <c:v>1979</c:v>
                </c:pt>
                <c:pt idx="89">
                  <c:v>1980</c:v>
                </c:pt>
                <c:pt idx="90">
                  <c:v>1981</c:v>
                </c:pt>
                <c:pt idx="91">
                  <c:v>1982</c:v>
                </c:pt>
                <c:pt idx="92">
                  <c:v>1983</c:v>
                </c:pt>
                <c:pt idx="93">
                  <c:v>1984</c:v>
                </c:pt>
                <c:pt idx="94">
                  <c:v>1985</c:v>
                </c:pt>
                <c:pt idx="95">
                  <c:v>1986</c:v>
                </c:pt>
                <c:pt idx="96">
                  <c:v>1987</c:v>
                </c:pt>
                <c:pt idx="97">
                  <c:v>1988</c:v>
                </c:pt>
                <c:pt idx="98">
                  <c:v>1989</c:v>
                </c:pt>
                <c:pt idx="99">
                  <c:v>1990</c:v>
                </c:pt>
                <c:pt idx="100">
                  <c:v>1991</c:v>
                </c:pt>
                <c:pt idx="101">
                  <c:v>1992</c:v>
                </c:pt>
                <c:pt idx="102">
                  <c:v>1993</c:v>
                </c:pt>
                <c:pt idx="103">
                  <c:v>1994</c:v>
                </c:pt>
                <c:pt idx="104">
                  <c:v>1995</c:v>
                </c:pt>
                <c:pt idx="105">
                  <c:v>1996</c:v>
                </c:pt>
                <c:pt idx="106">
                  <c:v>1997</c:v>
                </c:pt>
                <c:pt idx="107">
                  <c:v>1998</c:v>
                </c:pt>
                <c:pt idx="108">
                  <c:v>1999</c:v>
                </c:pt>
                <c:pt idx="109">
                  <c:v>2000</c:v>
                </c:pt>
                <c:pt idx="110">
                  <c:v>2001</c:v>
                </c:pt>
                <c:pt idx="111">
                  <c:v>2002</c:v>
                </c:pt>
                <c:pt idx="112">
                  <c:v>2003</c:v>
                </c:pt>
                <c:pt idx="113">
                  <c:v>2004</c:v>
                </c:pt>
                <c:pt idx="114">
                  <c:v>2005</c:v>
                </c:pt>
                <c:pt idx="115">
                  <c:v>2006</c:v>
                </c:pt>
                <c:pt idx="116">
                  <c:v>2007</c:v>
                </c:pt>
                <c:pt idx="117">
                  <c:v>2008</c:v>
                </c:pt>
                <c:pt idx="118">
                  <c:v>2009</c:v>
                </c:pt>
                <c:pt idx="119">
                  <c:v>2010</c:v>
                </c:pt>
                <c:pt idx="120">
                  <c:v>2011</c:v>
                </c:pt>
                <c:pt idx="121">
                  <c:v>2012</c:v>
                </c:pt>
                <c:pt idx="122">
                  <c:v>2013</c:v>
                </c:pt>
                <c:pt idx="123">
                  <c:v>2014</c:v>
                </c:pt>
                <c:pt idx="124">
                  <c:v>2015</c:v>
                </c:pt>
                <c:pt idx="125">
                  <c:v>2016</c:v>
                </c:pt>
                <c:pt idx="126">
                  <c:v>2017</c:v>
                </c:pt>
                <c:pt idx="127">
                  <c:v>2018</c:v>
                </c:pt>
                <c:pt idx="128">
                  <c:v>2019</c:v>
                </c:pt>
                <c:pt idx="129">
                  <c:v>2020</c:v>
                </c:pt>
                <c:pt idx="130">
                  <c:v>2021</c:v>
                </c:pt>
                <c:pt idx="131">
                  <c:v>2022</c:v>
                </c:pt>
                <c:pt idx="132">
                  <c:v>2023</c:v>
                </c:pt>
                <c:pt idx="133">
                  <c:v>2024</c:v>
                </c:pt>
                <c:pt idx="134">
                  <c:v>2025</c:v>
                </c:pt>
                <c:pt idx="135">
                  <c:v>2026</c:v>
                </c:pt>
                <c:pt idx="136">
                  <c:v>2027</c:v>
                </c:pt>
                <c:pt idx="137">
                  <c:v>2028</c:v>
                </c:pt>
                <c:pt idx="138">
                  <c:v>2029</c:v>
                </c:pt>
                <c:pt idx="139">
                  <c:v>2030</c:v>
                </c:pt>
                <c:pt idx="140">
                  <c:v>2031</c:v>
                </c:pt>
                <c:pt idx="141">
                  <c:v>2032</c:v>
                </c:pt>
                <c:pt idx="142">
                  <c:v>2033</c:v>
                </c:pt>
                <c:pt idx="143">
                  <c:v>2034</c:v>
                </c:pt>
                <c:pt idx="144">
                  <c:v>2035</c:v>
                </c:pt>
                <c:pt idx="145">
                  <c:v>2036</c:v>
                </c:pt>
                <c:pt idx="146">
                  <c:v>2037</c:v>
                </c:pt>
                <c:pt idx="147">
                  <c:v>2038</c:v>
                </c:pt>
                <c:pt idx="148">
                  <c:v>2039</c:v>
                </c:pt>
                <c:pt idx="149">
                  <c:v>2040</c:v>
                </c:pt>
                <c:pt idx="150">
                  <c:v>2041</c:v>
                </c:pt>
                <c:pt idx="151">
                  <c:v>2042</c:v>
                </c:pt>
                <c:pt idx="152">
                  <c:v>2043</c:v>
                </c:pt>
                <c:pt idx="153">
                  <c:v>2044</c:v>
                </c:pt>
                <c:pt idx="154">
                  <c:v>2045</c:v>
                </c:pt>
                <c:pt idx="155">
                  <c:v>2046</c:v>
                </c:pt>
                <c:pt idx="156">
                  <c:v>2047</c:v>
                </c:pt>
                <c:pt idx="157">
                  <c:v>2048</c:v>
                </c:pt>
                <c:pt idx="158">
                  <c:v>2049</c:v>
                </c:pt>
                <c:pt idx="159">
                  <c:v>2050</c:v>
                </c:pt>
                <c:pt idx="160">
                  <c:v>2051</c:v>
                </c:pt>
                <c:pt idx="161">
                  <c:v>2052</c:v>
                </c:pt>
                <c:pt idx="162">
                  <c:v>2053</c:v>
                </c:pt>
                <c:pt idx="163">
                  <c:v>2054</c:v>
                </c:pt>
                <c:pt idx="164">
                  <c:v>2055</c:v>
                </c:pt>
                <c:pt idx="165">
                  <c:v>2056</c:v>
                </c:pt>
                <c:pt idx="166">
                  <c:v>2057</c:v>
                </c:pt>
                <c:pt idx="167">
                  <c:v>2058</c:v>
                </c:pt>
                <c:pt idx="168">
                  <c:v>2059</c:v>
                </c:pt>
                <c:pt idx="169">
                  <c:v>2060</c:v>
                </c:pt>
                <c:pt idx="170">
                  <c:v>2061</c:v>
                </c:pt>
                <c:pt idx="171">
                  <c:v>2062</c:v>
                </c:pt>
                <c:pt idx="172">
                  <c:v>2063</c:v>
                </c:pt>
                <c:pt idx="173">
                  <c:v>2064</c:v>
                </c:pt>
                <c:pt idx="174">
                  <c:v>2065</c:v>
                </c:pt>
                <c:pt idx="175">
                  <c:v>2066</c:v>
                </c:pt>
                <c:pt idx="176">
                  <c:v>2067</c:v>
                </c:pt>
                <c:pt idx="177">
                  <c:v>2068</c:v>
                </c:pt>
                <c:pt idx="178">
                  <c:v>2069</c:v>
                </c:pt>
                <c:pt idx="179">
                  <c:v>2070</c:v>
                </c:pt>
                <c:pt idx="180">
                  <c:v>2071</c:v>
                </c:pt>
                <c:pt idx="181">
                  <c:v>2072</c:v>
                </c:pt>
                <c:pt idx="182">
                  <c:v>2073</c:v>
                </c:pt>
                <c:pt idx="183">
                  <c:v>2074</c:v>
                </c:pt>
                <c:pt idx="184">
                  <c:v>2075</c:v>
                </c:pt>
                <c:pt idx="185">
                  <c:v>2076</c:v>
                </c:pt>
                <c:pt idx="186">
                  <c:v>2077</c:v>
                </c:pt>
                <c:pt idx="187">
                  <c:v>2078</c:v>
                </c:pt>
                <c:pt idx="188">
                  <c:v>2079</c:v>
                </c:pt>
              </c:numCache>
            </c:numRef>
          </c:xVal>
          <c:yVal>
            <c:numRef>
              <c:f>'Latin America'!$J$12:$J$200</c:f>
              <c:numCache>
                <c:formatCode>0.0</c:formatCode>
                <c:ptCount val="189"/>
                <c:pt idx="94">
                  <c:v>0.55808124936086179</c:v>
                </c:pt>
                <c:pt idx="95">
                  <c:v>0.58878400930123342</c:v>
                </c:pt>
                <c:pt idx="96">
                  <c:v>0.62111922206072867</c:v>
                </c:pt>
                <c:pt idx="97">
                  <c:v>0.65516730797812606</c:v>
                </c:pt>
                <c:pt idx="98">
                  <c:v>0.69101193347518464</c:v>
                </c:pt>
                <c:pt idx="99">
                  <c:v>0.72874006001893221</c:v>
                </c:pt>
                <c:pt idx="100">
                  <c:v>0.76844198313588796</c:v>
                </c:pt>
                <c:pt idx="101">
                  <c:v>0.81021135991222482</c:v>
                </c:pt>
                <c:pt idx="102">
                  <c:v>0.85414522328017017</c:v>
                </c:pt>
                <c:pt idx="103">
                  <c:v>0.90034398125413817</c:v>
                </c:pt>
                <c:pt idx="104">
                  <c:v>0.94891139914159761</c:v>
                </c:pt>
                <c:pt idx="105">
                  <c:v>0.99995456261527582</c:v>
                </c:pt>
                <c:pt idx="106">
                  <c:v>1.0535838193970966</c:v>
                </c:pt>
                <c:pt idx="107">
                  <c:v>1.1099126971728277</c:v>
                </c:pt>
                <c:pt idx="108">
                  <c:v>1.1690577952327248</c:v>
                </c:pt>
                <c:pt idx="109">
                  <c:v>1.2311386472210168</c:v>
                </c:pt>
                <c:pt idx="110">
                  <c:v>1.2962775522798575</c:v>
                </c:pt>
                <c:pt idx="111">
                  <c:v>1.364599371795892</c:v>
                </c:pt>
                <c:pt idx="112">
                  <c:v>1.4362312889049582</c:v>
                </c:pt>
                <c:pt idx="113">
                  <c:v>1.5113025278882086</c:v>
                </c:pt>
                <c:pt idx="114">
                  <c:v>1.5899440306073562</c:v>
                </c:pt>
                <c:pt idx="115">
                  <c:v>1.6722880871843371</c:v>
                </c:pt>
                <c:pt idx="116">
                  <c:v>1.7584679182385377</c:v>
                </c:pt>
                <c:pt idx="117">
                  <c:v>1.8486172061603046</c:v>
                </c:pt>
                <c:pt idx="118">
                  <c:v>1.9428695731301935</c:v>
                </c:pt>
                <c:pt idx="119">
                  <c:v>2.0413580038970305</c:v>
                </c:pt>
                <c:pt idx="120">
                  <c:v>2.1442142117117524</c:v>
                </c:pt>
                <c:pt idx="121">
                  <c:v>2.2515679462851979</c:v>
                </c:pt>
                <c:pt idx="122">
                  <c:v>2.3635462432027059</c:v>
                </c:pt>
                <c:pt idx="123">
                  <c:v>2.4802726148918732</c:v>
                </c:pt>
                <c:pt idx="124">
                  <c:v>2.6018661840057469</c:v>
                </c:pt>
                <c:pt idx="125">
                  <c:v>2.7284407609538395</c:v>
                </c:pt>
                <c:pt idx="126">
                  <c:v>2.8601038682872857</c:v>
                </c:pt>
                <c:pt idx="127">
                  <c:v>2.99695571571851</c:v>
                </c:pt>
                <c:pt idx="128">
                  <c:v>3.1390881307235157</c:v>
                </c:pt>
                <c:pt idx="129">
                  <c:v>3.2865834509255762</c:v>
                </c:pt>
                <c:pt idx="130">
                  <c:v>3.4395133857780911</c:v>
                </c:pt>
                <c:pt idx="131">
                  <c:v>3.5979378564324507</c:v>
                </c:pt>
                <c:pt idx="132">
                  <c:v>3.7619038240697535</c:v>
                </c:pt>
                <c:pt idx="133">
                  <c:v>3.9314441183644622</c:v>
                </c:pt>
                <c:pt idx="134">
                  <c:v>4.1065762790998539</c:v>
                </c:pt>
                <c:pt idx="135">
                  <c:v>4.2873014252313473</c:v>
                </c:pt>
                <c:pt idx="136">
                  <c:v>4.4736031668528131</c:v>
                </c:pt>
                <c:pt idx="137">
                  <c:v>4.6654465765176276</c:v>
                </c:pt>
                <c:pt idx="138">
                  <c:v>4.8627772371540701</c:v>
                </c:pt>
                <c:pt idx="139">
                  <c:v>5.0655203843462013</c:v>
                </c:pt>
                <c:pt idx="140">
                  <c:v>5.2735801609809734</c:v>
                </c:pt>
                <c:pt idx="141">
                  <c:v>5.4868390021467794</c:v>
                </c:pt>
                <c:pt idx="142">
                  <c:v>5.7051571676708699</c:v>
                </c:pt>
                <c:pt idx="143">
                  <c:v>5.9283724387724845</c:v>
                </c:pt>
                <c:pt idx="144">
                  <c:v>6.1562999939649563</c:v>
                </c:pt>
                <c:pt idx="145">
                  <c:v>6.3887324775544236</c:v>
                </c:pt>
                <c:pt idx="146">
                  <c:v>6.6254402718598193</c:v>
                </c:pt>
                <c:pt idx="147">
                  <c:v>6.8661719816378746</c:v>
                </c:pt>
                <c:pt idx="148">
                  <c:v>7.1106551361732766</c:v>
                </c:pt>
                <c:pt idx="149">
                  <c:v>7.3585971111389625</c:v>
                </c:pt>
                <c:pt idx="150">
                  <c:v>7.6096862687115463</c:v>
                </c:pt>
                <c:pt idx="151">
                  <c:v>7.8635933106229299</c:v>
                </c:pt>
                <c:pt idx="152">
                  <c:v>8.1199728349343552</c:v>
                </c:pt>
                <c:pt idx="153">
                  <c:v>8.3784650834358185</c:v>
                </c:pt>
                <c:pt idx="154">
                  <c:v>8.6386978628100373</c:v>
                </c:pt>
                <c:pt idx="155">
                  <c:v>8.9002886191660693</c:v>
                </c:pt>
                <c:pt idx="156">
                  <c:v>9.1628466423503117</c:v>
                </c:pt>
                <c:pt idx="157">
                  <c:v>9.425975373682375</c:v>
                </c:pt>
                <c:pt idx="158">
                  <c:v>9.6892747885287047</c:v>
                </c:pt>
                <c:pt idx="159">
                  <c:v>9.9523438234910842</c:v>
                </c:pt>
                <c:pt idx="160">
                  <c:v>10.21478281700464</c:v>
                </c:pt>
                <c:pt idx="161">
                  <c:v>10.476195931843591</c:v>
                </c:pt>
                <c:pt idx="162">
                  <c:v>10.736193528432795</c:v>
                </c:pt>
                <c:pt idx="163">
                  <c:v>10.99439445894544</c:v>
                </c:pt>
                <c:pt idx="164">
                  <c:v>11.250428253896221</c:v>
                </c:pt>
                <c:pt idx="165">
                  <c:v>11.503937175257192</c:v>
                </c:pt>
                <c:pt idx="166">
                  <c:v>11.754578112954821</c:v>
                </c:pt>
                <c:pt idx="167">
                  <c:v>12.002024304860814</c:v>
                </c:pt>
                <c:pt idx="168">
                  <c:v>12.245966863964554</c:v>
                </c:pt>
                <c:pt idx="169">
                  <c:v>12.486116100203402</c:v>
                </c:pt>
                <c:pt idx="170">
                  <c:v>12.722202628319009</c:v>
                </c:pt>
                <c:pt idx="171">
                  <c:v>12.95397825699529</c:v>
                </c:pt>
                <c:pt idx="172">
                  <c:v>13.181216658315916</c:v>
                </c:pt>
                <c:pt idx="173">
                  <c:v>13.403713820164532</c:v>
                </c:pt>
                <c:pt idx="174">
                  <c:v>13.621288287500494</c:v>
                </c:pt>
                <c:pt idx="175">
                  <c:v>13.833781201412537</c:v>
                </c:pt>
                <c:pt idx="176">
                  <c:v>14.041056147433085</c:v>
                </c:pt>
                <c:pt idx="177">
                  <c:v>14.242998826754851</c:v>
                </c:pt>
                <c:pt idx="178">
                  <c:v>14.439516565710944</c:v>
                </c:pt>
                <c:pt idx="179">
                  <c:v>14.630537680158051</c:v>
                </c:pt>
                <c:pt idx="180">
                  <c:v>14.816010712249698</c:v>
                </c:pt>
                <c:pt idx="181">
                  <c:v>14.995903557525486</c:v>
                </c:pt>
                <c:pt idx="182">
                  <c:v>15.170202500303661</c:v>
                </c:pt>
                <c:pt idx="183">
                  <c:v>15.338911175087098</c:v>
                </c:pt>
                <c:pt idx="184">
                  <c:v>15.502049471120017</c:v>
                </c:pt>
                <c:pt idx="185">
                  <c:v>15.659652396410937</c:v>
                </c:pt>
                <c:pt idx="186">
                  <c:v>15.811768916513476</c:v>
                </c:pt>
                <c:pt idx="187">
                  <c:v>15.958460782177411</c:v>
                </c:pt>
                <c:pt idx="188">
                  <c:v>16.099801358692428</c:v>
                </c:pt>
              </c:numCache>
            </c:numRef>
          </c:yVal>
          <c:smooth val="1"/>
          <c:extLst>
            <c:ext xmlns:c16="http://schemas.microsoft.com/office/drawing/2014/chart" uri="{C3380CC4-5D6E-409C-BE32-E72D297353CC}">
              <c16:uniqueId val="{00000001-5557-2F40-916F-F848C156A1D5}"/>
            </c:ext>
          </c:extLst>
        </c:ser>
        <c:ser>
          <c:idx val="2"/>
          <c:order val="2"/>
          <c:tx>
            <c:strRef>
              <c:f>'Latin America'!$O$10</c:f>
              <c:strCache>
                <c:ptCount val="1"/>
                <c:pt idx="0">
                  <c:v>Q reserves (2 year reference except IGC)</c:v>
                </c:pt>
              </c:strCache>
            </c:strRef>
          </c:tx>
          <c:spPr>
            <a:ln w="15875">
              <a:noFill/>
            </a:ln>
          </c:spPr>
          <c:marker>
            <c:symbol val="circle"/>
            <c:size val="6"/>
            <c:spPr>
              <a:noFill/>
              <a:ln>
                <a:solidFill>
                  <a:srgbClr val="333399"/>
                </a:solidFill>
              </a:ln>
            </c:spPr>
          </c:marker>
          <c:xVal>
            <c:numRef>
              <c:f>'Latin America'!$N$11:$N$103</c:f>
              <c:numCache>
                <c:formatCode>General</c:formatCode>
                <c:ptCount val="93"/>
                <c:pt idx="0">
                  <c:v>1913</c:v>
                </c:pt>
                <c:pt idx="1">
                  <c:v>1962</c:v>
                </c:pt>
                <c:pt idx="2">
                  <c:v>1968</c:v>
                </c:pt>
                <c:pt idx="3">
                  <c:v>1980</c:v>
                </c:pt>
                <c:pt idx="4">
                  <c:v>1986</c:v>
                </c:pt>
                <c:pt idx="5" formatCode="0">
                  <c:v>1989</c:v>
                </c:pt>
                <c:pt idx="6" formatCode="0">
                  <c:v>1992</c:v>
                </c:pt>
                <c:pt idx="7" formatCode="0">
                  <c:v>1995</c:v>
                </c:pt>
                <c:pt idx="8" formatCode="0">
                  <c:v>1998</c:v>
                </c:pt>
                <c:pt idx="9" formatCode="0">
                  <c:v>2001</c:v>
                </c:pt>
                <c:pt idx="10" formatCode="0">
                  <c:v>2004</c:v>
                </c:pt>
                <c:pt idx="11" formatCode="0">
                  <c:v>2007</c:v>
                </c:pt>
                <c:pt idx="12">
                  <c:v>2010</c:v>
                </c:pt>
              </c:numCache>
            </c:numRef>
          </c:xVal>
          <c:yVal>
            <c:numRef>
              <c:f>'Latin America'!$O$11:$O$103</c:f>
              <c:numCache>
                <c:formatCode>0.0</c:formatCode>
                <c:ptCount val="93"/>
                <c:pt idx="0">
                  <c:v>32.133452000000005</c:v>
                </c:pt>
                <c:pt idx="1">
                  <c:v>23.802535000000002</c:v>
                </c:pt>
                <c:pt idx="2">
                  <c:v>39.989378000000002</c:v>
                </c:pt>
                <c:pt idx="3">
                  <c:v>5.1190699999999998</c:v>
                </c:pt>
                <c:pt idx="4">
                  <c:v>7.5423974746655498</c:v>
                </c:pt>
                <c:pt idx="5">
                  <c:v>16.235314762851697</c:v>
                </c:pt>
                <c:pt idx="6">
                  <c:v>12.141599457824812</c:v>
                </c:pt>
                <c:pt idx="7">
                  <c:v>12.256651474803347</c:v>
                </c:pt>
                <c:pt idx="8">
                  <c:v>23.773001186710548</c:v>
                </c:pt>
                <c:pt idx="9">
                  <c:v>24.120339457935938</c:v>
                </c:pt>
                <c:pt idx="10">
                  <c:v>22.459979830841405</c:v>
                </c:pt>
                <c:pt idx="11">
                  <c:v>19.076044704035191</c:v>
                </c:pt>
                <c:pt idx="12">
                  <c:v>15.596818721000391</c:v>
                </c:pt>
              </c:numCache>
            </c:numRef>
          </c:yVal>
          <c:smooth val="1"/>
          <c:extLst>
            <c:ext xmlns:c16="http://schemas.microsoft.com/office/drawing/2014/chart" uri="{C3380CC4-5D6E-409C-BE32-E72D297353CC}">
              <c16:uniqueId val="{00000002-5557-2F40-916F-F848C156A1D5}"/>
            </c:ext>
          </c:extLst>
        </c:ser>
        <c:dLbls>
          <c:showLegendKey val="0"/>
          <c:showVal val="0"/>
          <c:showCatName val="0"/>
          <c:showSerName val="0"/>
          <c:showPercent val="0"/>
          <c:showBubbleSize val="0"/>
        </c:dLbls>
        <c:axId val="138160000"/>
        <c:axId val="138167040"/>
      </c:scatterChart>
      <c:valAx>
        <c:axId val="138160000"/>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8167040"/>
        <c:crosses val="autoZero"/>
        <c:crossBetween val="midCat"/>
        <c:majorUnit val="50"/>
        <c:minorUnit val="10"/>
      </c:valAx>
      <c:valAx>
        <c:axId val="138167040"/>
        <c:scaling>
          <c:orientation val="minMax"/>
          <c:max val="40"/>
          <c:min val="0"/>
        </c:scaling>
        <c:delete val="0"/>
        <c:axPos val="r"/>
        <c:title>
          <c:tx>
            <c:rich>
              <a:bodyPr rot="-5400000" vert="horz"/>
              <a:lstStyle/>
              <a:p>
                <a:pPr>
                  <a:defRPr sz="1200" b="0">
                    <a:solidFill>
                      <a:srgbClr val="333399"/>
                    </a:solidFill>
                  </a:defRPr>
                </a:pPr>
                <a:r>
                  <a:rPr lang="en-US" sz="1200" b="0">
                    <a:solidFill>
                      <a:srgbClr val="333399"/>
                    </a:solidFill>
                  </a:rPr>
                  <a:t>Cumulative production, Gt</a:t>
                </a:r>
              </a:p>
            </c:rich>
          </c:tx>
          <c:layout>
            <c:manualLayout>
              <c:xMode val="edge"/>
              <c:yMode val="edge"/>
              <c:x val="0.96240681576144838"/>
              <c:y val="0.13136920384951883"/>
            </c:manualLayout>
          </c:layout>
          <c:overlay val="0"/>
        </c:title>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8160000"/>
        <c:crosses val="max"/>
        <c:crossBetween val="midCat"/>
        <c:majorUnit val="2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31656270238945E-2"/>
          <c:y val="5.7060002916302532E-2"/>
          <c:w val="0.82859665269115479"/>
          <c:h val="0.77264654418197765"/>
        </c:manualLayout>
      </c:layout>
      <c:scatterChart>
        <c:scatterStyle val="smoothMarker"/>
        <c:varyColors val="0"/>
        <c:ser>
          <c:idx val="0"/>
          <c:order val="0"/>
          <c:tx>
            <c:strRef>
              <c:f>'United States'!$L$2</c:f>
              <c:strCache>
                <c:ptCount val="1"/>
                <c:pt idx="0">
                  <c:v>Q reserves</c:v>
                </c:pt>
              </c:strCache>
            </c:strRef>
          </c:tx>
          <c:spPr>
            <a:ln w="15875">
              <a:noFill/>
            </a:ln>
          </c:spPr>
          <c:marker>
            <c:symbol val="circle"/>
            <c:size val="6"/>
            <c:spPr>
              <a:noFill/>
              <a:ln>
                <a:solidFill>
                  <a:srgbClr val="333399"/>
                </a:solidFill>
              </a:ln>
            </c:spPr>
          </c:marker>
          <c:xVal>
            <c:numRef>
              <c:f>'United States'!$K$3:$K$23</c:f>
              <c:numCache>
                <c:formatCode>General</c:formatCode>
                <c:ptCount val="21"/>
                <c:pt idx="0">
                  <c:v>1913</c:v>
                </c:pt>
                <c:pt idx="1">
                  <c:v>1936</c:v>
                </c:pt>
                <c:pt idx="2">
                  <c:v>1937</c:v>
                </c:pt>
                <c:pt idx="3">
                  <c:v>1938</c:v>
                </c:pt>
                <c:pt idx="4">
                  <c:v>1948</c:v>
                </c:pt>
                <c:pt idx="5">
                  <c:v>1950</c:v>
                </c:pt>
                <c:pt idx="6">
                  <c:v>1954</c:v>
                </c:pt>
                <c:pt idx="7">
                  <c:v>1958</c:v>
                </c:pt>
                <c:pt idx="8">
                  <c:v>1960</c:v>
                </c:pt>
                <c:pt idx="9">
                  <c:v>1962</c:v>
                </c:pt>
                <c:pt idx="10">
                  <c:v>1974</c:v>
                </c:pt>
                <c:pt idx="11">
                  <c:v>1980</c:v>
                </c:pt>
                <c:pt idx="12">
                  <c:v>1986</c:v>
                </c:pt>
                <c:pt idx="13">
                  <c:v>1989</c:v>
                </c:pt>
                <c:pt idx="14">
                  <c:v>1992</c:v>
                </c:pt>
                <c:pt idx="15">
                  <c:v>1995</c:v>
                </c:pt>
                <c:pt idx="16">
                  <c:v>1998</c:v>
                </c:pt>
                <c:pt idx="17">
                  <c:v>2001</c:v>
                </c:pt>
                <c:pt idx="18">
                  <c:v>2004</c:v>
                </c:pt>
                <c:pt idx="19">
                  <c:v>2007</c:v>
                </c:pt>
                <c:pt idx="20">
                  <c:v>2010</c:v>
                </c:pt>
              </c:numCache>
            </c:numRef>
          </c:xVal>
          <c:yVal>
            <c:numRef>
              <c:f>'United States'!$L$3:$L$23</c:f>
              <c:numCache>
                <c:formatCode>#,##0</c:formatCode>
                <c:ptCount val="21"/>
                <c:pt idx="0">
                  <c:v>3847.6307159623266</c:v>
                </c:pt>
                <c:pt idx="1">
                  <c:v>2929.6319102151915</c:v>
                </c:pt>
                <c:pt idx="2">
                  <c:v>2929.3529003732619</c:v>
                </c:pt>
                <c:pt idx="3">
                  <c:v>2923.0050864717155</c:v>
                </c:pt>
                <c:pt idx="4">
                  <c:v>2992.6713003133023</c:v>
                </c:pt>
                <c:pt idx="5">
                  <c:v>2924.3344398244449</c:v>
                </c:pt>
                <c:pt idx="6">
                  <c:v>1751.9419848944124</c:v>
                </c:pt>
                <c:pt idx="7">
                  <c:v>1751.5906412249367</c:v>
                </c:pt>
                <c:pt idx="8">
                  <c:v>1703.526524857574</c:v>
                </c:pt>
                <c:pt idx="9">
                  <c:v>1131.9245756246482</c:v>
                </c:pt>
                <c:pt idx="10">
                  <c:v>219.49636897140246</c:v>
                </c:pt>
                <c:pt idx="11">
                  <c:v>262.07078428442321</c:v>
                </c:pt>
                <c:pt idx="12">
                  <c:v>309.60169386480305</c:v>
                </c:pt>
                <c:pt idx="13">
                  <c:v>263.4424829168359</c:v>
                </c:pt>
                <c:pt idx="14">
                  <c:v>291.44781325241962</c:v>
                </c:pt>
                <c:pt idx="15">
                  <c:v>294.11098656783264</c:v>
                </c:pt>
                <c:pt idx="16">
                  <c:v>303.0357780646649</c:v>
                </c:pt>
                <c:pt idx="17">
                  <c:v>309.38765300170968</c:v>
                </c:pt>
                <c:pt idx="18">
                  <c:v>309.02635599949531</c:v>
                </c:pt>
                <c:pt idx="19">
                  <c:v>308.11199051428582</c:v>
                </c:pt>
                <c:pt idx="20">
                  <c:v>305.84378073146144</c:v>
                </c:pt>
              </c:numCache>
            </c:numRef>
          </c:yVal>
          <c:smooth val="1"/>
          <c:extLst>
            <c:ext xmlns:c16="http://schemas.microsoft.com/office/drawing/2014/chart" uri="{C3380CC4-5D6E-409C-BE32-E72D297353CC}">
              <c16:uniqueId val="{00000000-17A3-244E-960C-6874C7164352}"/>
            </c:ext>
          </c:extLst>
        </c:ser>
        <c:ser>
          <c:idx val="1"/>
          <c:order val="1"/>
          <c:tx>
            <c:strRef>
              <c:f>'United States'!$G$2</c:f>
              <c:strCache>
                <c:ptCount val="1"/>
                <c:pt idx="0">
                  <c:v>Q sum</c:v>
                </c:pt>
              </c:strCache>
            </c:strRef>
          </c:tx>
          <c:spPr>
            <a:ln w="15875">
              <a:solidFill>
                <a:srgbClr val="333399"/>
              </a:solidFill>
            </a:ln>
          </c:spPr>
          <c:marker>
            <c:symbol val="none"/>
          </c:marker>
          <c:xVal>
            <c:numRef>
              <c:f>'United States'!$D$199:$D$213</c:f>
              <c:numCache>
                <c:formatCode>General</c:formatCode>
                <c:ptCount val="15"/>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numCache>
            </c:numRef>
          </c:xVal>
          <c:yVal>
            <c:numRef>
              <c:f>'United States'!$G$199:$G$213</c:f>
              <c:numCache>
                <c:formatCode>0</c:formatCode>
                <c:ptCount val="15"/>
                <c:pt idx="0">
                  <c:v>146.0046534352623</c:v>
                </c:pt>
                <c:pt idx="1">
                  <c:v>146.08992716763325</c:v>
                </c:pt>
                <c:pt idx="2">
                  <c:v>145.75230002540042</c:v>
                </c:pt>
                <c:pt idx="3">
                  <c:v>146.10017351423605</c:v>
                </c:pt>
                <c:pt idx="4">
                  <c:v>146.67929956348746</c:v>
                </c:pt>
                <c:pt idx="5">
                  <c:v>146.16240925125729</c:v>
                </c:pt>
                <c:pt idx="6">
                  <c:v>145.63957464206308</c:v>
                </c:pt>
                <c:pt idx="7">
                  <c:v>144.47433263708308</c:v>
                </c:pt>
                <c:pt idx="8">
                  <c:v>142.53244178599405</c:v>
                </c:pt>
                <c:pt idx="9">
                  <c:v>140.52336246083348</c:v>
                </c:pt>
                <c:pt idx="10">
                  <c:v>138.53225827589765</c:v>
                </c:pt>
                <c:pt idx="11">
                  <c:v>136.92789617285712</c:v>
                </c:pt>
                <c:pt idx="12">
                  <c:v>135.36138540586035</c:v>
                </c:pt>
                <c:pt idx="13">
                  <c:v>133.89948136480274</c:v>
                </c:pt>
                <c:pt idx="14">
                  <c:v>131.94990625289154</c:v>
                </c:pt>
              </c:numCache>
            </c:numRef>
          </c:yVal>
          <c:smooth val="1"/>
          <c:extLst>
            <c:ext xmlns:c16="http://schemas.microsoft.com/office/drawing/2014/chart" uri="{C3380CC4-5D6E-409C-BE32-E72D297353CC}">
              <c16:uniqueId val="{00000001-17A3-244E-960C-6874C7164352}"/>
            </c:ext>
          </c:extLst>
        </c:ser>
        <c:ser>
          <c:idx val="2"/>
          <c:order val="2"/>
          <c:tx>
            <c:strRef>
              <c:f>'United States'!$F$2</c:f>
              <c:strCache>
                <c:ptCount val="1"/>
                <c:pt idx="0">
                  <c:v>q Gt</c:v>
                </c:pt>
              </c:strCache>
            </c:strRef>
          </c:tx>
          <c:spPr>
            <a:ln w="15875">
              <a:solidFill>
                <a:srgbClr val="006600"/>
              </a:solidFill>
            </a:ln>
          </c:spPr>
          <c:marker>
            <c:symbol val="none"/>
          </c:marker>
          <c:xVal>
            <c:numRef>
              <c:f>'United States'!$D$100:$D$213</c:f>
              <c:numCache>
                <c:formatCode>General</c:formatCode>
                <c:ptCount val="114"/>
                <c:pt idx="0">
                  <c:v>1896</c:v>
                </c:pt>
                <c:pt idx="1">
                  <c:v>1897</c:v>
                </c:pt>
                <c:pt idx="2">
                  <c:v>1898</c:v>
                </c:pt>
                <c:pt idx="3">
                  <c:v>1899</c:v>
                </c:pt>
                <c:pt idx="4">
                  <c:v>1900</c:v>
                </c:pt>
                <c:pt idx="5">
                  <c:v>1901</c:v>
                </c:pt>
                <c:pt idx="6">
                  <c:v>1902</c:v>
                </c:pt>
                <c:pt idx="7">
                  <c:v>1903</c:v>
                </c:pt>
                <c:pt idx="8">
                  <c:v>1904</c:v>
                </c:pt>
                <c:pt idx="9">
                  <c:v>1905</c:v>
                </c:pt>
                <c:pt idx="10">
                  <c:v>1906</c:v>
                </c:pt>
                <c:pt idx="11">
                  <c:v>1907</c:v>
                </c:pt>
                <c:pt idx="12">
                  <c:v>1908</c:v>
                </c:pt>
                <c:pt idx="13">
                  <c:v>1909</c:v>
                </c:pt>
                <c:pt idx="14">
                  <c:v>1910</c:v>
                </c:pt>
                <c:pt idx="15">
                  <c:v>1911</c:v>
                </c:pt>
                <c:pt idx="16">
                  <c:v>1912</c:v>
                </c:pt>
                <c:pt idx="17">
                  <c:v>1913</c:v>
                </c:pt>
                <c:pt idx="18">
                  <c:v>1914</c:v>
                </c:pt>
                <c:pt idx="19">
                  <c:v>1915</c:v>
                </c:pt>
                <c:pt idx="20">
                  <c:v>1916</c:v>
                </c:pt>
                <c:pt idx="21">
                  <c:v>1917</c:v>
                </c:pt>
                <c:pt idx="22">
                  <c:v>1918</c:v>
                </c:pt>
                <c:pt idx="23">
                  <c:v>1919</c:v>
                </c:pt>
                <c:pt idx="24">
                  <c:v>1920</c:v>
                </c:pt>
                <c:pt idx="25">
                  <c:v>1921</c:v>
                </c:pt>
                <c:pt idx="26">
                  <c:v>1922</c:v>
                </c:pt>
                <c:pt idx="27">
                  <c:v>1923</c:v>
                </c:pt>
                <c:pt idx="28">
                  <c:v>1924</c:v>
                </c:pt>
                <c:pt idx="29">
                  <c:v>1925</c:v>
                </c:pt>
                <c:pt idx="30">
                  <c:v>1926</c:v>
                </c:pt>
                <c:pt idx="31">
                  <c:v>1927</c:v>
                </c:pt>
                <c:pt idx="32">
                  <c:v>1928</c:v>
                </c:pt>
                <c:pt idx="33">
                  <c:v>1929</c:v>
                </c:pt>
                <c:pt idx="34">
                  <c:v>1930</c:v>
                </c:pt>
                <c:pt idx="35">
                  <c:v>1931</c:v>
                </c:pt>
                <c:pt idx="36">
                  <c:v>1932</c:v>
                </c:pt>
                <c:pt idx="37">
                  <c:v>1933</c:v>
                </c:pt>
                <c:pt idx="38">
                  <c:v>1934</c:v>
                </c:pt>
                <c:pt idx="39">
                  <c:v>1935</c:v>
                </c:pt>
                <c:pt idx="40">
                  <c:v>1936</c:v>
                </c:pt>
                <c:pt idx="41">
                  <c:v>1937</c:v>
                </c:pt>
                <c:pt idx="42">
                  <c:v>1938</c:v>
                </c:pt>
                <c:pt idx="43">
                  <c:v>1939</c:v>
                </c:pt>
                <c:pt idx="44">
                  <c:v>1940</c:v>
                </c:pt>
                <c:pt idx="45">
                  <c:v>1941</c:v>
                </c:pt>
                <c:pt idx="46">
                  <c:v>1942</c:v>
                </c:pt>
                <c:pt idx="47">
                  <c:v>1943</c:v>
                </c:pt>
                <c:pt idx="48">
                  <c:v>1944</c:v>
                </c:pt>
                <c:pt idx="49">
                  <c:v>1945</c:v>
                </c:pt>
                <c:pt idx="50">
                  <c:v>1946</c:v>
                </c:pt>
                <c:pt idx="51">
                  <c:v>1947</c:v>
                </c:pt>
                <c:pt idx="52">
                  <c:v>1948</c:v>
                </c:pt>
                <c:pt idx="53">
                  <c:v>1949</c:v>
                </c:pt>
                <c:pt idx="54">
                  <c:v>1950</c:v>
                </c:pt>
                <c:pt idx="55">
                  <c:v>1951</c:v>
                </c:pt>
                <c:pt idx="56">
                  <c:v>1952</c:v>
                </c:pt>
                <c:pt idx="57">
                  <c:v>1953</c:v>
                </c:pt>
                <c:pt idx="58">
                  <c:v>1954</c:v>
                </c:pt>
                <c:pt idx="59">
                  <c:v>1955</c:v>
                </c:pt>
                <c:pt idx="60">
                  <c:v>1956</c:v>
                </c:pt>
                <c:pt idx="61">
                  <c:v>1957</c:v>
                </c:pt>
                <c:pt idx="62">
                  <c:v>1958</c:v>
                </c:pt>
                <c:pt idx="63">
                  <c:v>1959</c:v>
                </c:pt>
                <c:pt idx="64">
                  <c:v>1960</c:v>
                </c:pt>
                <c:pt idx="65">
                  <c:v>1961</c:v>
                </c:pt>
                <c:pt idx="66">
                  <c:v>1962</c:v>
                </c:pt>
                <c:pt idx="67">
                  <c:v>1963</c:v>
                </c:pt>
                <c:pt idx="68">
                  <c:v>1964</c:v>
                </c:pt>
                <c:pt idx="69">
                  <c:v>1965</c:v>
                </c:pt>
                <c:pt idx="70">
                  <c:v>1966</c:v>
                </c:pt>
                <c:pt idx="71">
                  <c:v>1967</c:v>
                </c:pt>
                <c:pt idx="72">
                  <c:v>1968</c:v>
                </c:pt>
                <c:pt idx="73">
                  <c:v>1969</c:v>
                </c:pt>
                <c:pt idx="74">
                  <c:v>1970</c:v>
                </c:pt>
                <c:pt idx="75">
                  <c:v>1971</c:v>
                </c:pt>
                <c:pt idx="76">
                  <c:v>1972</c:v>
                </c:pt>
                <c:pt idx="77">
                  <c:v>1973</c:v>
                </c:pt>
                <c:pt idx="78">
                  <c:v>1974</c:v>
                </c:pt>
                <c:pt idx="79">
                  <c:v>1975</c:v>
                </c:pt>
                <c:pt idx="80">
                  <c:v>1976</c:v>
                </c:pt>
                <c:pt idx="81">
                  <c:v>1977</c:v>
                </c:pt>
                <c:pt idx="82">
                  <c:v>1978</c:v>
                </c:pt>
                <c:pt idx="83">
                  <c:v>1979</c:v>
                </c:pt>
                <c:pt idx="84">
                  <c:v>1980</c:v>
                </c:pt>
                <c:pt idx="85">
                  <c:v>1981</c:v>
                </c:pt>
                <c:pt idx="86">
                  <c:v>1982</c:v>
                </c:pt>
                <c:pt idx="87">
                  <c:v>1983</c:v>
                </c:pt>
                <c:pt idx="88">
                  <c:v>1984</c:v>
                </c:pt>
                <c:pt idx="89">
                  <c:v>1985</c:v>
                </c:pt>
                <c:pt idx="90">
                  <c:v>1986</c:v>
                </c:pt>
                <c:pt idx="91">
                  <c:v>1987</c:v>
                </c:pt>
                <c:pt idx="92">
                  <c:v>1988</c:v>
                </c:pt>
                <c:pt idx="93">
                  <c:v>1989</c:v>
                </c:pt>
                <c:pt idx="94">
                  <c:v>1990</c:v>
                </c:pt>
                <c:pt idx="95">
                  <c:v>1991</c:v>
                </c:pt>
                <c:pt idx="96">
                  <c:v>1992</c:v>
                </c:pt>
                <c:pt idx="97">
                  <c:v>1993</c:v>
                </c:pt>
                <c:pt idx="98">
                  <c:v>1994</c:v>
                </c:pt>
                <c:pt idx="99">
                  <c:v>1995</c:v>
                </c:pt>
                <c:pt idx="100">
                  <c:v>1996</c:v>
                </c:pt>
                <c:pt idx="101">
                  <c:v>1997</c:v>
                </c:pt>
                <c:pt idx="102">
                  <c:v>1998</c:v>
                </c:pt>
                <c:pt idx="103">
                  <c:v>1999</c:v>
                </c:pt>
                <c:pt idx="104">
                  <c:v>2000</c:v>
                </c:pt>
                <c:pt idx="105">
                  <c:v>2001</c:v>
                </c:pt>
                <c:pt idx="106">
                  <c:v>2002</c:v>
                </c:pt>
                <c:pt idx="107">
                  <c:v>2003</c:v>
                </c:pt>
                <c:pt idx="108">
                  <c:v>2004</c:v>
                </c:pt>
                <c:pt idx="109">
                  <c:v>2005</c:v>
                </c:pt>
                <c:pt idx="110">
                  <c:v>2006</c:v>
                </c:pt>
                <c:pt idx="111">
                  <c:v>2007</c:v>
                </c:pt>
                <c:pt idx="112">
                  <c:v>2008</c:v>
                </c:pt>
                <c:pt idx="113">
                  <c:v>2009</c:v>
                </c:pt>
              </c:numCache>
            </c:numRef>
          </c:xVal>
          <c:yVal>
            <c:numRef>
              <c:f>'United States'!$F$100:$F$213</c:f>
              <c:numCache>
                <c:formatCode>0</c:formatCode>
                <c:ptCount val="114"/>
                <c:pt idx="0">
                  <c:v>3.0721803752517065</c:v>
                </c:pt>
                <c:pt idx="1">
                  <c:v>3.2537665289853557</c:v>
                </c:pt>
                <c:pt idx="2">
                  <c:v>3.4525803677003006</c:v>
                </c:pt>
                <c:pt idx="3">
                  <c:v>3.6821405306999888</c:v>
                </c:pt>
                <c:pt idx="4">
                  <c:v>3.926910801631891</c:v>
                </c:pt>
                <c:pt idx="5">
                  <c:v>4.192290211555572</c:v>
                </c:pt>
                <c:pt idx="6">
                  <c:v>4.4659532913619477</c:v>
                </c:pt>
                <c:pt idx="7">
                  <c:v>4.7895359261078436</c:v>
                </c:pt>
                <c:pt idx="8">
                  <c:v>5.1084937657039919</c:v>
                </c:pt>
                <c:pt idx="9">
                  <c:v>5.4646645338330062</c:v>
                </c:pt>
                <c:pt idx="10">
                  <c:v>5.8398616412635738</c:v>
                </c:pt>
                <c:pt idx="11">
                  <c:v>6.2755551578256057</c:v>
                </c:pt>
                <c:pt idx="12">
                  <c:v>6.655705981098933</c:v>
                </c:pt>
                <c:pt idx="13">
                  <c:v>7.0669295945081068</c:v>
                </c:pt>
                <c:pt idx="14">
                  <c:v>7.5222713373048844</c:v>
                </c:pt>
                <c:pt idx="15">
                  <c:v>7.9720790844466602</c:v>
                </c:pt>
                <c:pt idx="16">
                  <c:v>8.456763784815017</c:v>
                </c:pt>
                <c:pt idx="17">
                  <c:v>8.973715962326466</c:v>
                </c:pt>
                <c:pt idx="18">
                  <c:v>9.4392342304824925</c:v>
                </c:pt>
                <c:pt idx="19">
                  <c:v>9.9215478611028658</c:v>
                </c:pt>
                <c:pt idx="20">
                  <c:v>10.45651819811229</c:v>
                </c:pt>
                <c:pt idx="21">
                  <c:v>11.048171604988791</c:v>
                </c:pt>
                <c:pt idx="22">
                  <c:v>11.665111135437773</c:v>
                </c:pt>
                <c:pt idx="23">
                  <c:v>12.166789479824894</c:v>
                </c:pt>
                <c:pt idx="24">
                  <c:v>12.761279888346602</c:v>
                </c:pt>
                <c:pt idx="25">
                  <c:v>13.219609513033117</c:v>
                </c:pt>
                <c:pt idx="26">
                  <c:v>13.651795412495582</c:v>
                </c:pt>
                <c:pt idx="27">
                  <c:v>14.247110767646934</c:v>
                </c:pt>
                <c:pt idx="28">
                  <c:v>14.76344592799288</c:v>
                </c:pt>
                <c:pt idx="29">
                  <c:v>15.290233604697384</c:v>
                </c:pt>
                <c:pt idx="30">
                  <c:v>15.88743299386087</c:v>
                </c:pt>
                <c:pt idx="31">
                  <c:v>16.429305982535912</c:v>
                </c:pt>
                <c:pt idx="32">
                  <c:v>16.950910215191385</c:v>
                </c:pt>
                <c:pt idx="33">
                  <c:v>17.502302700677177</c:v>
                </c:pt>
                <c:pt idx="34">
                  <c:v>17.989185176735596</c:v>
                </c:pt>
                <c:pt idx="35">
                  <c:v>18.390086687035804</c:v>
                </c:pt>
                <c:pt idx="36">
                  <c:v>18.716380338146031</c:v>
                </c:pt>
                <c:pt idx="37">
                  <c:v>19.064685091546412</c:v>
                </c:pt>
                <c:pt idx="38">
                  <c:v>19.442525709910385</c:v>
                </c:pt>
                <c:pt idx="39">
                  <c:v>19.827900373262068</c:v>
                </c:pt>
                <c:pt idx="40">
                  <c:v>20.275086471715507</c:v>
                </c:pt>
                <c:pt idx="41">
                  <c:v>20.725572061852468</c:v>
                </c:pt>
                <c:pt idx="42">
                  <c:v>21.084128440993677</c:v>
                </c:pt>
                <c:pt idx="43">
                  <c:v>21.488416439272491</c:v>
                </c:pt>
                <c:pt idx="44">
                  <c:v>21.952923646406202</c:v>
                </c:pt>
                <c:pt idx="45">
                  <c:v>22.470408882042587</c:v>
                </c:pt>
                <c:pt idx="46">
                  <c:v>23.053506203252145</c:v>
                </c:pt>
                <c:pt idx="47">
                  <c:v>23.643432370298367</c:v>
                </c:pt>
                <c:pt idx="48">
                  <c:v>24.262016858921637</c:v>
                </c:pt>
                <c:pt idx="49">
                  <c:v>24.835150550165359</c:v>
                </c:pt>
                <c:pt idx="50">
                  <c:v>25.375300313302596</c:v>
                </c:pt>
                <c:pt idx="51">
                  <c:v>26.002810799428335</c:v>
                </c:pt>
                <c:pt idx="52">
                  <c:v>26.598474053577473</c:v>
                </c:pt>
                <c:pt idx="53">
                  <c:v>27.03443982444487</c:v>
                </c:pt>
                <c:pt idx="54">
                  <c:v>27.542815266950306</c:v>
                </c:pt>
                <c:pt idx="55">
                  <c:v>28.065657584516657</c:v>
                </c:pt>
                <c:pt idx="56">
                  <c:v>28.525984894412446</c:v>
                </c:pt>
                <c:pt idx="57">
                  <c:v>28.968907865056735</c:v>
                </c:pt>
                <c:pt idx="58">
                  <c:v>29.350641224936712</c:v>
                </c:pt>
                <c:pt idx="59">
                  <c:v>29.79592196872224</c:v>
                </c:pt>
                <c:pt idx="60">
                  <c:v>30.276524857574032</c:v>
                </c:pt>
                <c:pt idx="61">
                  <c:v>30.746484655047215</c:v>
                </c:pt>
                <c:pt idx="62">
                  <c:v>31.138041011300153</c:v>
                </c:pt>
                <c:pt idx="63">
                  <c:v>31.530558983378292</c:v>
                </c:pt>
                <c:pt idx="64">
                  <c:v>31.92457562464817</c:v>
                </c:pt>
                <c:pt idx="65">
                  <c:v>32.305976954913035</c:v>
                </c:pt>
                <c:pt idx="66">
                  <c:v>32.704270065050856</c:v>
                </c:pt>
                <c:pt idx="67">
                  <c:v>33.137174087418188</c:v>
                </c:pt>
                <c:pt idx="68">
                  <c:v>33.594560304384423</c:v>
                </c:pt>
                <c:pt idx="69">
                  <c:v>34.072604932267268</c:v>
                </c:pt>
                <c:pt idx="70">
                  <c:v>34.56867350657955</c:v>
                </c:pt>
                <c:pt idx="71">
                  <c:v>35.081125837309969</c:v>
                </c:pt>
                <c:pt idx="72">
                  <c:v>35.586161025599928</c:v>
                </c:pt>
                <c:pt idx="73">
                  <c:v>36.104143554510017</c:v>
                </c:pt>
                <c:pt idx="74">
                  <c:v>36.659940264969251</c:v>
                </c:pt>
                <c:pt idx="75">
                  <c:v>37.168797422572027</c:v>
                </c:pt>
                <c:pt idx="76">
                  <c:v>37.715368971402462</c:v>
                </c:pt>
                <c:pt idx="77">
                  <c:v>38.258380727310147</c:v>
                </c:pt>
                <c:pt idx="78">
                  <c:v>38.811784284423247</c:v>
                </c:pt>
                <c:pt idx="79">
                  <c:v>39.40566461029961</c:v>
                </c:pt>
                <c:pt idx="80">
                  <c:v>40.02700723264828</c:v>
                </c:pt>
                <c:pt idx="81">
                  <c:v>40.659500969830383</c:v>
                </c:pt>
                <c:pt idx="82">
                  <c:v>41.267463524437574</c:v>
                </c:pt>
                <c:pt idx="83">
                  <c:v>41.976096369726989</c:v>
                </c:pt>
                <c:pt idx="84">
                  <c:v>42.728787549136186</c:v>
                </c:pt>
                <c:pt idx="85">
                  <c:v>43.476104566141117</c:v>
                </c:pt>
                <c:pt idx="86">
                  <c:v>44.236426983589595</c:v>
                </c:pt>
                <c:pt idx="87">
                  <c:v>44.94592800467592</c:v>
                </c:pt>
                <c:pt idx="88">
                  <c:v>45.758693864803035</c:v>
                </c:pt>
                <c:pt idx="89">
                  <c:v>46.560316774759393</c:v>
                </c:pt>
                <c:pt idx="90">
                  <c:v>47.367996050045065</c:v>
                </c:pt>
                <c:pt idx="91">
                  <c:v>48.2014829168359</c:v>
                </c:pt>
                <c:pt idx="92">
                  <c:v>49.063548824514918</c:v>
                </c:pt>
                <c:pt idx="93">
                  <c:v>49.953251208136479</c:v>
                </c:pt>
                <c:pt idx="94">
                  <c:v>50.886813252419593</c:v>
                </c:pt>
                <c:pt idx="95">
                  <c:v>51.790354739261453</c:v>
                </c:pt>
                <c:pt idx="96">
                  <c:v>52.695312341483643</c:v>
                </c:pt>
                <c:pt idx="97">
                  <c:v>53.552986567832647</c:v>
                </c:pt>
                <c:pt idx="98">
                  <c:v>54.49056653333259</c:v>
                </c:pt>
                <c:pt idx="99">
                  <c:v>55.427664576897072</c:v>
                </c:pt>
                <c:pt idx="100">
                  <c:v>56.392778064664881</c:v>
                </c:pt>
                <c:pt idx="101">
                  <c:v>57.38154755120857</c:v>
                </c:pt>
                <c:pt idx="102">
                  <c:v>58.395358401974491</c:v>
                </c:pt>
                <c:pt idx="103">
                  <c:v>59.393653001709666</c:v>
                </c:pt>
                <c:pt idx="104">
                  <c:v>60.367617027353198</c:v>
                </c:pt>
                <c:pt idx="105">
                  <c:v>61.390639104483114</c:v>
                </c:pt>
                <c:pt idx="106">
                  <c:v>62.383355999495294</c:v>
                </c:pt>
                <c:pt idx="107">
                  <c:v>63.355633579591967</c:v>
                </c:pt>
                <c:pt idx="108">
                  <c:v>64.364512704673245</c:v>
                </c:pt>
                <c:pt idx="109">
                  <c:v>65.390990514285846</c:v>
                </c:pt>
                <c:pt idx="110">
                  <c:v>66.445819262255426</c:v>
                </c:pt>
                <c:pt idx="111">
                  <c:v>67.486029350456377</c:v>
                </c:pt>
                <c:pt idx="112">
                  <c:v>68.548780731461449</c:v>
                </c:pt>
                <c:pt idx="113">
                  <c:v>69.521964976482025</c:v>
                </c:pt>
              </c:numCache>
            </c:numRef>
          </c:yVal>
          <c:smooth val="1"/>
          <c:extLst>
            <c:ext xmlns:c16="http://schemas.microsoft.com/office/drawing/2014/chart" uri="{C3380CC4-5D6E-409C-BE32-E72D297353CC}">
              <c16:uniqueId val="{00000002-17A3-244E-960C-6874C7164352}"/>
            </c:ext>
          </c:extLst>
        </c:ser>
        <c:ser>
          <c:idx val="3"/>
          <c:order val="3"/>
          <c:tx>
            <c:strRef>
              <c:f>'United States'!$H$2</c:f>
              <c:strCache>
                <c:ptCount val="1"/>
                <c:pt idx="0">
                  <c:v>q sum</c:v>
                </c:pt>
              </c:strCache>
            </c:strRef>
          </c:tx>
          <c:spPr>
            <a:ln w="15875">
              <a:solidFill>
                <a:srgbClr val="808080"/>
              </a:solidFill>
              <a:prstDash val="dash"/>
            </a:ln>
          </c:spPr>
          <c:marker>
            <c:symbol val="none"/>
          </c:marker>
          <c:xVal>
            <c:numRef>
              <c:f>'United States'!$D$182:$D$354</c:f>
              <c:numCache>
                <c:formatCode>General</c:formatCode>
                <c:ptCount val="173"/>
                <c:pt idx="0">
                  <c:v>1978</c:v>
                </c:pt>
                <c:pt idx="1">
                  <c:v>1979</c:v>
                </c:pt>
                <c:pt idx="2">
                  <c:v>1980</c:v>
                </c:pt>
                <c:pt idx="3">
                  <c:v>1981</c:v>
                </c:pt>
                <c:pt idx="4">
                  <c:v>1982</c:v>
                </c:pt>
                <c:pt idx="5">
                  <c:v>1983</c:v>
                </c:pt>
                <c:pt idx="6">
                  <c:v>1984</c:v>
                </c:pt>
                <c:pt idx="7">
                  <c:v>1985</c:v>
                </c:pt>
                <c:pt idx="8">
                  <c:v>1986</c:v>
                </c:pt>
                <c:pt idx="9">
                  <c:v>1987</c:v>
                </c:pt>
                <c:pt idx="10">
                  <c:v>1988</c:v>
                </c:pt>
                <c:pt idx="11">
                  <c:v>1989</c:v>
                </c:pt>
                <c:pt idx="12">
                  <c:v>1990</c:v>
                </c:pt>
                <c:pt idx="13">
                  <c:v>1991</c:v>
                </c:pt>
                <c:pt idx="14">
                  <c:v>1992</c:v>
                </c:pt>
                <c:pt idx="15">
                  <c:v>1993</c:v>
                </c:pt>
                <c:pt idx="16">
                  <c:v>1994</c:v>
                </c:pt>
                <c:pt idx="17">
                  <c:v>1995</c:v>
                </c:pt>
                <c:pt idx="18">
                  <c:v>1996</c:v>
                </c:pt>
                <c:pt idx="19">
                  <c:v>1997</c:v>
                </c:pt>
                <c:pt idx="20">
                  <c:v>1998</c:v>
                </c:pt>
                <c:pt idx="21">
                  <c:v>1999</c:v>
                </c:pt>
                <c:pt idx="22">
                  <c:v>2000</c:v>
                </c:pt>
                <c:pt idx="23">
                  <c:v>2001</c:v>
                </c:pt>
                <c:pt idx="24">
                  <c:v>2002</c:v>
                </c:pt>
                <c:pt idx="25">
                  <c:v>2003</c:v>
                </c:pt>
                <c:pt idx="26">
                  <c:v>2004</c:v>
                </c:pt>
                <c:pt idx="27">
                  <c:v>2005</c:v>
                </c:pt>
                <c:pt idx="28">
                  <c:v>2006</c:v>
                </c:pt>
                <c:pt idx="29">
                  <c:v>2007</c:v>
                </c:pt>
                <c:pt idx="30">
                  <c:v>2008</c:v>
                </c:pt>
                <c:pt idx="31">
                  <c:v>2009</c:v>
                </c:pt>
                <c:pt idx="32">
                  <c:v>2010</c:v>
                </c:pt>
                <c:pt idx="33">
                  <c:v>2011</c:v>
                </c:pt>
                <c:pt idx="34">
                  <c:v>2012</c:v>
                </c:pt>
                <c:pt idx="35">
                  <c:v>2013</c:v>
                </c:pt>
                <c:pt idx="36">
                  <c:v>2014</c:v>
                </c:pt>
                <c:pt idx="37">
                  <c:v>2015</c:v>
                </c:pt>
                <c:pt idx="38">
                  <c:v>2016</c:v>
                </c:pt>
                <c:pt idx="39">
                  <c:v>2017</c:v>
                </c:pt>
                <c:pt idx="40">
                  <c:v>2018</c:v>
                </c:pt>
                <c:pt idx="41">
                  <c:v>2019</c:v>
                </c:pt>
                <c:pt idx="42">
                  <c:v>2020</c:v>
                </c:pt>
                <c:pt idx="43">
                  <c:v>2021</c:v>
                </c:pt>
                <c:pt idx="44">
                  <c:v>2022</c:v>
                </c:pt>
                <c:pt idx="45">
                  <c:v>2023</c:v>
                </c:pt>
                <c:pt idx="46">
                  <c:v>2024</c:v>
                </c:pt>
                <c:pt idx="47">
                  <c:v>2025</c:v>
                </c:pt>
                <c:pt idx="48">
                  <c:v>2026</c:v>
                </c:pt>
                <c:pt idx="49">
                  <c:v>2027</c:v>
                </c:pt>
                <c:pt idx="50">
                  <c:v>2028</c:v>
                </c:pt>
                <c:pt idx="51">
                  <c:v>2029</c:v>
                </c:pt>
                <c:pt idx="52">
                  <c:v>2030</c:v>
                </c:pt>
                <c:pt idx="53">
                  <c:v>2031</c:v>
                </c:pt>
                <c:pt idx="54">
                  <c:v>2032</c:v>
                </c:pt>
                <c:pt idx="55">
                  <c:v>2033</c:v>
                </c:pt>
                <c:pt idx="56">
                  <c:v>2034</c:v>
                </c:pt>
                <c:pt idx="57">
                  <c:v>2035</c:v>
                </c:pt>
                <c:pt idx="58">
                  <c:v>2036</c:v>
                </c:pt>
                <c:pt idx="59">
                  <c:v>2037</c:v>
                </c:pt>
                <c:pt idx="60">
                  <c:v>2038</c:v>
                </c:pt>
                <c:pt idx="61">
                  <c:v>2039</c:v>
                </c:pt>
                <c:pt idx="62">
                  <c:v>2040</c:v>
                </c:pt>
                <c:pt idx="63">
                  <c:v>2041</c:v>
                </c:pt>
                <c:pt idx="64">
                  <c:v>2042</c:v>
                </c:pt>
                <c:pt idx="65">
                  <c:v>2043</c:v>
                </c:pt>
                <c:pt idx="66">
                  <c:v>2044</c:v>
                </c:pt>
                <c:pt idx="67">
                  <c:v>2045</c:v>
                </c:pt>
                <c:pt idx="68">
                  <c:v>2046</c:v>
                </c:pt>
                <c:pt idx="69">
                  <c:v>2047</c:v>
                </c:pt>
                <c:pt idx="70">
                  <c:v>2048</c:v>
                </c:pt>
                <c:pt idx="71">
                  <c:v>2049</c:v>
                </c:pt>
                <c:pt idx="72">
                  <c:v>2050</c:v>
                </c:pt>
                <c:pt idx="73">
                  <c:v>2051</c:v>
                </c:pt>
                <c:pt idx="74">
                  <c:v>2052</c:v>
                </c:pt>
                <c:pt idx="75">
                  <c:v>2053</c:v>
                </c:pt>
                <c:pt idx="76">
                  <c:v>2054</c:v>
                </c:pt>
                <c:pt idx="77">
                  <c:v>2055</c:v>
                </c:pt>
                <c:pt idx="78">
                  <c:v>2056</c:v>
                </c:pt>
                <c:pt idx="79">
                  <c:v>2057</c:v>
                </c:pt>
                <c:pt idx="80">
                  <c:v>2058</c:v>
                </c:pt>
                <c:pt idx="81">
                  <c:v>2059</c:v>
                </c:pt>
                <c:pt idx="82">
                  <c:v>2060</c:v>
                </c:pt>
                <c:pt idx="83">
                  <c:v>2061</c:v>
                </c:pt>
                <c:pt idx="84">
                  <c:v>2062</c:v>
                </c:pt>
                <c:pt idx="85">
                  <c:v>2063</c:v>
                </c:pt>
                <c:pt idx="86">
                  <c:v>2064</c:v>
                </c:pt>
                <c:pt idx="87">
                  <c:v>2065</c:v>
                </c:pt>
                <c:pt idx="88">
                  <c:v>2066</c:v>
                </c:pt>
                <c:pt idx="89">
                  <c:v>2067</c:v>
                </c:pt>
                <c:pt idx="90">
                  <c:v>2068</c:v>
                </c:pt>
                <c:pt idx="91">
                  <c:v>2069</c:v>
                </c:pt>
                <c:pt idx="92">
                  <c:v>2070</c:v>
                </c:pt>
                <c:pt idx="93">
                  <c:v>2071</c:v>
                </c:pt>
                <c:pt idx="94">
                  <c:v>2072</c:v>
                </c:pt>
                <c:pt idx="95">
                  <c:v>2073</c:v>
                </c:pt>
                <c:pt idx="96">
                  <c:v>2074</c:v>
                </c:pt>
                <c:pt idx="97">
                  <c:v>2075</c:v>
                </c:pt>
                <c:pt idx="98">
                  <c:v>2076</c:v>
                </c:pt>
                <c:pt idx="99">
                  <c:v>2077</c:v>
                </c:pt>
                <c:pt idx="100">
                  <c:v>2078</c:v>
                </c:pt>
                <c:pt idx="101">
                  <c:v>2079</c:v>
                </c:pt>
                <c:pt idx="102">
                  <c:v>2080</c:v>
                </c:pt>
                <c:pt idx="103">
                  <c:v>2081</c:v>
                </c:pt>
                <c:pt idx="104">
                  <c:v>2082</c:v>
                </c:pt>
                <c:pt idx="105">
                  <c:v>2083</c:v>
                </c:pt>
                <c:pt idx="106">
                  <c:v>2084</c:v>
                </c:pt>
                <c:pt idx="107">
                  <c:v>2085</c:v>
                </c:pt>
                <c:pt idx="108">
                  <c:v>2086</c:v>
                </c:pt>
                <c:pt idx="109">
                  <c:v>2087</c:v>
                </c:pt>
                <c:pt idx="110">
                  <c:v>2088</c:v>
                </c:pt>
                <c:pt idx="111">
                  <c:v>2089</c:v>
                </c:pt>
                <c:pt idx="112">
                  <c:v>2090</c:v>
                </c:pt>
                <c:pt idx="113">
                  <c:v>2091</c:v>
                </c:pt>
                <c:pt idx="114">
                  <c:v>2092</c:v>
                </c:pt>
                <c:pt idx="115">
                  <c:v>2093</c:v>
                </c:pt>
                <c:pt idx="116">
                  <c:v>2094</c:v>
                </c:pt>
                <c:pt idx="117">
                  <c:v>2095</c:v>
                </c:pt>
                <c:pt idx="118">
                  <c:v>2096</c:v>
                </c:pt>
                <c:pt idx="119">
                  <c:v>2097</c:v>
                </c:pt>
                <c:pt idx="120">
                  <c:v>2098</c:v>
                </c:pt>
                <c:pt idx="121">
                  <c:v>2099</c:v>
                </c:pt>
                <c:pt idx="122">
                  <c:v>2100</c:v>
                </c:pt>
                <c:pt idx="123">
                  <c:v>2101</c:v>
                </c:pt>
                <c:pt idx="124">
                  <c:v>2102</c:v>
                </c:pt>
                <c:pt idx="125">
                  <c:v>2103</c:v>
                </c:pt>
                <c:pt idx="126">
                  <c:v>2104</c:v>
                </c:pt>
                <c:pt idx="127">
                  <c:v>2105</c:v>
                </c:pt>
                <c:pt idx="128">
                  <c:v>2106</c:v>
                </c:pt>
                <c:pt idx="129">
                  <c:v>2107</c:v>
                </c:pt>
                <c:pt idx="130">
                  <c:v>2108</c:v>
                </c:pt>
                <c:pt idx="131">
                  <c:v>2109</c:v>
                </c:pt>
                <c:pt idx="132">
                  <c:v>2110</c:v>
                </c:pt>
                <c:pt idx="133">
                  <c:v>2111</c:v>
                </c:pt>
                <c:pt idx="134">
                  <c:v>2112</c:v>
                </c:pt>
                <c:pt idx="135">
                  <c:v>2113</c:v>
                </c:pt>
                <c:pt idx="136">
                  <c:v>2114</c:v>
                </c:pt>
                <c:pt idx="137">
                  <c:v>2115</c:v>
                </c:pt>
                <c:pt idx="138">
                  <c:v>2116</c:v>
                </c:pt>
                <c:pt idx="139">
                  <c:v>2117</c:v>
                </c:pt>
                <c:pt idx="140">
                  <c:v>2118</c:v>
                </c:pt>
                <c:pt idx="141">
                  <c:v>2119</c:v>
                </c:pt>
                <c:pt idx="142">
                  <c:v>2120</c:v>
                </c:pt>
                <c:pt idx="143">
                  <c:v>2121</c:v>
                </c:pt>
                <c:pt idx="144">
                  <c:v>2122</c:v>
                </c:pt>
                <c:pt idx="145">
                  <c:v>2123</c:v>
                </c:pt>
                <c:pt idx="146">
                  <c:v>2124</c:v>
                </c:pt>
                <c:pt idx="147">
                  <c:v>2125</c:v>
                </c:pt>
                <c:pt idx="148">
                  <c:v>2126</c:v>
                </c:pt>
                <c:pt idx="149">
                  <c:v>2127</c:v>
                </c:pt>
                <c:pt idx="150">
                  <c:v>2128</c:v>
                </c:pt>
                <c:pt idx="151">
                  <c:v>2129</c:v>
                </c:pt>
                <c:pt idx="152">
                  <c:v>2130</c:v>
                </c:pt>
                <c:pt idx="153">
                  <c:v>2131</c:v>
                </c:pt>
                <c:pt idx="154">
                  <c:v>2132</c:v>
                </c:pt>
                <c:pt idx="155">
                  <c:v>2133</c:v>
                </c:pt>
                <c:pt idx="156">
                  <c:v>2134</c:v>
                </c:pt>
                <c:pt idx="157">
                  <c:v>2135</c:v>
                </c:pt>
                <c:pt idx="158">
                  <c:v>2136</c:v>
                </c:pt>
                <c:pt idx="159">
                  <c:v>2137</c:v>
                </c:pt>
                <c:pt idx="160">
                  <c:v>2138</c:v>
                </c:pt>
                <c:pt idx="161">
                  <c:v>2139</c:v>
                </c:pt>
                <c:pt idx="162">
                  <c:v>2140</c:v>
                </c:pt>
                <c:pt idx="163">
                  <c:v>2141</c:v>
                </c:pt>
                <c:pt idx="164">
                  <c:v>2142</c:v>
                </c:pt>
                <c:pt idx="165">
                  <c:v>2143</c:v>
                </c:pt>
                <c:pt idx="166">
                  <c:v>2144</c:v>
                </c:pt>
                <c:pt idx="167">
                  <c:v>2145</c:v>
                </c:pt>
                <c:pt idx="168">
                  <c:v>2146</c:v>
                </c:pt>
                <c:pt idx="169">
                  <c:v>2147</c:v>
                </c:pt>
                <c:pt idx="170">
                  <c:v>2148</c:v>
                </c:pt>
                <c:pt idx="171">
                  <c:v>2149</c:v>
                </c:pt>
                <c:pt idx="172">
                  <c:v>2150</c:v>
                </c:pt>
              </c:numCache>
            </c:numRef>
          </c:xVal>
          <c:yVal>
            <c:numRef>
              <c:f>'United States'!$H$182:$H$354</c:f>
              <c:numCache>
                <c:formatCode>0</c:formatCode>
                <c:ptCount val="173"/>
                <c:pt idx="0">
                  <c:v>41.354632776401587</c:v>
                </c:pt>
                <c:pt idx="1">
                  <c:v>42.059637102541444</c:v>
                </c:pt>
                <c:pt idx="2">
                  <c:v>42.777482258995988</c:v>
                </c:pt>
                <c:pt idx="3">
                  <c:v>43.508473731532419</c:v>
                </c:pt>
                <c:pt idx="4">
                  <c:v>44.252912862763417</c:v>
                </c:pt>
                <c:pt idx="5">
                  <c:v>45.011094812015017</c:v>
                </c:pt>
                <c:pt idx="6">
                  <c:v>45.783306286109912</c:v>
                </c:pt>
                <c:pt idx="7">
                  <c:v>46.569823036379361</c:v>
                </c:pt>
                <c:pt idx="8">
                  <c:v>47.370907120214355</c:v>
                </c:pt>
                <c:pt idx="9">
                  <c:v>48.18680392900243</c:v>
                </c:pt>
                <c:pt idx="10">
                  <c:v>49.017738988390221</c:v>
                </c:pt>
                <c:pt idx="11">
                  <c:v>49.863914541462599</c:v>
                </c:pt>
                <c:pt idx="12">
                  <c:v>50.725505930624678</c:v>
                </c:pt>
                <c:pt idx="13">
                  <c:v>51.602657799676585</c:v>
                </c:pt>
                <c:pt idx="14">
                  <c:v>52.495480143721814</c:v>
                </c:pt>
                <c:pt idx="15">
                  <c:v>53.404044241063566</c:v>
                </c:pt>
                <c:pt idx="16">
                  <c:v>54.328378508001705</c:v>
                </c:pt>
                <c:pt idx="17">
                  <c:v>55.268464324299352</c:v>
                </c:pt>
                <c:pt idx="18">
                  <c:v>56.224231883864988</c:v>
                </c:pt>
                <c:pt idx="19">
                  <c:v>57.195556131684484</c:v>
                </c:pt>
                <c:pt idx="20">
                  <c:v>58.182252854001845</c:v>
                </c:pt>
                <c:pt idx="21">
                  <c:v>59.184074993932114</c:v>
                </c:pt>
                <c:pt idx="22">
                  <c:v>60.200709268819956</c:v>
                </c:pt>
                <c:pt idx="23">
                  <c:v>61.231773168457259</c:v>
                </c:pt>
                <c:pt idx="24">
                  <c:v>62.276812414469319</c:v>
                </c:pt>
                <c:pt idx="25">
                  <c:v>63.335298960519367</c:v>
                </c:pt>
                <c:pt idx="26">
                  <c:v>64.406629610247506</c:v>
                </c:pt>
                <c:pt idx="27">
                  <c:v>65.490125324881504</c:v>
                </c:pt>
                <c:pt idx="28">
                  <c:v>66.58503128513091</c:v>
                </c:pt>
                <c:pt idx="29">
                  <c:v>67.690517762274865</c:v>
                </c:pt>
                <c:pt idx="30">
                  <c:v>68.805681841344409</c:v>
                </c:pt>
                <c:pt idx="31">
                  <c:v>69.929550025143627</c:v>
                </c:pt>
                <c:pt idx="32">
                  <c:v>71.061081731819655</c:v>
                </c:pt>
                <c:pt idx="33">
                  <c:v>72.19917368114514</c:v>
                </c:pt>
                <c:pt idx="34">
                  <c:v>73.342665146081117</c:v>
                </c:pt>
                <c:pt idx="35">
                  <c:v>74.490344027085101</c:v>
                </c:pt>
                <c:pt idx="36">
                  <c:v>75.64095368762132</c:v>
                </c:pt>
                <c:pt idx="37">
                  <c:v>76.793200471055542</c:v>
                </c:pt>
                <c:pt idx="38">
                  <c:v>77.945761802221753</c:v>
                </c:pt>
                <c:pt idx="39">
                  <c:v>79.097294762053579</c:v>
                </c:pt>
                <c:pt idx="40">
                  <c:v>80.246445011345259</c:v>
                </c:pt>
                <c:pt idx="41">
                  <c:v>81.391855930425436</c:v>
                </c:pt>
                <c:pt idx="42">
                  <c:v>82.532177835660704</c:v>
                </c:pt>
                <c:pt idx="43">
                  <c:v>83.666077131489544</c:v>
                </c:pt>
                <c:pt idx="44">
                  <c:v>84.792245258212304</c:v>
                </c:pt>
                <c:pt idx="45">
                  <c:v>85.909407300968596</c:v>
                </c:pt>
                <c:pt idx="46">
                  <c:v>87.016330134010374</c:v>
                </c:pt>
                <c:pt idx="47">
                  <c:v>88.111829986185569</c:v>
                </c:pt>
                <c:pt idx="48">
                  <c:v>89.194779328021781</c:v>
                </c:pt>
                <c:pt idx="49">
                  <c:v>90.264112997391067</c:v>
                </c:pt>
                <c:pt idx="50">
                  <c:v>91.318833498833698</c:v>
                </c:pt>
                <c:pt idx="51">
                  <c:v>92.35801543057481</c:v>
                </c:pt>
                <c:pt idx="52">
                  <c:v>93.380809012443507</c:v>
                </c:pt>
                <c:pt idx="53">
                  <c:v>94.386442706683965</c:v>
                </c:pt>
                <c:pt idx="54">
                  <c:v>95.374224941480946</c:v>
                </c:pt>
                <c:pt idx="55">
                  <c:v>96.343544963422147</c:v>
                </c:pt>
                <c:pt idx="56">
                  <c:v>97.293872859708074</c:v>
                </c:pt>
                <c:pt idx="57">
                  <c:v>98.224758803401059</c:v>
                </c:pt>
                <c:pt idx="58">
                  <c:v>99.135831585200478</c:v>
                </c:pt>
                <c:pt idx="59">
                  <c:v>100.02679650305534</c:v>
                </c:pt>
                <c:pt idx="60">
                  <c:v>100.89743268638509</c:v>
                </c:pt>
                <c:pt idx="61">
                  <c:v>101.7475899348684</c:v>
                </c:pt>
                <c:pt idx="62">
                  <c:v>102.5771851528317</c:v>
                </c:pt>
                <c:pt idx="63">
                  <c:v>103.38619845943715</c:v>
                </c:pt>
                <c:pt idx="64">
                  <c:v>104.17466905237943</c:v>
                </c:pt>
                <c:pt idx="65">
                  <c:v>104.94269089892235</c:v>
                </c:pt>
                <c:pt idx="66">
                  <c:v>105.69040832311674</c:v>
                </c:pt>
                <c:pt idx="67">
                  <c:v>106.41801155221636</c:v>
                </c:pt>
                <c:pt idx="68">
                  <c:v>107.12573227890751</c:v>
                </c:pt>
                <c:pt idx="69">
                  <c:v>107.81383928923393</c:v>
                </c:pt>
                <c:pt idx="70">
                  <c:v>108.48263419924298</c:v>
                </c:pt>
                <c:pt idx="71">
                  <c:v>109.13244733658783</c:v>
                </c:pt>
                <c:pt idx="72">
                  <c:v>109.76363379674801</c:v>
                </c:pt>
                <c:pt idx="73">
                  <c:v>110.37656969729609</c:v>
                </c:pt>
                <c:pt idx="74">
                  <c:v>110.9716486478406</c:v>
                </c:pt>
                <c:pt idx="75">
                  <c:v>111.5492784479719</c:v>
                </c:pt>
                <c:pt idx="76">
                  <c:v>112.10987802077653</c:v>
                </c:pt>
                <c:pt idx="77">
                  <c:v>112.65387458528133</c:v>
                </c:pt>
                <c:pt idx="78">
                  <c:v>113.18170106754347</c:v>
                </c:pt>
                <c:pt idx="79">
                  <c:v>113.69379374700429</c:v>
                </c:pt>
                <c:pt idx="80">
                  <c:v>114.19059013214617</c:v>
                </c:pt>
                <c:pt idx="81">
                  <c:v>114.67252705740144</c:v>
                </c:pt>
                <c:pt idx="82">
                  <c:v>115.14003899161926</c:v>
                </c:pt>
                <c:pt idx="83">
                  <c:v>115.59355654715857</c:v>
                </c:pt>
                <c:pt idx="84">
                  <c:v>116.03350517779775</c:v>
                </c:pt>
                <c:pt idx="85">
                  <c:v>116.4603040530896</c:v>
                </c:pt>
                <c:pt idx="86">
                  <c:v>116.8743650965006</c:v>
                </c:pt>
                <c:pt idx="87">
                  <c:v>117.27609217461318</c:v>
                </c:pt>
                <c:pt idx="88">
                  <c:v>117.6658804248034</c:v>
                </c:pt>
                <c:pt idx="89">
                  <c:v>118.04411570909365</c:v>
                </c:pt>
                <c:pt idx="90">
                  <c:v>118.41117418229288</c:v>
                </c:pt>
                <c:pt idx="91">
                  <c:v>118.767421963046</c:v>
                </c:pt>
                <c:pt idx="92">
                  <c:v>119.11321489698987</c:v>
                </c:pt>
                <c:pt idx="93">
                  <c:v>119.44889840184318</c:v>
                </c:pt>
                <c:pt idx="94">
                  <c:v>119.77480738491192</c:v>
                </c:pt>
                <c:pt idx="95">
                  <c:v>120.091266224165</c:v>
                </c:pt>
                <c:pt idx="96">
                  <c:v>120.39858880470709</c:v>
                </c:pt>
                <c:pt idx="97">
                  <c:v>120.69707860313981</c:v>
                </c:pt>
                <c:pt idx="98">
                  <c:v>120.9870288129496</c:v>
                </c:pt>
                <c:pt idx="99">
                  <c:v>121.26872250468399</c:v>
                </c:pt>
                <c:pt idx="100">
                  <c:v>121.54243281527295</c:v>
                </c:pt>
                <c:pt idx="101">
                  <c:v>121.80842316141573</c:v>
                </c:pt>
                <c:pt idx="102">
                  <c:v>122.06694747248284</c:v>
                </c:pt>
                <c:pt idx="103">
                  <c:v>122.31825043887734</c:v>
                </c:pt>
                <c:pt idx="104">
                  <c:v>122.56256777225857</c:v>
                </c:pt>
                <c:pt idx="105">
                  <c:v>122.8001264744547</c:v>
                </c:pt>
                <c:pt idx="106">
                  <c:v>123.03114511227919</c:v>
                </c:pt>
                <c:pt idx="107">
                  <c:v>123.25583409582256</c:v>
                </c:pt>
                <c:pt idx="108">
                  <c:v>123.47439595811285</c:v>
                </c:pt>
                <c:pt idx="109">
                  <c:v>123.68702563433165</c:v>
                </c:pt>
                <c:pt idx="110">
                  <c:v>123.89391073903721</c:v>
                </c:pt>
                <c:pt idx="111">
                  <c:v>124.09523184008238</c:v>
                </c:pt>
                <c:pt idx="112">
                  <c:v>124.2911627281274</c:v>
                </c:pt>
                <c:pt idx="113">
                  <c:v>124.48187068083838</c:v>
                </c:pt>
                <c:pt idx="114">
                  <c:v>124.66751672102721</c:v>
                </c:pt>
                <c:pt idx="115">
                  <c:v>124.84825586813992</c:v>
                </c:pt>
                <c:pt idx="116">
                  <c:v>125.0242373826285</c:v>
                </c:pt>
                <c:pt idx="117">
                  <c:v>125.1956050028576</c:v>
                </c:pt>
                <c:pt idx="118">
                  <c:v>125.36249717429496</c:v>
                </c:pt>
                <c:pt idx="119">
                  <c:v>125.52504727082314</c:v>
                </c:pt>
                <c:pt idx="120">
                  <c:v>125.68338380808228</c:v>
                </c:pt>
                <c:pt idx="121">
                  <c:v>125.83763064881974</c:v>
                </c:pt>
                <c:pt idx="122">
                  <c:v>125.98790720027453</c:v>
                </c:pt>
                <c:pt idx="123">
                  <c:v>126.13432860367244</c:v>
                </c:pt>
                <c:pt idx="124">
                  <c:v>126.27700591594436</c:v>
                </c:pt>
                <c:pt idx="125">
                  <c:v>126.41604628381293</c:v>
                </c:pt>
                <c:pt idx="126">
                  <c:v>126.55155311041884</c:v>
                </c:pt>
                <c:pt idx="127">
                  <c:v>126.68362621467716</c:v>
                </c:pt>
                <c:pt idx="128">
                  <c:v>126.81236198357267</c:v>
                </c:pt>
                <c:pt idx="129">
                  <c:v>126.93785351761353</c:v>
                </c:pt>
                <c:pt idx="130">
                  <c:v>127.06019076967232</c:v>
                </c:pt>
                <c:pt idx="131">
                  <c:v>127.17946067744992</c:v>
                </c:pt>
                <c:pt idx="132">
                  <c:v>127.2957472898003</c:v>
                </c:pt>
                <c:pt idx="133">
                  <c:v>127.40913188715638</c:v>
                </c:pt>
                <c:pt idx="134">
                  <c:v>127.51969309629628</c:v>
                </c:pt>
                <c:pt idx="135">
                  <c:v>127.62750699968771</c:v>
                </c:pt>
                <c:pt idx="136">
                  <c:v>127.73264723964429</c:v>
                </c:pt>
                <c:pt idx="137">
                  <c:v>127.83518511752413</c:v>
                </c:pt>
                <c:pt idx="138">
                  <c:v>127.93518968819539</c:v>
                </c:pt>
                <c:pt idx="139">
                  <c:v>128.03272784998759</c:v>
                </c:pt>
                <c:pt idx="140">
                  <c:v>128.12786443034162</c:v>
                </c:pt>
                <c:pt idx="141">
                  <c:v>128.22066226736402</c:v>
                </c:pt>
                <c:pt idx="142">
                  <c:v>128.31118228748437</c:v>
                </c:pt>
                <c:pt idx="143">
                  <c:v>128.39948357940759</c:v>
                </c:pt>
                <c:pt idx="144">
                  <c:v>128.48562346454472</c:v>
                </c:pt>
                <c:pt idx="145">
                  <c:v>128.56965756409966</c:v>
                </c:pt>
                <c:pt idx="146">
                  <c:v>128.65163986298091</c:v>
                </c:pt>
                <c:pt idx="147">
                  <c:v>128.7316227706996</c:v>
                </c:pt>
                <c:pt idx="148">
                  <c:v>128.80965717941007</c:v>
                </c:pt>
                <c:pt idx="149">
                  <c:v>128.88579251923889</c:v>
                </c:pt>
                <c:pt idx="150">
                  <c:v>128.96007681104459</c:v>
                </c:pt>
                <c:pt idx="151">
                  <c:v>129.03255671674083</c:v>
                </c:pt>
                <c:pt idx="152">
                  <c:v>129.103277587311</c:v>
                </c:pt>
                <c:pt idx="153">
                  <c:v>129.17228350863499</c:v>
                </c:pt>
                <c:pt idx="154">
                  <c:v>129.23961734524323</c:v>
                </c:pt>
                <c:pt idx="155">
                  <c:v>129.30532078210678</c:v>
                </c:pt>
                <c:pt idx="156">
                  <c:v>129.36943436456676</c:v>
                </c:pt>
                <c:pt idx="157">
                  <c:v>129.43199753650131</c:v>
                </c:pt>
                <c:pt idx="158">
                  <c:v>129.49304867682233</c:v>
                </c:pt>
                <c:pt idx="159">
                  <c:v>129.55262513438998</c:v>
                </c:pt>
                <c:pt idx="160">
                  <c:v>129.61076326142793</c:v>
                </c:pt>
                <c:pt idx="161">
                  <c:v>129.66749844551751</c:v>
                </c:pt>
                <c:pt idx="162">
                  <c:v>129.72286514024535</c:v>
                </c:pt>
                <c:pt idx="163">
                  <c:v>129.77689689457407</c:v>
                </c:pt>
                <c:pt idx="164">
                  <c:v>129.82962638100261</c:v>
                </c:pt>
                <c:pt idx="165">
                  <c:v>129.88108542257851</c:v>
                </c:pt>
                <c:pt idx="166">
                  <c:v>129.93130501882089</c:v>
                </c:pt>
                <c:pt idx="167">
                  <c:v>129.98031537061038</c:v>
                </c:pt>
                <c:pt idx="168">
                  <c:v>130.02814590409801</c:v>
                </c:pt>
                <c:pt idx="169">
                  <c:v>130.07482529368264</c:v>
                </c:pt>
                <c:pt idx="170">
                  <c:v>130.12038148410446</c:v>
                </c:pt>
                <c:pt idx="171">
                  <c:v>130.16484171169733</c:v>
                </c:pt>
                <c:pt idx="172">
                  <c:v>130.20823252484328</c:v>
                </c:pt>
              </c:numCache>
            </c:numRef>
          </c:yVal>
          <c:smooth val="1"/>
          <c:extLst>
            <c:ext xmlns:c16="http://schemas.microsoft.com/office/drawing/2014/chart" uri="{C3380CC4-5D6E-409C-BE32-E72D297353CC}">
              <c16:uniqueId val="{00000003-17A3-244E-960C-6874C7164352}"/>
            </c:ext>
          </c:extLst>
        </c:ser>
        <c:dLbls>
          <c:showLegendKey val="0"/>
          <c:showVal val="0"/>
          <c:showCatName val="0"/>
          <c:showSerName val="0"/>
          <c:showPercent val="0"/>
          <c:showBubbleSize val="0"/>
        </c:dLbls>
        <c:axId val="138198400"/>
        <c:axId val="138331264"/>
      </c:scatterChart>
      <c:valAx>
        <c:axId val="138198400"/>
        <c:scaling>
          <c:orientation val="minMax"/>
          <c:max val="2020"/>
          <c:min val="191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8331264"/>
        <c:crossesAt val="-1000"/>
        <c:crossBetween val="midCat"/>
        <c:majorUnit val="50"/>
        <c:minorUnit val="10"/>
      </c:valAx>
      <c:valAx>
        <c:axId val="138331264"/>
        <c:scaling>
          <c:logBase val="10"/>
          <c:orientation val="minMax"/>
          <c:max val="10000"/>
          <c:min val="10"/>
        </c:scaling>
        <c:delete val="0"/>
        <c:axPos val="r"/>
        <c:title>
          <c:tx>
            <c:rich>
              <a:bodyPr rot="-5400000" vert="horz"/>
              <a:lstStyle/>
              <a:p>
                <a:pPr>
                  <a:defRPr sz="1200" b="0">
                    <a:solidFill>
                      <a:srgbClr val="333399"/>
                    </a:solidFill>
                  </a:defRPr>
                </a:pPr>
                <a:r>
                  <a:rPr lang="en-US" sz="1200" b="0">
                    <a:solidFill>
                      <a:srgbClr val="333399"/>
                    </a:solidFill>
                  </a:rPr>
                  <a:t>Long-term production, Gt</a:t>
                </a:r>
              </a:p>
            </c:rich>
          </c:tx>
          <c:layout>
            <c:manualLayout>
              <c:xMode val="edge"/>
              <c:yMode val="edge"/>
              <c:x val="0.96179653679653765"/>
              <c:y val="0.14062846310877808"/>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8198400"/>
        <c:crosses val="max"/>
        <c:crossBetween val="midCat"/>
        <c:majorUnit val="10"/>
        <c:minorUnit val="10"/>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31656270238945E-2"/>
          <c:y val="5.7060002916302532E-2"/>
          <c:w val="0.83076115485564306"/>
          <c:h val="0.77264654418197765"/>
        </c:manualLayout>
      </c:layout>
      <c:scatterChart>
        <c:scatterStyle val="smoothMarker"/>
        <c:varyColors val="0"/>
        <c:ser>
          <c:idx val="0"/>
          <c:order val="0"/>
          <c:tx>
            <c:strRef>
              <c:f>'World coal'!$L$5</c:f>
              <c:strCache>
                <c:ptCount val="1"/>
                <c:pt idx="0">
                  <c:v>Q reserves</c:v>
                </c:pt>
              </c:strCache>
            </c:strRef>
          </c:tx>
          <c:spPr>
            <a:ln w="15875">
              <a:noFill/>
            </a:ln>
          </c:spPr>
          <c:marker>
            <c:symbol val="circle"/>
            <c:size val="6"/>
            <c:spPr>
              <a:noFill/>
              <a:ln>
                <a:solidFill>
                  <a:srgbClr val="333399"/>
                </a:solidFill>
              </a:ln>
            </c:spPr>
          </c:marker>
          <c:xVal>
            <c:numRef>
              <c:f>'World coal'!$K$6:$K$21</c:f>
              <c:numCache>
                <c:formatCode>General</c:formatCode>
                <c:ptCount val="16"/>
                <c:pt idx="0">
                  <c:v>1913</c:v>
                </c:pt>
                <c:pt idx="1">
                  <c:v>1936</c:v>
                </c:pt>
                <c:pt idx="2">
                  <c:v>1937</c:v>
                </c:pt>
                <c:pt idx="3">
                  <c:v>1938</c:v>
                </c:pt>
                <c:pt idx="4">
                  <c:v>1948</c:v>
                </c:pt>
                <c:pt idx="5">
                  <c:v>1974</c:v>
                </c:pt>
                <c:pt idx="6">
                  <c:v>1980</c:v>
                </c:pt>
                <c:pt idx="7">
                  <c:v>1986</c:v>
                </c:pt>
                <c:pt idx="8">
                  <c:v>1989</c:v>
                </c:pt>
                <c:pt idx="9">
                  <c:v>1992</c:v>
                </c:pt>
                <c:pt idx="10">
                  <c:v>1995</c:v>
                </c:pt>
                <c:pt idx="11">
                  <c:v>1998</c:v>
                </c:pt>
                <c:pt idx="12">
                  <c:v>2001</c:v>
                </c:pt>
                <c:pt idx="13">
                  <c:v>2004</c:v>
                </c:pt>
                <c:pt idx="14">
                  <c:v>2007</c:v>
                </c:pt>
                <c:pt idx="15">
                  <c:v>2010</c:v>
                </c:pt>
              </c:numCache>
            </c:numRef>
          </c:xVal>
          <c:yVal>
            <c:numRef>
              <c:f>'World coal'!$L$6:$L$21</c:f>
              <c:numCache>
                <c:formatCode>#,##0</c:formatCode>
                <c:ptCount val="16"/>
                <c:pt idx="0">
                  <c:v>7426.9440643290145</c:v>
                </c:pt>
                <c:pt idx="1">
                  <c:v>16140.190192121145</c:v>
                </c:pt>
                <c:pt idx="2">
                  <c:v>16182.625072784496</c:v>
                </c:pt>
                <c:pt idx="3">
                  <c:v>16087.08599188295</c:v>
                </c:pt>
                <c:pt idx="4">
                  <c:v>6344.1436727245364</c:v>
                </c:pt>
                <c:pt idx="5">
                  <c:v>730.9494993826363</c:v>
                </c:pt>
                <c:pt idx="6">
                  <c:v>1041.4112629356714</c:v>
                </c:pt>
                <c:pt idx="7">
                  <c:v>1101.1132730936961</c:v>
                </c:pt>
                <c:pt idx="8">
                  <c:v>1794.670618841513</c:v>
                </c:pt>
                <c:pt idx="9">
                  <c:v>1250.1421745083492</c:v>
                </c:pt>
                <c:pt idx="10">
                  <c:v>1255.9901162435945</c:v>
                </c:pt>
                <c:pt idx="11">
                  <c:v>1222.3202537493823</c:v>
                </c:pt>
                <c:pt idx="12">
                  <c:v>1236.3649123058565</c:v>
                </c:pt>
                <c:pt idx="13">
                  <c:v>1175.2584134504241</c:v>
                </c:pt>
                <c:pt idx="14">
                  <c:v>1130.3475935865195</c:v>
                </c:pt>
                <c:pt idx="15">
                  <c:v>1163.1855945328637</c:v>
                </c:pt>
              </c:numCache>
            </c:numRef>
          </c:yVal>
          <c:smooth val="1"/>
          <c:extLst>
            <c:ext xmlns:c16="http://schemas.microsoft.com/office/drawing/2014/chart" uri="{C3380CC4-5D6E-409C-BE32-E72D297353CC}">
              <c16:uniqueId val="{00000000-A91F-6E46-B376-A27BB9AD964F}"/>
            </c:ext>
          </c:extLst>
        </c:ser>
        <c:ser>
          <c:idx val="1"/>
          <c:order val="1"/>
          <c:tx>
            <c:strRef>
              <c:f>'World coal'!$F$5</c:f>
              <c:strCache>
                <c:ptCount val="1"/>
                <c:pt idx="0">
                  <c:v>Q sum</c:v>
                </c:pt>
              </c:strCache>
            </c:strRef>
          </c:tx>
          <c:spPr>
            <a:ln w="15875">
              <a:solidFill>
                <a:srgbClr val="333399"/>
              </a:solidFill>
            </a:ln>
          </c:spPr>
          <c:marker>
            <c:symbol val="none"/>
          </c:marker>
          <c:xVal>
            <c:numRef>
              <c:f>'World coal'!$D$202:$D$216</c:f>
              <c:numCache>
                <c:formatCode>General</c:formatCode>
                <c:ptCount val="15"/>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numCache>
            </c:numRef>
          </c:xVal>
          <c:yVal>
            <c:numRef>
              <c:f>'World coal'!$F$202:$F$216</c:f>
              <c:numCache>
                <c:formatCode>#,##0.0</c:formatCode>
                <c:ptCount val="15"/>
                <c:pt idx="0">
                  <c:v>748.52158655512108</c:v>
                </c:pt>
                <c:pt idx="1">
                  <c:v>724.76791287401056</c:v>
                </c:pt>
                <c:pt idx="2">
                  <c:v>708.70237269669394</c:v>
                </c:pt>
                <c:pt idx="3">
                  <c:v>687.80025165711118</c:v>
                </c:pt>
                <c:pt idx="4">
                  <c:v>676.0766138822014</c:v>
                </c:pt>
                <c:pt idx="5">
                  <c:v>665.62451877522267</c:v>
                </c:pt>
                <c:pt idx="6">
                  <c:v>671.00471997705495</c:v>
                </c:pt>
                <c:pt idx="7">
                  <c:v>666.37982788102795</c:v>
                </c:pt>
                <c:pt idx="8">
                  <c:v>664.05900077630236</c:v>
                </c:pt>
                <c:pt idx="9">
                  <c:v>671.9492249727474</c:v>
                </c:pt>
                <c:pt idx="10">
                  <c:v>675.92516540380723</c:v>
                </c:pt>
                <c:pt idx="11">
                  <c:v>682.66270717739928</c:v>
                </c:pt>
                <c:pt idx="12">
                  <c:v>653.31777929867621</c:v>
                </c:pt>
                <c:pt idx="13">
                  <c:v>665.77962240144063</c:v>
                </c:pt>
                <c:pt idx="14">
                  <c:v>680.119685482112</c:v>
                </c:pt>
              </c:numCache>
            </c:numRef>
          </c:yVal>
          <c:smooth val="1"/>
          <c:extLst>
            <c:ext xmlns:c16="http://schemas.microsoft.com/office/drawing/2014/chart" uri="{C3380CC4-5D6E-409C-BE32-E72D297353CC}">
              <c16:uniqueId val="{00000001-A91F-6E46-B376-A27BB9AD964F}"/>
            </c:ext>
          </c:extLst>
        </c:ser>
        <c:ser>
          <c:idx val="3"/>
          <c:order val="2"/>
          <c:tx>
            <c:strRef>
              <c:f>'World coal'!$E$5</c:f>
              <c:strCache>
                <c:ptCount val="1"/>
                <c:pt idx="0">
                  <c:v>q Gt</c:v>
                </c:pt>
              </c:strCache>
            </c:strRef>
          </c:tx>
          <c:spPr>
            <a:ln w="15875">
              <a:solidFill>
                <a:srgbClr val="008000"/>
              </a:solidFill>
            </a:ln>
          </c:spPr>
          <c:marker>
            <c:symbol val="none"/>
          </c:marker>
          <c:xVal>
            <c:numRef>
              <c:f>'World coal'!$D$6:$D$216</c:f>
              <c:numCache>
                <c:formatCode>General</c:formatCode>
                <c:ptCount val="211"/>
                <c:pt idx="0">
                  <c:v>1799</c:v>
                </c:pt>
                <c:pt idx="1">
                  <c:v>1800</c:v>
                </c:pt>
                <c:pt idx="2">
                  <c:v>1801</c:v>
                </c:pt>
                <c:pt idx="3">
                  <c:v>1802</c:v>
                </c:pt>
                <c:pt idx="4">
                  <c:v>1803</c:v>
                </c:pt>
                <c:pt idx="5">
                  <c:v>1804</c:v>
                </c:pt>
                <c:pt idx="6">
                  <c:v>1805</c:v>
                </c:pt>
                <c:pt idx="7">
                  <c:v>1806</c:v>
                </c:pt>
                <c:pt idx="8">
                  <c:v>1807</c:v>
                </c:pt>
                <c:pt idx="9">
                  <c:v>1808</c:v>
                </c:pt>
                <c:pt idx="10">
                  <c:v>1809</c:v>
                </c:pt>
                <c:pt idx="11">
                  <c:v>1810</c:v>
                </c:pt>
                <c:pt idx="12">
                  <c:v>1811</c:v>
                </c:pt>
                <c:pt idx="13">
                  <c:v>1812</c:v>
                </c:pt>
                <c:pt idx="14">
                  <c:v>1813</c:v>
                </c:pt>
                <c:pt idx="15">
                  <c:v>1814</c:v>
                </c:pt>
                <c:pt idx="16">
                  <c:v>1815</c:v>
                </c:pt>
                <c:pt idx="17">
                  <c:v>1816</c:v>
                </c:pt>
                <c:pt idx="18">
                  <c:v>1817</c:v>
                </c:pt>
                <c:pt idx="19">
                  <c:v>1818</c:v>
                </c:pt>
                <c:pt idx="20">
                  <c:v>1819</c:v>
                </c:pt>
                <c:pt idx="21">
                  <c:v>1820</c:v>
                </c:pt>
                <c:pt idx="22">
                  <c:v>1821</c:v>
                </c:pt>
                <c:pt idx="23">
                  <c:v>1822</c:v>
                </c:pt>
                <c:pt idx="24">
                  <c:v>1823</c:v>
                </c:pt>
                <c:pt idx="25">
                  <c:v>1824</c:v>
                </c:pt>
                <c:pt idx="26">
                  <c:v>1825</c:v>
                </c:pt>
                <c:pt idx="27">
                  <c:v>1826</c:v>
                </c:pt>
                <c:pt idx="28">
                  <c:v>1827</c:v>
                </c:pt>
                <c:pt idx="29">
                  <c:v>1828</c:v>
                </c:pt>
                <c:pt idx="30">
                  <c:v>1829</c:v>
                </c:pt>
                <c:pt idx="31">
                  <c:v>1830</c:v>
                </c:pt>
                <c:pt idx="32">
                  <c:v>1831</c:v>
                </c:pt>
                <c:pt idx="33">
                  <c:v>1832</c:v>
                </c:pt>
                <c:pt idx="34">
                  <c:v>1833</c:v>
                </c:pt>
                <c:pt idx="35">
                  <c:v>1834</c:v>
                </c:pt>
                <c:pt idx="36">
                  <c:v>1835</c:v>
                </c:pt>
                <c:pt idx="37">
                  <c:v>1836</c:v>
                </c:pt>
                <c:pt idx="38">
                  <c:v>1837</c:v>
                </c:pt>
                <c:pt idx="39">
                  <c:v>1838</c:v>
                </c:pt>
                <c:pt idx="40">
                  <c:v>1839</c:v>
                </c:pt>
                <c:pt idx="41">
                  <c:v>1840</c:v>
                </c:pt>
                <c:pt idx="42">
                  <c:v>1841</c:v>
                </c:pt>
                <c:pt idx="43">
                  <c:v>1842</c:v>
                </c:pt>
                <c:pt idx="44">
                  <c:v>1843</c:v>
                </c:pt>
                <c:pt idx="45">
                  <c:v>1844</c:v>
                </c:pt>
                <c:pt idx="46">
                  <c:v>1845</c:v>
                </c:pt>
                <c:pt idx="47">
                  <c:v>1846</c:v>
                </c:pt>
                <c:pt idx="48">
                  <c:v>1847</c:v>
                </c:pt>
                <c:pt idx="49">
                  <c:v>1848</c:v>
                </c:pt>
                <c:pt idx="50">
                  <c:v>1849</c:v>
                </c:pt>
                <c:pt idx="51">
                  <c:v>1850</c:v>
                </c:pt>
                <c:pt idx="52">
                  <c:v>1851</c:v>
                </c:pt>
                <c:pt idx="53">
                  <c:v>1852</c:v>
                </c:pt>
                <c:pt idx="54">
                  <c:v>1853</c:v>
                </c:pt>
                <c:pt idx="55">
                  <c:v>1854</c:v>
                </c:pt>
                <c:pt idx="56">
                  <c:v>1855</c:v>
                </c:pt>
                <c:pt idx="57">
                  <c:v>1856</c:v>
                </c:pt>
                <c:pt idx="58">
                  <c:v>1857</c:v>
                </c:pt>
                <c:pt idx="59">
                  <c:v>1858</c:v>
                </c:pt>
                <c:pt idx="60">
                  <c:v>1859</c:v>
                </c:pt>
                <c:pt idx="61">
                  <c:v>1860</c:v>
                </c:pt>
                <c:pt idx="62">
                  <c:v>1861</c:v>
                </c:pt>
                <c:pt idx="63">
                  <c:v>1862</c:v>
                </c:pt>
                <c:pt idx="64">
                  <c:v>1863</c:v>
                </c:pt>
                <c:pt idx="65">
                  <c:v>1864</c:v>
                </c:pt>
                <c:pt idx="66">
                  <c:v>1865</c:v>
                </c:pt>
                <c:pt idx="67">
                  <c:v>1866</c:v>
                </c:pt>
                <c:pt idx="68">
                  <c:v>1867</c:v>
                </c:pt>
                <c:pt idx="69">
                  <c:v>1868</c:v>
                </c:pt>
                <c:pt idx="70">
                  <c:v>1869</c:v>
                </c:pt>
                <c:pt idx="71">
                  <c:v>1870</c:v>
                </c:pt>
                <c:pt idx="72">
                  <c:v>1871</c:v>
                </c:pt>
                <c:pt idx="73">
                  <c:v>1872</c:v>
                </c:pt>
                <c:pt idx="74">
                  <c:v>1873</c:v>
                </c:pt>
                <c:pt idx="75">
                  <c:v>1874</c:v>
                </c:pt>
                <c:pt idx="76">
                  <c:v>1875</c:v>
                </c:pt>
                <c:pt idx="77">
                  <c:v>1876</c:v>
                </c:pt>
                <c:pt idx="78">
                  <c:v>1877</c:v>
                </c:pt>
                <c:pt idx="79">
                  <c:v>1878</c:v>
                </c:pt>
                <c:pt idx="80">
                  <c:v>1879</c:v>
                </c:pt>
                <c:pt idx="81">
                  <c:v>1880</c:v>
                </c:pt>
                <c:pt idx="82">
                  <c:v>1881</c:v>
                </c:pt>
                <c:pt idx="83">
                  <c:v>1882</c:v>
                </c:pt>
                <c:pt idx="84">
                  <c:v>1883</c:v>
                </c:pt>
                <c:pt idx="85">
                  <c:v>1884</c:v>
                </c:pt>
                <c:pt idx="86">
                  <c:v>1885</c:v>
                </c:pt>
                <c:pt idx="87">
                  <c:v>1886</c:v>
                </c:pt>
                <c:pt idx="88">
                  <c:v>1887</c:v>
                </c:pt>
                <c:pt idx="89">
                  <c:v>1888</c:v>
                </c:pt>
                <c:pt idx="90">
                  <c:v>1889</c:v>
                </c:pt>
                <c:pt idx="91">
                  <c:v>1890</c:v>
                </c:pt>
                <c:pt idx="92">
                  <c:v>1891</c:v>
                </c:pt>
                <c:pt idx="93">
                  <c:v>1892</c:v>
                </c:pt>
                <c:pt idx="94">
                  <c:v>1893</c:v>
                </c:pt>
                <c:pt idx="95">
                  <c:v>1894</c:v>
                </c:pt>
                <c:pt idx="96">
                  <c:v>1895</c:v>
                </c:pt>
                <c:pt idx="97">
                  <c:v>1896</c:v>
                </c:pt>
                <c:pt idx="98">
                  <c:v>1897</c:v>
                </c:pt>
                <c:pt idx="99">
                  <c:v>1898</c:v>
                </c:pt>
                <c:pt idx="100">
                  <c:v>1899</c:v>
                </c:pt>
                <c:pt idx="101">
                  <c:v>1900</c:v>
                </c:pt>
                <c:pt idx="102">
                  <c:v>1901</c:v>
                </c:pt>
                <c:pt idx="103">
                  <c:v>1902</c:v>
                </c:pt>
                <c:pt idx="104">
                  <c:v>1903</c:v>
                </c:pt>
                <c:pt idx="105">
                  <c:v>1904</c:v>
                </c:pt>
                <c:pt idx="106">
                  <c:v>1905</c:v>
                </c:pt>
                <c:pt idx="107">
                  <c:v>1906</c:v>
                </c:pt>
                <c:pt idx="108">
                  <c:v>1907</c:v>
                </c:pt>
                <c:pt idx="109">
                  <c:v>1908</c:v>
                </c:pt>
                <c:pt idx="110">
                  <c:v>1909</c:v>
                </c:pt>
                <c:pt idx="111">
                  <c:v>1910</c:v>
                </c:pt>
                <c:pt idx="112">
                  <c:v>1911</c:v>
                </c:pt>
                <c:pt idx="113">
                  <c:v>1912</c:v>
                </c:pt>
                <c:pt idx="114">
                  <c:v>1913</c:v>
                </c:pt>
                <c:pt idx="115">
                  <c:v>1914</c:v>
                </c:pt>
                <c:pt idx="116">
                  <c:v>1915</c:v>
                </c:pt>
                <c:pt idx="117">
                  <c:v>1916</c:v>
                </c:pt>
                <c:pt idx="118">
                  <c:v>1917</c:v>
                </c:pt>
                <c:pt idx="119">
                  <c:v>1918</c:v>
                </c:pt>
                <c:pt idx="120">
                  <c:v>1919</c:v>
                </c:pt>
                <c:pt idx="121">
                  <c:v>1920</c:v>
                </c:pt>
                <c:pt idx="122">
                  <c:v>1921</c:v>
                </c:pt>
                <c:pt idx="123">
                  <c:v>1922</c:v>
                </c:pt>
                <c:pt idx="124">
                  <c:v>1923</c:v>
                </c:pt>
                <c:pt idx="125">
                  <c:v>1924</c:v>
                </c:pt>
                <c:pt idx="126">
                  <c:v>1925</c:v>
                </c:pt>
                <c:pt idx="127">
                  <c:v>1926</c:v>
                </c:pt>
                <c:pt idx="128">
                  <c:v>1927</c:v>
                </c:pt>
                <c:pt idx="129">
                  <c:v>1928</c:v>
                </c:pt>
                <c:pt idx="130">
                  <c:v>1929</c:v>
                </c:pt>
                <c:pt idx="131">
                  <c:v>1930</c:v>
                </c:pt>
                <c:pt idx="132">
                  <c:v>1931</c:v>
                </c:pt>
                <c:pt idx="133">
                  <c:v>1932</c:v>
                </c:pt>
                <c:pt idx="134">
                  <c:v>1933</c:v>
                </c:pt>
                <c:pt idx="135">
                  <c:v>1934</c:v>
                </c:pt>
                <c:pt idx="136">
                  <c:v>1935</c:v>
                </c:pt>
                <c:pt idx="137">
                  <c:v>1936</c:v>
                </c:pt>
                <c:pt idx="138">
                  <c:v>1937</c:v>
                </c:pt>
                <c:pt idx="139">
                  <c:v>1938</c:v>
                </c:pt>
                <c:pt idx="140">
                  <c:v>1939</c:v>
                </c:pt>
                <c:pt idx="141">
                  <c:v>1940</c:v>
                </c:pt>
                <c:pt idx="142">
                  <c:v>1941</c:v>
                </c:pt>
                <c:pt idx="143">
                  <c:v>1942</c:v>
                </c:pt>
                <c:pt idx="144">
                  <c:v>1943</c:v>
                </c:pt>
                <c:pt idx="145">
                  <c:v>1944</c:v>
                </c:pt>
                <c:pt idx="146">
                  <c:v>1945</c:v>
                </c:pt>
                <c:pt idx="147">
                  <c:v>1946</c:v>
                </c:pt>
                <c:pt idx="148">
                  <c:v>1947</c:v>
                </c:pt>
                <c:pt idx="149">
                  <c:v>1948</c:v>
                </c:pt>
                <c:pt idx="150">
                  <c:v>1949</c:v>
                </c:pt>
                <c:pt idx="151">
                  <c:v>1950</c:v>
                </c:pt>
                <c:pt idx="152">
                  <c:v>1951</c:v>
                </c:pt>
                <c:pt idx="153">
                  <c:v>1952</c:v>
                </c:pt>
                <c:pt idx="154">
                  <c:v>1953</c:v>
                </c:pt>
                <c:pt idx="155">
                  <c:v>1954</c:v>
                </c:pt>
                <c:pt idx="156">
                  <c:v>1955</c:v>
                </c:pt>
                <c:pt idx="157">
                  <c:v>1956</c:v>
                </c:pt>
                <c:pt idx="158">
                  <c:v>1957</c:v>
                </c:pt>
                <c:pt idx="159">
                  <c:v>1958</c:v>
                </c:pt>
                <c:pt idx="160">
                  <c:v>1959</c:v>
                </c:pt>
                <c:pt idx="161">
                  <c:v>1960</c:v>
                </c:pt>
                <c:pt idx="162">
                  <c:v>1961</c:v>
                </c:pt>
                <c:pt idx="163">
                  <c:v>1962</c:v>
                </c:pt>
                <c:pt idx="164">
                  <c:v>1963</c:v>
                </c:pt>
                <c:pt idx="165">
                  <c:v>1964</c:v>
                </c:pt>
                <c:pt idx="166">
                  <c:v>1965</c:v>
                </c:pt>
                <c:pt idx="167">
                  <c:v>1966</c:v>
                </c:pt>
                <c:pt idx="168">
                  <c:v>1967</c:v>
                </c:pt>
                <c:pt idx="169">
                  <c:v>1968</c:v>
                </c:pt>
                <c:pt idx="170">
                  <c:v>1969</c:v>
                </c:pt>
                <c:pt idx="171">
                  <c:v>1970</c:v>
                </c:pt>
                <c:pt idx="172">
                  <c:v>1971</c:v>
                </c:pt>
                <c:pt idx="173">
                  <c:v>1972</c:v>
                </c:pt>
                <c:pt idx="174">
                  <c:v>1973</c:v>
                </c:pt>
                <c:pt idx="175">
                  <c:v>1974</c:v>
                </c:pt>
                <c:pt idx="176">
                  <c:v>1975</c:v>
                </c:pt>
                <c:pt idx="177">
                  <c:v>1976</c:v>
                </c:pt>
                <c:pt idx="178">
                  <c:v>1977</c:v>
                </c:pt>
                <c:pt idx="179">
                  <c:v>1978</c:v>
                </c:pt>
                <c:pt idx="180">
                  <c:v>1979</c:v>
                </c:pt>
                <c:pt idx="181">
                  <c:v>1980</c:v>
                </c:pt>
                <c:pt idx="182">
                  <c:v>1981</c:v>
                </c:pt>
                <c:pt idx="183">
                  <c:v>1982</c:v>
                </c:pt>
                <c:pt idx="184">
                  <c:v>1983</c:v>
                </c:pt>
                <c:pt idx="185">
                  <c:v>1984</c:v>
                </c:pt>
                <c:pt idx="186">
                  <c:v>1985</c:v>
                </c:pt>
                <c:pt idx="187">
                  <c:v>1986</c:v>
                </c:pt>
                <c:pt idx="188">
                  <c:v>1987</c:v>
                </c:pt>
                <c:pt idx="189">
                  <c:v>1988</c:v>
                </c:pt>
                <c:pt idx="190">
                  <c:v>1989</c:v>
                </c:pt>
                <c:pt idx="191">
                  <c:v>1990</c:v>
                </c:pt>
                <c:pt idx="192">
                  <c:v>1991</c:v>
                </c:pt>
                <c:pt idx="193">
                  <c:v>1992</c:v>
                </c:pt>
                <c:pt idx="194">
                  <c:v>1993</c:v>
                </c:pt>
                <c:pt idx="195">
                  <c:v>1994</c:v>
                </c:pt>
                <c:pt idx="196">
                  <c:v>1995</c:v>
                </c:pt>
                <c:pt idx="197">
                  <c:v>1996</c:v>
                </c:pt>
                <c:pt idx="198">
                  <c:v>1997</c:v>
                </c:pt>
                <c:pt idx="199">
                  <c:v>1998</c:v>
                </c:pt>
                <c:pt idx="200">
                  <c:v>1999</c:v>
                </c:pt>
                <c:pt idx="201">
                  <c:v>2000</c:v>
                </c:pt>
                <c:pt idx="202">
                  <c:v>2001</c:v>
                </c:pt>
                <c:pt idx="203">
                  <c:v>2002</c:v>
                </c:pt>
                <c:pt idx="204">
                  <c:v>2003</c:v>
                </c:pt>
                <c:pt idx="205">
                  <c:v>2004</c:v>
                </c:pt>
                <c:pt idx="206">
                  <c:v>2005</c:v>
                </c:pt>
                <c:pt idx="207">
                  <c:v>2006</c:v>
                </c:pt>
                <c:pt idx="208">
                  <c:v>2007</c:v>
                </c:pt>
                <c:pt idx="209">
                  <c:v>2008</c:v>
                </c:pt>
                <c:pt idx="210">
                  <c:v>2009</c:v>
                </c:pt>
              </c:numCache>
            </c:numRef>
          </c:xVal>
          <c:yVal>
            <c:numRef>
              <c:f>'World coal'!$E$6:$E$216</c:f>
              <c:numCache>
                <c:formatCode>#,##0.0</c:formatCode>
                <c:ptCount val="211"/>
                <c:pt idx="0">
                  <c:v>1.7600000000000001E-5</c:v>
                </c:pt>
                <c:pt idx="1">
                  <c:v>1.1375263091322179E-4</c:v>
                </c:pt>
                <c:pt idx="2">
                  <c:v>2.1545837027100808E-4</c:v>
                </c:pt>
                <c:pt idx="3">
                  <c:v>3.2361440281411969E-4</c:v>
                </c:pt>
                <c:pt idx="4">
                  <c:v>4.3740674761660571E-4</c:v>
                </c:pt>
                <c:pt idx="5">
                  <c:v>5.6431575650085634E-4</c:v>
                </c:pt>
                <c:pt idx="6">
                  <c:v>6.9554317442964463E-4</c:v>
                </c:pt>
                <c:pt idx="7">
                  <c:v>8.3198403072150284E-4</c:v>
                </c:pt>
                <c:pt idx="8">
                  <c:v>9.732276069023551E-4</c:v>
                </c:pt>
                <c:pt idx="9">
                  <c:v>1.1198421361055435E-3</c:v>
                </c:pt>
                <c:pt idx="10">
                  <c:v>1.2719183368051445E-3</c:v>
                </c:pt>
                <c:pt idx="11">
                  <c:v>1.4301819567937664E-3</c:v>
                </c:pt>
                <c:pt idx="12">
                  <c:v>1.5989982013011369E-3</c:v>
                </c:pt>
                <c:pt idx="13">
                  <c:v>1.7812300614976906E-3</c:v>
                </c:pt>
                <c:pt idx="14">
                  <c:v>1.9771236150945416E-3</c:v>
                </c:pt>
                <c:pt idx="15">
                  <c:v>2.1884493092843254E-3</c:v>
                </c:pt>
                <c:pt idx="16">
                  <c:v>3.3154878625411182E-3</c:v>
                </c:pt>
                <c:pt idx="17">
                  <c:v>4.5050685196576633E-3</c:v>
                </c:pt>
                <c:pt idx="18">
                  <c:v>7.0565616105524673E-3</c:v>
                </c:pt>
                <c:pt idx="19">
                  <c:v>9.6711864753885185E-3</c:v>
                </c:pt>
                <c:pt idx="20">
                  <c:v>1.231190461750574E-2</c:v>
                </c:pt>
                <c:pt idx="21">
                  <c:v>1.5095204329245972E-2</c:v>
                </c:pt>
                <c:pt idx="22">
                  <c:v>1.8067197455415566E-2</c:v>
                </c:pt>
                <c:pt idx="23">
                  <c:v>2.1222957946503605E-2</c:v>
                </c:pt>
                <c:pt idx="24">
                  <c:v>2.4465472674033706E-2</c:v>
                </c:pt>
                <c:pt idx="25">
                  <c:v>2.8024647240166393E-2</c:v>
                </c:pt>
                <c:pt idx="26">
                  <c:v>3.1703305878742455E-2</c:v>
                </c:pt>
                <c:pt idx="27">
                  <c:v>3.5542465642034643E-2</c:v>
                </c:pt>
                <c:pt idx="28">
                  <c:v>3.9626400299418323E-2</c:v>
                </c:pt>
                <c:pt idx="29">
                  <c:v>4.387371406007138E-2</c:v>
                </c:pt>
                <c:pt idx="30">
                  <c:v>0.94474936546050392</c:v>
                </c:pt>
                <c:pt idx="31">
                  <c:v>0.9798796108841098</c:v>
                </c:pt>
                <c:pt idx="32">
                  <c:v>1.0181646201081485</c:v>
                </c:pt>
                <c:pt idx="33">
                  <c:v>1.0577366665903241</c:v>
                </c:pt>
                <c:pt idx="34">
                  <c:v>1.0987682674709005</c:v>
                </c:pt>
                <c:pt idx="35">
                  <c:v>1.1409076792624651</c:v>
                </c:pt>
                <c:pt idx="36">
                  <c:v>1.1850794172500876</c:v>
                </c:pt>
                <c:pt idx="37">
                  <c:v>1.2316131353642357</c:v>
                </c:pt>
                <c:pt idx="38">
                  <c:v>1.2809523995739289</c:v>
                </c:pt>
                <c:pt idx="39">
                  <c:v>1.3321837092188287</c:v>
                </c:pt>
                <c:pt idx="40">
                  <c:v>1.385524281606811</c:v>
                </c:pt>
                <c:pt idx="41">
                  <c:v>1.4414168054651939</c:v>
                </c:pt>
                <c:pt idx="42">
                  <c:v>1.4993362957470102</c:v>
                </c:pt>
                <c:pt idx="43">
                  <c:v>1.5590095388960998</c:v>
                </c:pt>
                <c:pt idx="44">
                  <c:v>1.6204991936962199</c:v>
                </c:pt>
                <c:pt idx="45">
                  <c:v>1.6850965582117543</c:v>
                </c:pt>
                <c:pt idx="46">
                  <c:v>1.755692035687044</c:v>
                </c:pt>
                <c:pt idx="47">
                  <c:v>1.8296265433784835</c:v>
                </c:pt>
                <c:pt idx="48">
                  <c:v>1.907202246812717</c:v>
                </c:pt>
                <c:pt idx="49">
                  <c:v>1.9859372277661489</c:v>
                </c:pt>
                <c:pt idx="50">
                  <c:v>2.0685454796428155</c:v>
                </c:pt>
                <c:pt idx="51">
                  <c:v>2.1563221411455058</c:v>
                </c:pt>
                <c:pt idx="52">
                  <c:v>2.2505969331597941</c:v>
                </c:pt>
                <c:pt idx="53">
                  <c:v>2.3511092510525051</c:v>
                </c:pt>
                <c:pt idx="54">
                  <c:v>2.458356911220402</c:v>
                </c:pt>
                <c:pt idx="55">
                  <c:v>2.5747682309911917</c:v>
                </c:pt>
                <c:pt idx="56">
                  <c:v>2.6967219242284828</c:v>
                </c:pt>
                <c:pt idx="57">
                  <c:v>2.8237385706249003</c:v>
                </c:pt>
                <c:pt idx="58">
                  <c:v>2.9555837993949798</c:v>
                </c:pt>
                <c:pt idx="59">
                  <c:v>3.0873898385228524</c:v>
                </c:pt>
                <c:pt idx="60">
                  <c:v>3.22191839215394</c:v>
                </c:pt>
                <c:pt idx="61">
                  <c:v>3.368476399880791</c:v>
                </c:pt>
                <c:pt idx="62">
                  <c:v>3.5179606288364225</c:v>
                </c:pt>
                <c:pt idx="63">
                  <c:v>3.6731010813586353</c:v>
                </c:pt>
                <c:pt idx="64">
                  <c:v>3.8387411297492031</c:v>
                </c:pt>
                <c:pt idx="65">
                  <c:v>4.0133272456824214</c:v>
                </c:pt>
                <c:pt idx="66">
                  <c:v>4.1963186212249726</c:v>
                </c:pt>
                <c:pt idx="67">
                  <c:v>4.386995388500126</c:v>
                </c:pt>
                <c:pt idx="68">
                  <c:v>4.5840471148755304</c:v>
                </c:pt>
                <c:pt idx="69">
                  <c:v>4.7896276561931552</c:v>
                </c:pt>
                <c:pt idx="70">
                  <c:v>5.0051679725655758</c:v>
                </c:pt>
                <c:pt idx="71">
                  <c:v>5.2279797233286835</c:v>
                </c:pt>
                <c:pt idx="72">
                  <c:v>5.4667751999721244</c:v>
                </c:pt>
                <c:pt idx="73">
                  <c:v>5.7279980315276964</c:v>
                </c:pt>
                <c:pt idx="74">
                  <c:v>6.005155763089391</c:v>
                </c:pt>
                <c:pt idx="75">
                  <c:v>6.2779999858542341</c:v>
                </c:pt>
                <c:pt idx="76">
                  <c:v>6.560009162800303</c:v>
                </c:pt>
                <c:pt idx="77">
                  <c:v>6.843979898619982</c:v>
                </c:pt>
                <c:pt idx="78">
                  <c:v>7.1488159934225957</c:v>
                </c:pt>
                <c:pt idx="79">
                  <c:v>7.4392978311089006</c:v>
                </c:pt>
                <c:pt idx="80">
                  <c:v>7.747240238535948</c:v>
                </c:pt>
                <c:pt idx="81">
                  <c:v>8.0877330857379999</c:v>
                </c:pt>
                <c:pt idx="82">
                  <c:v>8.4474744531027479</c:v>
                </c:pt>
                <c:pt idx="83">
                  <c:v>8.8269076888776041</c:v>
                </c:pt>
                <c:pt idx="84">
                  <c:v>9.2317352258689382</c:v>
                </c:pt>
                <c:pt idx="85">
                  <c:v>9.6374086246431609</c:v>
                </c:pt>
                <c:pt idx="86">
                  <c:v>10.044425185188535</c:v>
                </c:pt>
                <c:pt idx="87">
                  <c:v>10.451475653422047</c:v>
                </c:pt>
                <c:pt idx="88">
                  <c:v>10.885890055205079</c:v>
                </c:pt>
                <c:pt idx="89">
                  <c:v>11.353021093607792</c:v>
                </c:pt>
                <c:pt idx="90">
                  <c:v>11.833092901031995</c:v>
                </c:pt>
                <c:pt idx="91">
                  <c:v>12.34427962464699</c:v>
                </c:pt>
                <c:pt idx="92">
                  <c:v>12.876607823423694</c:v>
                </c:pt>
                <c:pt idx="93">
                  <c:v>13.415767395348322</c:v>
                </c:pt>
                <c:pt idx="94">
                  <c:v>13.947002280217342</c:v>
                </c:pt>
                <c:pt idx="95">
                  <c:v>14.498717475813391</c:v>
                </c:pt>
                <c:pt idx="96">
                  <c:v>15.082237417688562</c:v>
                </c:pt>
                <c:pt idx="97">
                  <c:v>15.683669319818863</c:v>
                </c:pt>
                <c:pt idx="98">
                  <c:v>16.314330673552508</c:v>
                </c:pt>
                <c:pt idx="99">
                  <c:v>16.979949812267456</c:v>
                </c:pt>
                <c:pt idx="100">
                  <c:v>17.709149375267142</c:v>
                </c:pt>
                <c:pt idx="101">
                  <c:v>18.47820414619904</c:v>
                </c:pt>
                <c:pt idx="102">
                  <c:v>19.269661556122728</c:v>
                </c:pt>
                <c:pt idx="103">
                  <c:v>20.075482635929099</c:v>
                </c:pt>
                <c:pt idx="104">
                  <c:v>20.957224170674998</c:v>
                </c:pt>
                <c:pt idx="105">
                  <c:v>21.847346010271142</c:v>
                </c:pt>
                <c:pt idx="106">
                  <c:v>22.78792377840016</c:v>
                </c:pt>
                <c:pt idx="107">
                  <c:v>23.794619885830734</c:v>
                </c:pt>
                <c:pt idx="108">
                  <c:v>24.90671940239276</c:v>
                </c:pt>
                <c:pt idx="109">
                  <c:v>25.970904225666089</c:v>
                </c:pt>
                <c:pt idx="110">
                  <c:v>27.073235839075259</c:v>
                </c:pt>
                <c:pt idx="111">
                  <c:v>28.230950581872037</c:v>
                </c:pt>
                <c:pt idx="112">
                  <c:v>29.411064329013815</c:v>
                </c:pt>
                <c:pt idx="113">
                  <c:v>30.656061029382176</c:v>
                </c:pt>
                <c:pt idx="114">
                  <c:v>32.033415206893622</c:v>
                </c:pt>
                <c:pt idx="115">
                  <c:v>33.277251475049646</c:v>
                </c:pt>
                <c:pt idx="116">
                  <c:v>34.495483105670019</c:v>
                </c:pt>
                <c:pt idx="117">
                  <c:v>35.76725244267945</c:v>
                </c:pt>
                <c:pt idx="118">
                  <c:v>37.106349016222616</c:v>
                </c:pt>
                <c:pt idx="119">
                  <c:v>38.428583435560483</c:v>
                </c:pt>
                <c:pt idx="120">
                  <c:v>39.594957891058719</c:v>
                </c:pt>
                <c:pt idx="121">
                  <c:v>40.906763299580419</c:v>
                </c:pt>
                <c:pt idx="122">
                  <c:v>42.031449924266944</c:v>
                </c:pt>
                <c:pt idx="123">
                  <c:v>43.244926823729401</c:v>
                </c:pt>
                <c:pt idx="124">
                  <c:v>44.596258178880753</c:v>
                </c:pt>
                <c:pt idx="125">
                  <c:v>45.940744339226711</c:v>
                </c:pt>
                <c:pt idx="126">
                  <c:v>47.298227015931204</c:v>
                </c:pt>
                <c:pt idx="127">
                  <c:v>48.649033405094684</c:v>
                </c:pt>
                <c:pt idx="128">
                  <c:v>50.111829393769732</c:v>
                </c:pt>
                <c:pt idx="129">
                  <c:v>51.560487626425207</c:v>
                </c:pt>
                <c:pt idx="130">
                  <c:v>53.102355111911002</c:v>
                </c:pt>
                <c:pt idx="131">
                  <c:v>54.498767587969418</c:v>
                </c:pt>
                <c:pt idx="132">
                  <c:v>55.742734098269636</c:v>
                </c:pt>
                <c:pt idx="133">
                  <c:v>56.856287749379852</c:v>
                </c:pt>
                <c:pt idx="134">
                  <c:v>58.019566502780222</c:v>
                </c:pt>
                <c:pt idx="135">
                  <c:v>59.290192121144202</c:v>
                </c:pt>
                <c:pt idx="136">
                  <c:v>60.625072784495892</c:v>
                </c:pt>
                <c:pt idx="137">
                  <c:v>62.085991882949322</c:v>
                </c:pt>
                <c:pt idx="138">
                  <c:v>63.638483473086289</c:v>
                </c:pt>
                <c:pt idx="139">
                  <c:v>65.110126852227509</c:v>
                </c:pt>
                <c:pt idx="140">
                  <c:v>66.67479885050632</c:v>
                </c:pt>
                <c:pt idx="141">
                  <c:v>68.363417057640021</c:v>
                </c:pt>
                <c:pt idx="142">
                  <c:v>70.114919293276429</c:v>
                </c:pt>
                <c:pt idx="143">
                  <c:v>71.882461614485976</c:v>
                </c:pt>
                <c:pt idx="144">
                  <c:v>73.675320781532193</c:v>
                </c:pt>
                <c:pt idx="145">
                  <c:v>75.411959270155478</c:v>
                </c:pt>
                <c:pt idx="146">
                  <c:v>76.679689961399191</c:v>
                </c:pt>
                <c:pt idx="147">
                  <c:v>78.143672724536401</c:v>
                </c:pt>
                <c:pt idx="148">
                  <c:v>79.780226210662164</c:v>
                </c:pt>
                <c:pt idx="149">
                  <c:v>81.478220464811315</c:v>
                </c:pt>
                <c:pt idx="150">
                  <c:v>83.134154235678693</c:v>
                </c:pt>
                <c:pt idx="151">
                  <c:v>84.93654067818413</c:v>
                </c:pt>
                <c:pt idx="152">
                  <c:v>86.842228995750489</c:v>
                </c:pt>
                <c:pt idx="153">
                  <c:v>88.753912305646267</c:v>
                </c:pt>
                <c:pt idx="154">
                  <c:v>90.690715276290561</c:v>
                </c:pt>
                <c:pt idx="155">
                  <c:v>92.637737636170527</c:v>
                </c:pt>
                <c:pt idx="156">
                  <c:v>94.748363379956061</c:v>
                </c:pt>
                <c:pt idx="157">
                  <c:v>96.979904268807857</c:v>
                </c:pt>
                <c:pt idx="158">
                  <c:v>99.284239566281059</c:v>
                </c:pt>
                <c:pt idx="159">
                  <c:v>101.69021292253399</c:v>
                </c:pt>
                <c:pt idx="160">
                  <c:v>104.21818189461213</c:v>
                </c:pt>
                <c:pt idx="161">
                  <c:v>106.81253153588199</c:v>
                </c:pt>
                <c:pt idx="162">
                  <c:v>109.30657086614686</c:v>
                </c:pt>
                <c:pt idx="163">
                  <c:v>111.81396997628468</c:v>
                </c:pt>
                <c:pt idx="164">
                  <c:v>114.40299399865201</c:v>
                </c:pt>
                <c:pt idx="165">
                  <c:v>117.06982921561826</c:v>
                </c:pt>
                <c:pt idx="166">
                  <c:v>119.79004284350107</c:v>
                </c:pt>
                <c:pt idx="167">
                  <c:v>122.53461441781339</c:v>
                </c:pt>
                <c:pt idx="168">
                  <c:v>125.2278047485438</c:v>
                </c:pt>
                <c:pt idx="169">
                  <c:v>127.94653743683376</c:v>
                </c:pt>
                <c:pt idx="170">
                  <c:v>130.76205196574386</c:v>
                </c:pt>
                <c:pt idx="171">
                  <c:v>133.72935667620308</c:v>
                </c:pt>
                <c:pt idx="172">
                  <c:v>136.72627083380584</c:v>
                </c:pt>
                <c:pt idx="173">
                  <c:v>139.7584993826363</c:v>
                </c:pt>
                <c:pt idx="174">
                  <c:v>142.82921413854399</c:v>
                </c:pt>
                <c:pt idx="175">
                  <c:v>145.91202069565708</c:v>
                </c:pt>
                <c:pt idx="176">
                  <c:v>149.20512302153344</c:v>
                </c:pt>
                <c:pt idx="177">
                  <c:v>152.57683064388209</c:v>
                </c:pt>
                <c:pt idx="178">
                  <c:v>156.05898038106423</c:v>
                </c:pt>
                <c:pt idx="179">
                  <c:v>159.61126293567136</c:v>
                </c:pt>
                <c:pt idx="180">
                  <c:v>163.33382178096082</c:v>
                </c:pt>
                <c:pt idx="181">
                  <c:v>167.13121896037001</c:v>
                </c:pt>
                <c:pt idx="182">
                  <c:v>170.95570206686276</c:v>
                </c:pt>
                <c:pt idx="183">
                  <c:v>174.9324115799028</c:v>
                </c:pt>
                <c:pt idx="184">
                  <c:v>178.91918483694096</c:v>
                </c:pt>
                <c:pt idx="185">
                  <c:v>183.11327309369611</c:v>
                </c:pt>
                <c:pt idx="186">
                  <c:v>187.53367905805433</c:v>
                </c:pt>
                <c:pt idx="187">
                  <c:v>192.06220120335672</c:v>
                </c:pt>
                <c:pt idx="188">
                  <c:v>196.69061884151296</c:v>
                </c:pt>
                <c:pt idx="189">
                  <c:v>201.42406212926645</c:v>
                </c:pt>
                <c:pt idx="190">
                  <c:v>206.24108963679461</c:v>
                </c:pt>
                <c:pt idx="191">
                  <c:v>210.95917450834912</c:v>
                </c:pt>
                <c:pt idx="192">
                  <c:v>215.49800333623367</c:v>
                </c:pt>
                <c:pt idx="193">
                  <c:v>219.99830131682822</c:v>
                </c:pt>
                <c:pt idx="194">
                  <c:v>224.38011624359461</c:v>
                </c:pt>
                <c:pt idx="195">
                  <c:v>228.85021915772322</c:v>
                </c:pt>
                <c:pt idx="196">
                  <c:v>233.44292358256544</c:v>
                </c:pt>
                <c:pt idx="197">
                  <c:v>238.10925374938239</c:v>
                </c:pt>
                <c:pt idx="198">
                  <c:v>242.8111895929386</c:v>
                </c:pt>
                <c:pt idx="199">
                  <c:v>247.36834758376969</c:v>
                </c:pt>
                <c:pt idx="200">
                  <c:v>251.91191230585648</c:v>
                </c:pt>
                <c:pt idx="201">
                  <c:v>256.52018002404628</c:v>
                </c:pt>
                <c:pt idx="202">
                  <c:v>261.34168037194775</c:v>
                </c:pt>
                <c:pt idx="203">
                  <c:v>266.19441345042407</c:v>
                </c:pt>
                <c:pt idx="204">
                  <c:v>271.38283551784275</c:v>
                </c:pt>
                <c:pt idx="205">
                  <c:v>276.96850500257875</c:v>
                </c:pt>
                <c:pt idx="206">
                  <c:v>282.85959358651934</c:v>
                </c:pt>
                <c:pt idx="207">
                  <c:v>289.04623266815912</c:v>
                </c:pt>
                <c:pt idx="208">
                  <c:v>295.45431768840831</c:v>
                </c:pt>
                <c:pt idx="209">
                  <c:v>302.24759453286367</c:v>
                </c:pt>
                <c:pt idx="210">
                  <c:v>309.18816678882757</c:v>
                </c:pt>
              </c:numCache>
            </c:numRef>
          </c:yVal>
          <c:smooth val="1"/>
          <c:extLst>
            <c:ext xmlns:c16="http://schemas.microsoft.com/office/drawing/2014/chart" uri="{C3380CC4-5D6E-409C-BE32-E72D297353CC}">
              <c16:uniqueId val="{00000002-A91F-6E46-B376-A27BB9AD964F}"/>
            </c:ext>
          </c:extLst>
        </c:ser>
        <c:ser>
          <c:idx val="2"/>
          <c:order val="3"/>
          <c:tx>
            <c:strRef>
              <c:f>'World coal'!$G$5</c:f>
              <c:strCache>
                <c:ptCount val="1"/>
                <c:pt idx="0">
                  <c:v>q sum</c:v>
                </c:pt>
              </c:strCache>
            </c:strRef>
          </c:tx>
          <c:spPr>
            <a:ln w="15875">
              <a:solidFill>
                <a:srgbClr val="808080"/>
              </a:solidFill>
              <a:prstDash val="dash"/>
            </a:ln>
          </c:spPr>
          <c:marker>
            <c:symbol val="none"/>
          </c:marker>
          <c:xVal>
            <c:numRef>
              <c:f>'World coal'!$D$202:$D$357</c:f>
              <c:numCache>
                <c:formatCode>General</c:formatCode>
                <c:ptCount val="1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pt idx="56">
                  <c:v>2051</c:v>
                </c:pt>
                <c:pt idx="57">
                  <c:v>2052</c:v>
                </c:pt>
                <c:pt idx="58">
                  <c:v>2053</c:v>
                </c:pt>
                <c:pt idx="59">
                  <c:v>2054</c:v>
                </c:pt>
                <c:pt idx="60">
                  <c:v>2055</c:v>
                </c:pt>
                <c:pt idx="61">
                  <c:v>2056</c:v>
                </c:pt>
                <c:pt idx="62">
                  <c:v>2057</c:v>
                </c:pt>
                <c:pt idx="63">
                  <c:v>2058</c:v>
                </c:pt>
                <c:pt idx="64">
                  <c:v>2059</c:v>
                </c:pt>
                <c:pt idx="65">
                  <c:v>2060</c:v>
                </c:pt>
                <c:pt idx="66">
                  <c:v>2061</c:v>
                </c:pt>
                <c:pt idx="67">
                  <c:v>2062</c:v>
                </c:pt>
                <c:pt idx="68">
                  <c:v>2063</c:v>
                </c:pt>
                <c:pt idx="69">
                  <c:v>2064</c:v>
                </c:pt>
                <c:pt idx="70">
                  <c:v>2065</c:v>
                </c:pt>
                <c:pt idx="71">
                  <c:v>2066</c:v>
                </c:pt>
                <c:pt idx="72">
                  <c:v>2067</c:v>
                </c:pt>
                <c:pt idx="73">
                  <c:v>2068</c:v>
                </c:pt>
                <c:pt idx="74">
                  <c:v>2069</c:v>
                </c:pt>
                <c:pt idx="75">
                  <c:v>2070</c:v>
                </c:pt>
                <c:pt idx="76">
                  <c:v>2071</c:v>
                </c:pt>
                <c:pt idx="77">
                  <c:v>2072</c:v>
                </c:pt>
                <c:pt idx="78">
                  <c:v>2073</c:v>
                </c:pt>
                <c:pt idx="79">
                  <c:v>2074</c:v>
                </c:pt>
                <c:pt idx="80">
                  <c:v>2075</c:v>
                </c:pt>
                <c:pt idx="81">
                  <c:v>2076</c:v>
                </c:pt>
                <c:pt idx="82">
                  <c:v>2077</c:v>
                </c:pt>
                <c:pt idx="83">
                  <c:v>2078</c:v>
                </c:pt>
                <c:pt idx="84">
                  <c:v>2079</c:v>
                </c:pt>
                <c:pt idx="85">
                  <c:v>2080</c:v>
                </c:pt>
                <c:pt idx="86">
                  <c:v>2081</c:v>
                </c:pt>
                <c:pt idx="87">
                  <c:v>2082</c:v>
                </c:pt>
                <c:pt idx="88">
                  <c:v>2083</c:v>
                </c:pt>
                <c:pt idx="89">
                  <c:v>2084</c:v>
                </c:pt>
                <c:pt idx="90">
                  <c:v>2085</c:v>
                </c:pt>
                <c:pt idx="91">
                  <c:v>2086</c:v>
                </c:pt>
                <c:pt idx="92">
                  <c:v>2087</c:v>
                </c:pt>
                <c:pt idx="93">
                  <c:v>2088</c:v>
                </c:pt>
                <c:pt idx="94">
                  <c:v>2089</c:v>
                </c:pt>
                <c:pt idx="95">
                  <c:v>2090</c:v>
                </c:pt>
                <c:pt idx="96">
                  <c:v>2091</c:v>
                </c:pt>
                <c:pt idx="97">
                  <c:v>2092</c:v>
                </c:pt>
                <c:pt idx="98">
                  <c:v>2093</c:v>
                </c:pt>
                <c:pt idx="99">
                  <c:v>2094</c:v>
                </c:pt>
                <c:pt idx="100">
                  <c:v>2095</c:v>
                </c:pt>
                <c:pt idx="101">
                  <c:v>2096</c:v>
                </c:pt>
                <c:pt idx="102">
                  <c:v>2097</c:v>
                </c:pt>
                <c:pt idx="103">
                  <c:v>2098</c:v>
                </c:pt>
                <c:pt idx="104">
                  <c:v>2099</c:v>
                </c:pt>
                <c:pt idx="105">
                  <c:v>2100</c:v>
                </c:pt>
                <c:pt idx="106">
                  <c:v>2101</c:v>
                </c:pt>
                <c:pt idx="107">
                  <c:v>2102</c:v>
                </c:pt>
                <c:pt idx="108">
                  <c:v>2103</c:v>
                </c:pt>
                <c:pt idx="109">
                  <c:v>2104</c:v>
                </c:pt>
                <c:pt idx="110">
                  <c:v>2105</c:v>
                </c:pt>
                <c:pt idx="111">
                  <c:v>2106</c:v>
                </c:pt>
                <c:pt idx="112">
                  <c:v>2107</c:v>
                </c:pt>
                <c:pt idx="113">
                  <c:v>2108</c:v>
                </c:pt>
                <c:pt idx="114">
                  <c:v>2109</c:v>
                </c:pt>
                <c:pt idx="115">
                  <c:v>2110</c:v>
                </c:pt>
                <c:pt idx="116">
                  <c:v>2111</c:v>
                </c:pt>
                <c:pt idx="117">
                  <c:v>2112</c:v>
                </c:pt>
                <c:pt idx="118">
                  <c:v>2113</c:v>
                </c:pt>
                <c:pt idx="119">
                  <c:v>2114</c:v>
                </c:pt>
                <c:pt idx="120">
                  <c:v>2115</c:v>
                </c:pt>
                <c:pt idx="121">
                  <c:v>2116</c:v>
                </c:pt>
                <c:pt idx="122">
                  <c:v>2117</c:v>
                </c:pt>
                <c:pt idx="123">
                  <c:v>2118</c:v>
                </c:pt>
                <c:pt idx="124">
                  <c:v>2119</c:v>
                </c:pt>
                <c:pt idx="125">
                  <c:v>2120</c:v>
                </c:pt>
                <c:pt idx="126">
                  <c:v>2121</c:v>
                </c:pt>
                <c:pt idx="127">
                  <c:v>2122</c:v>
                </c:pt>
                <c:pt idx="128">
                  <c:v>2123</c:v>
                </c:pt>
                <c:pt idx="129">
                  <c:v>2124</c:v>
                </c:pt>
                <c:pt idx="130">
                  <c:v>2125</c:v>
                </c:pt>
                <c:pt idx="131">
                  <c:v>2126</c:v>
                </c:pt>
                <c:pt idx="132">
                  <c:v>2127</c:v>
                </c:pt>
                <c:pt idx="133">
                  <c:v>2128</c:v>
                </c:pt>
                <c:pt idx="134">
                  <c:v>2129</c:v>
                </c:pt>
                <c:pt idx="135">
                  <c:v>2130</c:v>
                </c:pt>
                <c:pt idx="136">
                  <c:v>2131</c:v>
                </c:pt>
                <c:pt idx="137">
                  <c:v>2132</c:v>
                </c:pt>
                <c:pt idx="138">
                  <c:v>2133</c:v>
                </c:pt>
                <c:pt idx="139">
                  <c:v>2134</c:v>
                </c:pt>
                <c:pt idx="140">
                  <c:v>2135</c:v>
                </c:pt>
                <c:pt idx="141">
                  <c:v>2136</c:v>
                </c:pt>
                <c:pt idx="142">
                  <c:v>2137</c:v>
                </c:pt>
                <c:pt idx="143">
                  <c:v>2138</c:v>
                </c:pt>
                <c:pt idx="144">
                  <c:v>2139</c:v>
                </c:pt>
                <c:pt idx="145">
                  <c:v>2140</c:v>
                </c:pt>
                <c:pt idx="146">
                  <c:v>2141</c:v>
                </c:pt>
                <c:pt idx="147">
                  <c:v>2142</c:v>
                </c:pt>
                <c:pt idx="148">
                  <c:v>2143</c:v>
                </c:pt>
                <c:pt idx="149">
                  <c:v>2144</c:v>
                </c:pt>
                <c:pt idx="150">
                  <c:v>2145</c:v>
                </c:pt>
                <c:pt idx="151">
                  <c:v>2146</c:v>
                </c:pt>
                <c:pt idx="152">
                  <c:v>2147</c:v>
                </c:pt>
                <c:pt idx="153">
                  <c:v>2148</c:v>
                </c:pt>
                <c:pt idx="154">
                  <c:v>2149</c:v>
                </c:pt>
                <c:pt idx="155">
                  <c:v>2150</c:v>
                </c:pt>
              </c:numCache>
            </c:numRef>
          </c:xVal>
          <c:yVal>
            <c:numRef>
              <c:f>'World coal'!$G$202:$G$357</c:f>
              <c:numCache>
                <c:formatCode>#,##0.0</c:formatCode>
                <c:ptCount val="156"/>
                <c:pt idx="0">
                  <c:v>232.83126080143927</c:v>
                </c:pt>
                <c:pt idx="1">
                  <c:v>237.46386323096954</c:v>
                </c:pt>
                <c:pt idx="2">
                  <c:v>242.20399516186095</c:v>
                </c:pt>
                <c:pt idx="3">
                  <c:v>247.05236946644669</c:v>
                </c:pt>
                <c:pt idx="4">
                  <c:v>252.00937402839239</c:v>
                </c:pt>
                <c:pt idx="5">
                  <c:v>257.0750437232885</c:v>
                </c:pt>
                <c:pt idx="6">
                  <c:v>262.24903340418922</c:v>
                </c:pt>
                <c:pt idx="7">
                  <c:v>267.53059240404679</c:v>
                </c:pt>
                <c:pt idx="8">
                  <c:v>272.9185410969784</c:v>
                </c:pt>
                <c:pt idx="9">
                  <c:v>278.41125007860165</c:v>
                </c:pt>
                <c:pt idx="10">
                  <c:v>284.00662252989224</c:v>
                </c:pt>
                <c:pt idx="11">
                  <c:v>289.70208031705437</c:v>
                </c:pt>
                <c:pt idx="12">
                  <c:v>295.49455435008667</c:v>
                </c:pt>
                <c:pt idx="13">
                  <c:v>301.38047967405276</c:v>
                </c:pt>
                <c:pt idx="14">
                  <c:v>307.35579569926097</c:v>
                </c:pt>
                <c:pt idx="15">
                  <c:v>313.41595189024702</c:v>
                </c:pt>
                <c:pt idx="16">
                  <c:v>319.55591913023892</c:v>
                </c:pt>
                <c:pt idx="17">
                  <c:v>325.77020686023832</c:v>
                </c:pt>
                <c:pt idx="18">
                  <c:v>332.05288596351033</c:v>
                </c:pt>
                <c:pt idx="19">
                  <c:v>338.39761723146586</c:v>
                </c:pt>
                <c:pt idx="20">
                  <c:v>344.79768511065299</c:v>
                </c:pt>
                <c:pt idx="21">
                  <c:v>351.24603629820001</c:v>
                </c:pt>
                <c:pt idx="22">
                  <c:v>357.73532263006825</c:v>
                </c:pt>
                <c:pt idx="23">
                  <c:v>364.25794759809389</c:v>
                </c:pt>
                <c:pt idx="24">
                  <c:v>370.80611574274894</c:v>
                </c:pt>
                <c:pt idx="25">
                  <c:v>377.37188410264457</c:v>
                </c:pt>
                <c:pt idx="26">
                  <c:v>383.94721486178122</c:v>
                </c:pt>
                <c:pt idx="27">
                  <c:v>390.52402832288396</c:v>
                </c:pt>
                <c:pt idx="28">
                  <c:v>397.09425534989515</c:v>
                </c:pt>
                <c:pt idx="29">
                  <c:v>403.64988846358455</c:v>
                </c:pt>
                <c:pt idx="30">
                  <c:v>410.18303083868693</c:v>
                </c:pt>
                <c:pt idx="31">
                  <c:v>416.68594253539294</c:v>
                </c:pt>
                <c:pt idx="32">
                  <c:v>423.15108339794477</c:v>
                </c:pt>
                <c:pt idx="33">
                  <c:v>429.57115216357056</c:v>
                </c:pt>
                <c:pt idx="34">
                  <c:v>435.93912144090376</c:v>
                </c:pt>
                <c:pt idx="35">
                  <c:v>442.24826833334873</c:v>
                </c:pt>
                <c:pt idx="36">
                  <c:v>448.49220059499117</c:v>
                </c:pt>
                <c:pt idx="37">
                  <c:v>454.66487831064086</c:v>
                </c:pt>
                <c:pt idx="38">
                  <c:v>460.76063118431364</c:v>
                </c:pt>
                <c:pt idx="39">
                  <c:v>466.77417159964995</c:v>
                </c:pt>
                <c:pt idx="40">
                  <c:v>472.70060368013418</c:v>
                </c:pt>
                <c:pt idx="41">
                  <c:v>478.53542862609027</c:v>
                </c:pt>
                <c:pt idx="42">
                  <c:v>484.27454663965193</c:v>
                </c:pt>
                <c:pt idx="43">
                  <c:v>489.9142557692486</c:v>
                </c:pt>
                <c:pt idx="44">
                  <c:v>495.45124801314864</c:v>
                </c:pt>
                <c:pt idx="45">
                  <c:v>500.88260301908952</c:v>
                </c:pt>
                <c:pt idx="46">
                  <c:v>506.20577970602619</c:v>
                </c:pt>
                <c:pt idx="47">
                  <c:v>511.41860611659826</c:v>
                </c:pt>
                <c:pt idx="48">
                  <c:v>516.51926778700886</c:v>
                </c:pt>
                <c:pt idx="49">
                  <c:v>521.50629489639005</c:v>
                </c:pt>
                <c:pt idx="50">
                  <c:v>526.37854843193634</c:v>
                </c:pt>
                <c:pt idx="51">
                  <c:v>531.13520558036805</c:v>
                </c:pt>
                <c:pt idx="52">
                  <c:v>535.7757445315865</c:v>
                </c:pt>
                <c:pt idx="53">
                  <c:v>540.29992885739159</c:v>
                </c:pt>
                <c:pt idx="54">
                  <c:v>544.70779160727307</c:v>
                </c:pt>
                <c:pt idx="55">
                  <c:v>548.99961924476258</c:v>
                </c:pt>
                <c:pt idx="56">
                  <c:v>553.17593553167103</c:v>
                </c:pt>
                <c:pt idx="57">
                  <c:v>557.23748545366266</c:v>
                </c:pt>
                <c:pt idx="58">
                  <c:v>561.18521926878566</c:v>
                </c:pt>
                <c:pt idx="59">
                  <c:v>565.02027675059037</c:v>
                </c:pt>
                <c:pt idx="60">
                  <c:v>568.74397168900452</c:v>
                </c:pt>
                <c:pt idx="61">
                  <c:v>572.35777670493064</c:v>
                </c:pt>
                <c:pt idx="62">
                  <c:v>575.86330842832376</c:v>
                </c:pt>
                <c:pt idx="63">
                  <c:v>579.26231308403533</c:v>
                </c:pt>
                <c:pt idx="64">
                  <c:v>582.55665252480117</c:v>
                </c:pt>
                <c:pt idx="65">
                  <c:v>585.74829074620379</c:v>
                </c:pt>
                <c:pt idx="66">
                  <c:v>588.83928091415135</c:v>
                </c:pt>
                <c:pt idx="67">
                  <c:v>591.83175293128079</c:v>
                </c:pt>
                <c:pt idx="68">
                  <c:v>594.72790156464248</c:v>
                </c:pt>
                <c:pt idx="69">
                  <c:v>597.52997515304583</c:v>
                </c:pt>
                <c:pt idx="70">
                  <c:v>600.24026490848826</c:v>
                </c:pt>
                <c:pt idx="71">
                  <c:v>602.86109482220593</c:v>
                </c:pt>
                <c:pt idx="72">
                  <c:v>605.39481218204332</c:v>
                </c:pt>
                <c:pt idx="73">
                  <c:v>607.84377870409389</c:v>
                </c:pt>
                <c:pt idx="74">
                  <c:v>610.21036227793934</c:v>
                </c:pt>
                <c:pt idx="75">
                  <c:v>612.49692932133621</c:v>
                </c:pt>
                <c:pt idx="76">
                  <c:v>614.70583773690487</c:v>
                </c:pt>
                <c:pt idx="77">
                  <c:v>616.83943046029003</c:v>
                </c:pt>
                <c:pt idx="78">
                  <c:v>618.90002958642606</c:v>
                </c:pt>
                <c:pt idx="79">
                  <c:v>620.88993105794464</c:v>
                </c:pt>
                <c:pt idx="80">
                  <c:v>622.81139989746634</c:v>
                </c:pt>
                <c:pt idx="81">
                  <c:v>624.66666596350206</c:v>
                </c:pt>
                <c:pt idx="82">
                  <c:v>626.45792020796137</c:v>
                </c:pt>
                <c:pt idx="83">
                  <c:v>628.18731141185401</c:v>
                </c:pt>
                <c:pt idx="84">
                  <c:v>629.85694337463963</c:v>
                </c:pt>
                <c:pt idx="85">
                  <c:v>631.46887253183615</c:v>
                </c:pt>
                <c:pt idx="86">
                  <c:v>633.02510597493949</c:v>
                </c:pt>
                <c:pt idx="87">
                  <c:v>634.52759984739373</c:v>
                </c:pt>
                <c:pt idx="88">
                  <c:v>635.97825809029371</c:v>
                </c:pt>
                <c:pt idx="89">
                  <c:v>637.37893151165554</c:v>
                </c:pt>
                <c:pt idx="90">
                  <c:v>638.73141715345287</c:v>
                </c:pt>
                <c:pt idx="91">
                  <c:v>640.03745793115274</c:v>
                </c:pt>
                <c:pt idx="92">
                  <c:v>641.29874252117918</c:v>
                </c:pt>
                <c:pt idx="93">
                  <c:v>642.51690547256192</c:v>
                </c:pt>
                <c:pt idx="94">
                  <c:v>643.69352751995939</c:v>
                </c:pt>
                <c:pt idx="95">
                  <c:v>644.83013607628027</c:v>
                </c:pt>
                <c:pt idx="96">
                  <c:v>645.92820588422171</c:v>
                </c:pt>
                <c:pt idx="97">
                  <c:v>646.98915980718243</c:v>
                </c:pt>
                <c:pt idx="98">
                  <c:v>648.0143697412085</c:v>
                </c:pt>
                <c:pt idx="99">
                  <c:v>649.00515763080455</c:v>
                </c:pt>
                <c:pt idx="100">
                  <c:v>649.96279657266371</c:v>
                </c:pt>
                <c:pt idx="101">
                  <c:v>650.88851199254725</c:v>
                </c:pt>
                <c:pt idx="102">
                  <c:v>651.78348288173129</c:v>
                </c:pt>
                <c:pt idx="103">
                  <c:v>652.64884308056628</c:v>
                </c:pt>
                <c:pt idx="104">
                  <c:v>653.48568259781212</c:v>
                </c:pt>
                <c:pt idx="105">
                  <c:v>654.29504895547063</c:v>
                </c:pt>
                <c:pt idx="106">
                  <c:v>655.07794854985241</c:v>
                </c:pt>
                <c:pt idx="107">
                  <c:v>655.83534802058125</c:v>
                </c:pt>
                <c:pt idx="108">
                  <c:v>656.56817562014828</c:v>
                </c:pt>
                <c:pt idx="109">
                  <c:v>657.27732257748039</c:v>
                </c:pt>
                <c:pt idx="110">
                  <c:v>657.96364444979031</c:v>
                </c:pt>
                <c:pt idx="111">
                  <c:v>658.62796245771415</c:v>
                </c:pt>
                <c:pt idx="112">
                  <c:v>659.27106479942927</c:v>
                </c:pt>
                <c:pt idx="113">
                  <c:v>659.89370794007755</c:v>
                </c:pt>
                <c:pt idx="114">
                  <c:v>660.49661787339949</c:v>
                </c:pt>
                <c:pt idx="115">
                  <c:v>661.08049135301007</c:v>
                </c:pt>
                <c:pt idx="116">
                  <c:v>661.64599709122922</c:v>
                </c:pt>
                <c:pt idx="117">
                  <c:v>662.19377692381192</c:v>
                </c:pt>
                <c:pt idx="118">
                  <c:v>662.72444693931311</c:v>
                </c:pt>
                <c:pt idx="119">
                  <c:v>663.23859857217053</c:v>
                </c:pt>
                <c:pt idx="120">
                  <c:v>663.73679965889789</c:v>
                </c:pt>
                <c:pt idx="121">
                  <c:v>664.21959545706079</c:v>
                </c:pt>
                <c:pt idx="122">
                  <c:v>664.68750962693787</c:v>
                </c:pt>
                <c:pt idx="123">
                  <c:v>665.14104517599253</c:v>
                </c:pt>
                <c:pt idx="124">
                  <c:v>665.58068536645703</c:v>
                </c:pt>
                <c:pt idx="125">
                  <c:v>666.00689458648981</c:v>
                </c:pt>
                <c:pt idx="126">
                  <c:v>666.42011918549429</c:v>
                </c:pt>
                <c:pt idx="127">
                  <c:v>666.82078827431621</c:v>
                </c:pt>
                <c:pt idx="128">
                  <c:v>667.20931449111242</c:v>
                </c:pt>
                <c:pt idx="129">
                  <c:v>667.5860947337685</c:v>
                </c:pt>
                <c:pt idx="130">
                  <c:v>667.95151085980797</c:v>
                </c:pt>
                <c:pt idx="131">
                  <c:v>668.30593035477432</c:v>
                </c:pt>
                <c:pt idx="132">
                  <c:v>668.64970697010949</c:v>
                </c:pt>
                <c:pt idx="133">
                  <c:v>668.98318133157341</c:v>
                </c:pt>
                <c:pt idx="134">
                  <c:v>669.30668151926682</c:v>
                </c:pt>
                <c:pt idx="135">
                  <c:v>669.62052362032227</c:v>
                </c:pt>
                <c:pt idx="136">
                  <c:v>669.92501225533658</c:v>
                </c:pt>
                <c:pt idx="137">
                  <c:v>670.22044107959937</c:v>
                </c:pt>
                <c:pt idx="138">
                  <c:v>670.50709326017727</c:v>
                </c:pt>
                <c:pt idx="139">
                  <c:v>670.78524192987607</c:v>
                </c:pt>
                <c:pt idx="140">
                  <c:v>671.05515061910819</c:v>
                </c:pt>
                <c:pt idx="141">
                  <c:v>671.31707366664853</c:v>
                </c:pt>
                <c:pt idx="142">
                  <c:v>671.57125661024793</c:v>
                </c:pt>
                <c:pt idx="143">
                  <c:v>671.81793655804643</c:v>
                </c:pt>
                <c:pt idx="144">
                  <c:v>672.05734254169454</c:v>
                </c:pt>
                <c:pt idx="145">
                  <c:v>672.28969585206426</c:v>
                </c:pt>
                <c:pt idx="146">
                  <c:v>672.51521035840062</c:v>
                </c:pt>
                <c:pt idx="147">
                  <c:v>672.73409281173383</c:v>
                </c:pt>
                <c:pt idx="148">
                  <c:v>672.94654313333672</c:v>
                </c:pt>
                <c:pt idx="149">
                  <c:v>673.15275468898915</c:v>
                </c:pt>
                <c:pt idx="150">
                  <c:v>673.35291454977073</c:v>
                </c:pt>
                <c:pt idx="151">
                  <c:v>673.54720374007536</c:v>
                </c:pt>
                <c:pt idx="152">
                  <c:v>673.73579747351789</c:v>
                </c:pt>
                <c:pt idx="153">
                  <c:v>673.91886537735593</c:v>
                </c:pt>
                <c:pt idx="154">
                  <c:v>674.09657170604601</c:v>
                </c:pt>
                <c:pt idx="155">
                  <c:v>674.26907554449724</c:v>
                </c:pt>
              </c:numCache>
            </c:numRef>
          </c:yVal>
          <c:smooth val="1"/>
          <c:extLst>
            <c:ext xmlns:c16="http://schemas.microsoft.com/office/drawing/2014/chart" uri="{C3380CC4-5D6E-409C-BE32-E72D297353CC}">
              <c16:uniqueId val="{00000003-A91F-6E46-B376-A27BB9AD964F}"/>
            </c:ext>
          </c:extLst>
        </c:ser>
        <c:dLbls>
          <c:showLegendKey val="0"/>
          <c:showVal val="0"/>
          <c:showCatName val="0"/>
          <c:showSerName val="0"/>
          <c:showPercent val="0"/>
          <c:showBubbleSize val="0"/>
        </c:dLbls>
        <c:axId val="138373760"/>
        <c:axId val="138449280"/>
      </c:scatterChart>
      <c:valAx>
        <c:axId val="138373760"/>
        <c:scaling>
          <c:orientation val="minMax"/>
          <c:max val="2020"/>
          <c:min val="1900"/>
        </c:scaling>
        <c:delete val="0"/>
        <c:axPos val="b"/>
        <c:numFmt formatCode="General" sourceLinked="1"/>
        <c:majorTickMark val="in"/>
        <c:minorTickMark val="in"/>
        <c:tickLblPos val="nextTo"/>
        <c:spPr>
          <a:ln>
            <a:solidFill>
              <a:srgbClr val="333399"/>
            </a:solidFill>
          </a:ln>
        </c:spPr>
        <c:txPr>
          <a:bodyPr/>
          <a:lstStyle/>
          <a:p>
            <a:pPr>
              <a:defRPr sz="1200">
                <a:solidFill>
                  <a:srgbClr val="333399"/>
                </a:solidFill>
              </a:defRPr>
            </a:pPr>
            <a:endParaRPr lang="en-US"/>
          </a:p>
        </c:txPr>
        <c:crossAx val="138449280"/>
        <c:crossesAt val="-1000"/>
        <c:crossBetween val="midCat"/>
        <c:majorUnit val="60"/>
        <c:minorUnit val="10"/>
      </c:valAx>
      <c:valAx>
        <c:axId val="138449280"/>
        <c:scaling>
          <c:logBase val="10"/>
          <c:orientation val="minMax"/>
          <c:max val="20000"/>
          <c:min val="10"/>
        </c:scaling>
        <c:delete val="0"/>
        <c:axPos val="r"/>
        <c:title>
          <c:tx>
            <c:rich>
              <a:bodyPr rot="-5400000" vert="horz"/>
              <a:lstStyle/>
              <a:p>
                <a:pPr>
                  <a:defRPr sz="1200" b="0">
                    <a:solidFill>
                      <a:srgbClr val="333399"/>
                    </a:solidFill>
                  </a:defRPr>
                </a:pPr>
                <a:r>
                  <a:rPr lang="en-US" sz="1200" b="0">
                    <a:solidFill>
                      <a:srgbClr val="333399"/>
                    </a:solidFill>
                  </a:rPr>
                  <a:t>Long-term production, Gt</a:t>
                </a:r>
              </a:p>
            </c:rich>
          </c:tx>
          <c:layout>
            <c:manualLayout>
              <c:xMode val="edge"/>
              <c:yMode val="edge"/>
              <c:x val="0.96179653679653765"/>
              <c:y val="0.15914698162731181"/>
            </c:manualLayout>
          </c:layout>
          <c:overlay val="0"/>
        </c:title>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8373760"/>
        <c:crosses val="max"/>
        <c:crossBetween val="midCat"/>
        <c:majorUnit val="10"/>
        <c:minorUnit val="1"/>
      </c:valAx>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'World coal'!$H$5</c:f>
              <c:strCache>
                <c:ptCount val="1"/>
                <c:pt idx="0">
                  <c:v>Growth rate</c:v>
                </c:pt>
              </c:strCache>
            </c:strRef>
          </c:tx>
          <c:spPr>
            <a:ln w="28575">
              <a:noFill/>
            </a:ln>
          </c:spPr>
          <c:marker>
            <c:symbol val="diamond"/>
            <c:size val="3"/>
            <c:spPr>
              <a:solidFill>
                <a:srgbClr val="006600"/>
              </a:solidFill>
              <a:ln>
                <a:solidFill>
                  <a:srgbClr val="006600"/>
                </a:solidFill>
              </a:ln>
            </c:spPr>
          </c:marker>
          <c:xVal>
            <c:numRef>
              <c:f>'World coal'!$D$138:$D$303</c:f>
              <c:numCache>
                <c:formatCode>General</c:formatCode>
                <c:ptCount val="166"/>
                <c:pt idx="0">
                  <c:v>1931</c:v>
                </c:pt>
                <c:pt idx="1">
                  <c:v>1932</c:v>
                </c:pt>
                <c:pt idx="2">
                  <c:v>1933</c:v>
                </c:pt>
                <c:pt idx="3">
                  <c:v>1934</c:v>
                </c:pt>
                <c:pt idx="4">
                  <c:v>1935</c:v>
                </c:pt>
                <c:pt idx="5">
                  <c:v>1936</c:v>
                </c:pt>
                <c:pt idx="6">
                  <c:v>1937</c:v>
                </c:pt>
                <c:pt idx="7">
                  <c:v>1938</c:v>
                </c:pt>
                <c:pt idx="8">
                  <c:v>1939</c:v>
                </c:pt>
                <c:pt idx="9">
                  <c:v>1940</c:v>
                </c:pt>
                <c:pt idx="10">
                  <c:v>1941</c:v>
                </c:pt>
                <c:pt idx="11">
                  <c:v>1942</c:v>
                </c:pt>
                <c:pt idx="12">
                  <c:v>1943</c:v>
                </c:pt>
                <c:pt idx="13">
                  <c:v>1944</c:v>
                </c:pt>
                <c:pt idx="14">
                  <c:v>1945</c:v>
                </c:pt>
                <c:pt idx="15">
                  <c:v>1946</c:v>
                </c:pt>
                <c:pt idx="16">
                  <c:v>1947</c:v>
                </c:pt>
                <c:pt idx="17">
                  <c:v>1948</c:v>
                </c:pt>
                <c:pt idx="18">
                  <c:v>1949</c:v>
                </c:pt>
                <c:pt idx="19">
                  <c:v>1950</c:v>
                </c:pt>
                <c:pt idx="20">
                  <c:v>1951</c:v>
                </c:pt>
                <c:pt idx="21">
                  <c:v>1952</c:v>
                </c:pt>
                <c:pt idx="22">
                  <c:v>1953</c:v>
                </c:pt>
                <c:pt idx="23">
                  <c:v>1954</c:v>
                </c:pt>
                <c:pt idx="24">
                  <c:v>1955</c:v>
                </c:pt>
                <c:pt idx="25">
                  <c:v>1956</c:v>
                </c:pt>
                <c:pt idx="26">
                  <c:v>1957</c:v>
                </c:pt>
                <c:pt idx="27">
                  <c:v>1958</c:v>
                </c:pt>
                <c:pt idx="28">
                  <c:v>1959</c:v>
                </c:pt>
                <c:pt idx="29">
                  <c:v>1960</c:v>
                </c:pt>
                <c:pt idx="30">
                  <c:v>1961</c:v>
                </c:pt>
                <c:pt idx="31">
                  <c:v>1962</c:v>
                </c:pt>
                <c:pt idx="32">
                  <c:v>1963</c:v>
                </c:pt>
                <c:pt idx="33">
                  <c:v>1964</c:v>
                </c:pt>
                <c:pt idx="34">
                  <c:v>1965</c:v>
                </c:pt>
                <c:pt idx="35">
                  <c:v>1966</c:v>
                </c:pt>
                <c:pt idx="36">
                  <c:v>1967</c:v>
                </c:pt>
                <c:pt idx="37">
                  <c:v>1968</c:v>
                </c:pt>
                <c:pt idx="38">
                  <c:v>1969</c:v>
                </c:pt>
                <c:pt idx="39">
                  <c:v>1970</c:v>
                </c:pt>
                <c:pt idx="40">
                  <c:v>1971</c:v>
                </c:pt>
                <c:pt idx="41">
                  <c:v>1972</c:v>
                </c:pt>
                <c:pt idx="42">
                  <c:v>1973</c:v>
                </c:pt>
                <c:pt idx="43">
                  <c:v>1974</c:v>
                </c:pt>
                <c:pt idx="44">
                  <c:v>1975</c:v>
                </c:pt>
                <c:pt idx="45">
                  <c:v>1976</c:v>
                </c:pt>
                <c:pt idx="46">
                  <c:v>1977</c:v>
                </c:pt>
                <c:pt idx="47">
                  <c:v>1978</c:v>
                </c:pt>
                <c:pt idx="48">
                  <c:v>1979</c:v>
                </c:pt>
                <c:pt idx="49">
                  <c:v>1980</c:v>
                </c:pt>
                <c:pt idx="50">
                  <c:v>1981</c:v>
                </c:pt>
                <c:pt idx="51">
                  <c:v>1982</c:v>
                </c:pt>
                <c:pt idx="52">
                  <c:v>1983</c:v>
                </c:pt>
                <c:pt idx="53">
                  <c:v>1984</c:v>
                </c:pt>
                <c:pt idx="54">
                  <c:v>1985</c:v>
                </c:pt>
                <c:pt idx="55">
                  <c:v>1986</c:v>
                </c:pt>
                <c:pt idx="56">
                  <c:v>1987</c:v>
                </c:pt>
                <c:pt idx="57">
                  <c:v>1988</c:v>
                </c:pt>
                <c:pt idx="58">
                  <c:v>1989</c:v>
                </c:pt>
                <c:pt idx="59">
                  <c:v>1990</c:v>
                </c:pt>
                <c:pt idx="60">
                  <c:v>1991</c:v>
                </c:pt>
                <c:pt idx="61">
                  <c:v>1992</c:v>
                </c:pt>
                <c:pt idx="62">
                  <c:v>1993</c:v>
                </c:pt>
                <c:pt idx="63">
                  <c:v>1994</c:v>
                </c:pt>
                <c:pt idx="64">
                  <c:v>1995</c:v>
                </c:pt>
                <c:pt idx="65">
                  <c:v>1996</c:v>
                </c:pt>
                <c:pt idx="66">
                  <c:v>1997</c:v>
                </c:pt>
                <c:pt idx="67">
                  <c:v>1998</c:v>
                </c:pt>
                <c:pt idx="68">
                  <c:v>1999</c:v>
                </c:pt>
                <c:pt idx="69">
                  <c:v>2000</c:v>
                </c:pt>
                <c:pt idx="70">
                  <c:v>2001</c:v>
                </c:pt>
                <c:pt idx="71">
                  <c:v>2002</c:v>
                </c:pt>
                <c:pt idx="72">
                  <c:v>2003</c:v>
                </c:pt>
                <c:pt idx="73">
                  <c:v>2004</c:v>
                </c:pt>
                <c:pt idx="74">
                  <c:v>2005</c:v>
                </c:pt>
                <c:pt idx="75">
                  <c:v>2006</c:v>
                </c:pt>
                <c:pt idx="76">
                  <c:v>2007</c:v>
                </c:pt>
                <c:pt idx="77">
                  <c:v>2008</c:v>
                </c:pt>
                <c:pt idx="78">
                  <c:v>2009</c:v>
                </c:pt>
                <c:pt idx="79">
                  <c:v>2010</c:v>
                </c:pt>
                <c:pt idx="80">
                  <c:v>2011</c:v>
                </c:pt>
                <c:pt idx="81">
                  <c:v>2012</c:v>
                </c:pt>
                <c:pt idx="82">
                  <c:v>2013</c:v>
                </c:pt>
                <c:pt idx="83">
                  <c:v>2014</c:v>
                </c:pt>
                <c:pt idx="84">
                  <c:v>2015</c:v>
                </c:pt>
                <c:pt idx="85">
                  <c:v>2016</c:v>
                </c:pt>
                <c:pt idx="86">
                  <c:v>2017</c:v>
                </c:pt>
                <c:pt idx="87">
                  <c:v>2018</c:v>
                </c:pt>
                <c:pt idx="88">
                  <c:v>2019</c:v>
                </c:pt>
                <c:pt idx="89">
                  <c:v>2020</c:v>
                </c:pt>
                <c:pt idx="90">
                  <c:v>2021</c:v>
                </c:pt>
                <c:pt idx="91">
                  <c:v>2022</c:v>
                </c:pt>
                <c:pt idx="92">
                  <c:v>2023</c:v>
                </c:pt>
                <c:pt idx="93">
                  <c:v>2024</c:v>
                </c:pt>
                <c:pt idx="94">
                  <c:v>2025</c:v>
                </c:pt>
                <c:pt idx="95">
                  <c:v>2026</c:v>
                </c:pt>
                <c:pt idx="96">
                  <c:v>2027</c:v>
                </c:pt>
                <c:pt idx="97">
                  <c:v>2028</c:v>
                </c:pt>
                <c:pt idx="98">
                  <c:v>2029</c:v>
                </c:pt>
                <c:pt idx="99">
                  <c:v>2030</c:v>
                </c:pt>
                <c:pt idx="100">
                  <c:v>2031</c:v>
                </c:pt>
                <c:pt idx="101">
                  <c:v>2032</c:v>
                </c:pt>
                <c:pt idx="102">
                  <c:v>2033</c:v>
                </c:pt>
                <c:pt idx="103">
                  <c:v>2034</c:v>
                </c:pt>
                <c:pt idx="104">
                  <c:v>2035</c:v>
                </c:pt>
                <c:pt idx="105">
                  <c:v>2036</c:v>
                </c:pt>
                <c:pt idx="106">
                  <c:v>2037</c:v>
                </c:pt>
                <c:pt idx="107">
                  <c:v>2038</c:v>
                </c:pt>
                <c:pt idx="108">
                  <c:v>2039</c:v>
                </c:pt>
                <c:pt idx="109">
                  <c:v>2040</c:v>
                </c:pt>
                <c:pt idx="110">
                  <c:v>2041</c:v>
                </c:pt>
                <c:pt idx="111">
                  <c:v>2042</c:v>
                </c:pt>
                <c:pt idx="112">
                  <c:v>2043</c:v>
                </c:pt>
                <c:pt idx="113">
                  <c:v>2044</c:v>
                </c:pt>
                <c:pt idx="114">
                  <c:v>2045</c:v>
                </c:pt>
                <c:pt idx="115">
                  <c:v>2046</c:v>
                </c:pt>
                <c:pt idx="116">
                  <c:v>2047</c:v>
                </c:pt>
                <c:pt idx="117">
                  <c:v>2048</c:v>
                </c:pt>
                <c:pt idx="118">
                  <c:v>2049</c:v>
                </c:pt>
                <c:pt idx="119">
                  <c:v>2050</c:v>
                </c:pt>
                <c:pt idx="120">
                  <c:v>2051</c:v>
                </c:pt>
                <c:pt idx="121">
                  <c:v>2052</c:v>
                </c:pt>
                <c:pt idx="122">
                  <c:v>2053</c:v>
                </c:pt>
                <c:pt idx="123">
                  <c:v>2054</c:v>
                </c:pt>
                <c:pt idx="124">
                  <c:v>2055</c:v>
                </c:pt>
                <c:pt idx="125">
                  <c:v>2056</c:v>
                </c:pt>
                <c:pt idx="126">
                  <c:v>2057</c:v>
                </c:pt>
                <c:pt idx="127">
                  <c:v>2058</c:v>
                </c:pt>
                <c:pt idx="128">
                  <c:v>2059</c:v>
                </c:pt>
                <c:pt idx="129">
                  <c:v>2060</c:v>
                </c:pt>
                <c:pt idx="130">
                  <c:v>2061</c:v>
                </c:pt>
                <c:pt idx="131">
                  <c:v>2062</c:v>
                </c:pt>
                <c:pt idx="132">
                  <c:v>2063</c:v>
                </c:pt>
                <c:pt idx="133">
                  <c:v>2064</c:v>
                </c:pt>
                <c:pt idx="134">
                  <c:v>2065</c:v>
                </c:pt>
                <c:pt idx="135">
                  <c:v>2066</c:v>
                </c:pt>
                <c:pt idx="136">
                  <c:v>2067</c:v>
                </c:pt>
                <c:pt idx="137">
                  <c:v>2068</c:v>
                </c:pt>
                <c:pt idx="138">
                  <c:v>2069</c:v>
                </c:pt>
                <c:pt idx="139">
                  <c:v>2070</c:v>
                </c:pt>
                <c:pt idx="140">
                  <c:v>2071</c:v>
                </c:pt>
                <c:pt idx="141">
                  <c:v>2072</c:v>
                </c:pt>
                <c:pt idx="142">
                  <c:v>2073</c:v>
                </c:pt>
                <c:pt idx="143">
                  <c:v>2074</c:v>
                </c:pt>
                <c:pt idx="144">
                  <c:v>2075</c:v>
                </c:pt>
                <c:pt idx="145">
                  <c:v>2076</c:v>
                </c:pt>
                <c:pt idx="146">
                  <c:v>2077</c:v>
                </c:pt>
                <c:pt idx="147">
                  <c:v>2078</c:v>
                </c:pt>
                <c:pt idx="148">
                  <c:v>2079</c:v>
                </c:pt>
                <c:pt idx="149">
                  <c:v>2080</c:v>
                </c:pt>
                <c:pt idx="150">
                  <c:v>2081</c:v>
                </c:pt>
                <c:pt idx="151">
                  <c:v>2082</c:v>
                </c:pt>
                <c:pt idx="152">
                  <c:v>2083</c:v>
                </c:pt>
                <c:pt idx="153">
                  <c:v>2084</c:v>
                </c:pt>
                <c:pt idx="154">
                  <c:v>2085</c:v>
                </c:pt>
                <c:pt idx="155">
                  <c:v>2086</c:v>
                </c:pt>
                <c:pt idx="156">
                  <c:v>2087</c:v>
                </c:pt>
                <c:pt idx="157">
                  <c:v>2088</c:v>
                </c:pt>
                <c:pt idx="158">
                  <c:v>2089</c:v>
                </c:pt>
                <c:pt idx="159">
                  <c:v>2090</c:v>
                </c:pt>
                <c:pt idx="160">
                  <c:v>2091</c:v>
                </c:pt>
                <c:pt idx="161">
                  <c:v>2092</c:v>
                </c:pt>
                <c:pt idx="162">
                  <c:v>2093</c:v>
                </c:pt>
                <c:pt idx="163">
                  <c:v>2094</c:v>
                </c:pt>
                <c:pt idx="164">
                  <c:v>2095</c:v>
                </c:pt>
                <c:pt idx="165">
                  <c:v>2096</c:v>
                </c:pt>
              </c:numCache>
            </c:numRef>
          </c:xVal>
          <c:yVal>
            <c:numRef>
              <c:f>'World coal'!$H$138:$H$303</c:f>
              <c:numCache>
                <c:formatCode>0.0%</c:formatCode>
                <c:ptCount val="166"/>
                <c:pt idx="0">
                  <c:v>2.2316209106413964E-2</c:v>
                </c:pt>
                <c:pt idx="1">
                  <c:v>1.9585409023162303E-2</c:v>
                </c:pt>
                <c:pt idx="2">
                  <c:v>2.0049766372256972E-2</c:v>
                </c:pt>
                <c:pt idx="3">
                  <c:v>2.1430620696384017E-2</c:v>
                </c:pt>
                <c:pt idx="4">
                  <c:v>2.2018623682264149E-2</c:v>
                </c:pt>
                <c:pt idx="5">
                  <c:v>2.3530575161104017E-2</c:v>
                </c:pt>
                <c:pt idx="6">
                  <c:v>2.4395483760915493E-2</c:v>
                </c:pt>
                <c:pt idx="7">
                  <c:v>2.2602373091381467E-2</c:v>
                </c:pt>
                <c:pt idx="8">
                  <c:v>2.346721737829327E-2</c:v>
                </c:pt>
                <c:pt idx="9">
                  <c:v>2.4700611523118532E-2</c:v>
                </c:pt>
                <c:pt idx="10">
                  <c:v>2.498044999966742E-2</c:v>
                </c:pt>
                <c:pt idx="11">
                  <c:v>2.4589340452599973E-2</c:v>
                </c:pt>
                <c:pt idx="12">
                  <c:v>2.4334596008920628E-2</c:v>
                </c:pt>
                <c:pt idx="13">
                  <c:v>2.3028688094443472E-2</c:v>
                </c:pt>
                <c:pt idx="14">
                  <c:v>1.6532809299071194E-2</c:v>
                </c:pt>
                <c:pt idx="15">
                  <c:v>1.8734501618549282E-2</c:v>
                </c:pt>
                <c:pt idx="16">
                  <c:v>2.0513272070755928E-2</c:v>
                </c:pt>
                <c:pt idx="17">
                  <c:v>2.0839854435486527E-2</c:v>
                </c:pt>
                <c:pt idx="18">
                  <c:v>1.9918814187643519E-2</c:v>
                </c:pt>
                <c:pt idx="19">
                  <c:v>2.1220389105962023E-2</c:v>
                </c:pt>
                <c:pt idx="20">
                  <c:v>2.1944258451261245E-2</c:v>
                </c:pt>
                <c:pt idx="21">
                  <c:v>2.1539144137245669E-2</c:v>
                </c:pt>
                <c:pt idx="22">
                  <c:v>2.1356132926549254E-2</c:v>
                </c:pt>
                <c:pt idx="23">
                  <c:v>2.1017594012569529E-2</c:v>
                </c:pt>
                <c:pt idx="24">
                  <c:v>2.2276118219811236E-2</c:v>
                </c:pt>
                <c:pt idx="25">
                  <c:v>2.3010343283763612E-2</c:v>
                </c:pt>
                <c:pt idx="26">
                  <c:v>2.3209477229614639E-2</c:v>
                </c:pt>
                <c:pt idx="27">
                  <c:v>2.3659832024206295E-2</c:v>
                </c:pt>
                <c:pt idx="28">
                  <c:v>2.425650616928321E-2</c:v>
                </c:pt>
                <c:pt idx="29">
                  <c:v>2.4288813343950388E-2</c:v>
                </c:pt>
                <c:pt idx="30">
                  <c:v>2.2816920433072485E-2</c:v>
                </c:pt>
                <c:pt idx="31">
                  <c:v>2.2424739150838091E-2</c:v>
                </c:pt>
                <c:pt idx="32">
                  <c:v>2.2630736590668499E-2</c:v>
                </c:pt>
                <c:pt idx="33">
                  <c:v>2.2779867663892284E-2</c:v>
                </c:pt>
                <c:pt idx="34">
                  <c:v>2.270817810322201E-2</c:v>
                </c:pt>
                <c:pt idx="35">
                  <c:v>2.2398336889150272E-2</c:v>
                </c:pt>
                <c:pt idx="36">
                  <c:v>2.1506328695438781E-2</c:v>
                </c:pt>
                <c:pt idx="37">
                  <c:v>2.1248974319701186E-2</c:v>
                </c:pt>
                <c:pt idx="38">
                  <c:v>2.1531587234862926E-2</c:v>
                </c:pt>
                <c:pt idx="39">
                  <c:v>2.2188880468810623E-2</c:v>
                </c:pt>
                <c:pt idx="40">
                  <c:v>2.191908065162973E-2</c:v>
                </c:pt>
                <c:pt idx="41">
                  <c:v>2.1696201391864567E-2</c:v>
                </c:pt>
                <c:pt idx="42">
                  <c:v>2.1499206408355009E-2</c:v>
                </c:pt>
                <c:pt idx="43">
                  <c:v>2.1127845001497114E-2</c:v>
                </c:pt>
                <c:pt idx="44">
                  <c:v>2.2070973564366825E-2</c:v>
                </c:pt>
                <c:pt idx="45">
                  <c:v>2.2098424827150187E-2</c:v>
                </c:pt>
                <c:pt idx="46">
                  <c:v>2.2313036575527079E-2</c:v>
                </c:pt>
                <c:pt idx="47">
                  <c:v>2.2255838900534397E-2</c:v>
                </c:pt>
                <c:pt idx="48">
                  <c:v>2.2791108447101638E-2</c:v>
                </c:pt>
                <c:pt idx="49">
                  <c:v>2.2721052374479633E-2</c:v>
                </c:pt>
                <c:pt idx="50">
                  <c:v>2.2371193591407379E-2</c:v>
                </c:pt>
                <c:pt idx="51">
                  <c:v>2.2732834225083765E-2</c:v>
                </c:pt>
                <c:pt idx="52">
                  <c:v>2.2282536446113999E-2</c:v>
                </c:pt>
                <c:pt idx="53">
                  <c:v>2.2904337768071548E-2</c:v>
                </c:pt>
                <c:pt idx="54">
                  <c:v>2.3571264567309069E-2</c:v>
                </c:pt>
                <c:pt idx="55">
                  <c:v>2.357841426855023E-2</c:v>
                </c:pt>
                <c:pt idx="56">
                  <c:v>2.3531461060101067E-2</c:v>
                </c:pt>
                <c:pt idx="57">
                  <c:v>2.3499889922365624E-2</c:v>
                </c:pt>
                <c:pt idx="58">
                  <c:v>2.3356293918012638E-2</c:v>
                </c:pt>
                <c:pt idx="59">
                  <c:v>2.236491910129168E-2</c:v>
                </c:pt>
                <c:pt idx="60">
                  <c:v>2.1062045854795097E-2</c:v>
                </c:pt>
                <c:pt idx="61">
                  <c:v>2.0456057858890042E-2</c:v>
                </c:pt>
                <c:pt idx="62">
                  <c:v>1.9528534881448012E-2</c:v>
                </c:pt>
                <c:pt idx="63">
                  <c:v>1.9532875828481622E-2</c:v>
                </c:pt>
                <c:pt idx="64">
                  <c:v>1.9673778730833313E-2</c:v>
                </c:pt>
                <c:pt idx="65">
                  <c:v>1.959743308308548E-2</c:v>
                </c:pt>
                <c:pt idx="66">
                  <c:v>1.9364576449045767E-2</c:v>
                </c:pt>
                <c:pt idx="67">
                  <c:v>1.8422559051488374E-2</c:v>
                </c:pt>
                <c:pt idx="68">
                  <c:v>1.803632341359962E-2</c:v>
                </c:pt>
                <c:pt idx="69">
                  <c:v>1.7964542663886474E-2</c:v>
                </c:pt>
                <c:pt idx="70">
                  <c:v>1.8449029412527684E-2</c:v>
                </c:pt>
                <c:pt idx="71">
                  <c:v>1.8230033514133437E-2</c:v>
                </c:pt>
                <c:pt idx="72">
                  <c:v>1.9118460670212722E-2</c:v>
                </c:pt>
                <c:pt idx="73">
                  <c:v>2.016716479978109E-2</c:v>
                </c:pt>
                <c:pt idx="74">
                  <c:v>2.0826900403993709E-2</c:v>
                </c:pt>
                <c:pt idx="75">
                  <c:v>2.1403631607758711E-2</c:v>
                </c:pt>
                <c:pt idx="76">
                  <c:v>2.168891986546384E-2</c:v>
                </c:pt>
                <c:pt idx="77">
                  <c:v>2.247586735952245E-2</c:v>
                </c:pt>
                <c:pt idx="78">
                  <c:v>2.2447729251890314E-2</c:v>
                </c:pt>
              </c:numCache>
            </c:numRef>
          </c:yVal>
          <c:smooth val="0"/>
          <c:extLst>
            <c:ext xmlns:c16="http://schemas.microsoft.com/office/drawing/2014/chart" uri="{C3380CC4-5D6E-409C-BE32-E72D297353CC}">
              <c16:uniqueId val="{00000000-DABB-924E-AA07-3AD093D0B0B4}"/>
            </c:ext>
          </c:extLst>
        </c:ser>
        <c:ser>
          <c:idx val="1"/>
          <c:order val="1"/>
          <c:tx>
            <c:v>Early growth</c:v>
          </c:tx>
          <c:spPr>
            <a:ln w="28575">
              <a:noFill/>
            </a:ln>
          </c:spPr>
          <c:marker>
            <c:symbol val="diamond"/>
            <c:size val="3"/>
            <c:spPr>
              <a:solidFill>
                <a:srgbClr val="006600"/>
              </a:solidFill>
              <a:ln>
                <a:solidFill>
                  <a:srgbClr val="006600"/>
                </a:solidFill>
              </a:ln>
            </c:spPr>
          </c:marker>
          <c:xVal>
            <c:numRef>
              <c:f>'World coal'!$D$7:$D$120</c:f>
              <c:numCache>
                <c:formatCode>General</c:formatCode>
                <c:ptCount val="114"/>
                <c:pt idx="0">
                  <c:v>1800</c:v>
                </c:pt>
                <c:pt idx="1">
                  <c:v>1801</c:v>
                </c:pt>
                <c:pt idx="2">
                  <c:v>1802</c:v>
                </c:pt>
                <c:pt idx="3">
                  <c:v>1803</c:v>
                </c:pt>
                <c:pt idx="4">
                  <c:v>1804</c:v>
                </c:pt>
                <c:pt idx="5">
                  <c:v>1805</c:v>
                </c:pt>
                <c:pt idx="6">
                  <c:v>1806</c:v>
                </c:pt>
                <c:pt idx="7">
                  <c:v>1807</c:v>
                </c:pt>
                <c:pt idx="8">
                  <c:v>1808</c:v>
                </c:pt>
                <c:pt idx="9">
                  <c:v>1809</c:v>
                </c:pt>
                <c:pt idx="10">
                  <c:v>1810</c:v>
                </c:pt>
                <c:pt idx="11">
                  <c:v>1811</c:v>
                </c:pt>
                <c:pt idx="12">
                  <c:v>1812</c:v>
                </c:pt>
                <c:pt idx="13">
                  <c:v>1813</c:v>
                </c:pt>
                <c:pt idx="14">
                  <c:v>1814</c:v>
                </c:pt>
                <c:pt idx="15">
                  <c:v>1815</c:v>
                </c:pt>
                <c:pt idx="16">
                  <c:v>1816</c:v>
                </c:pt>
                <c:pt idx="17">
                  <c:v>1817</c:v>
                </c:pt>
                <c:pt idx="18">
                  <c:v>1818</c:v>
                </c:pt>
                <c:pt idx="19">
                  <c:v>1819</c:v>
                </c:pt>
                <c:pt idx="20">
                  <c:v>1820</c:v>
                </c:pt>
                <c:pt idx="21">
                  <c:v>1821</c:v>
                </c:pt>
                <c:pt idx="22">
                  <c:v>1822</c:v>
                </c:pt>
                <c:pt idx="23">
                  <c:v>1823</c:v>
                </c:pt>
                <c:pt idx="24">
                  <c:v>1824</c:v>
                </c:pt>
                <c:pt idx="25">
                  <c:v>1825</c:v>
                </c:pt>
                <c:pt idx="26">
                  <c:v>1826</c:v>
                </c:pt>
                <c:pt idx="27">
                  <c:v>1827</c:v>
                </c:pt>
                <c:pt idx="28">
                  <c:v>1828</c:v>
                </c:pt>
                <c:pt idx="29">
                  <c:v>1829</c:v>
                </c:pt>
                <c:pt idx="30">
                  <c:v>1830</c:v>
                </c:pt>
                <c:pt idx="31">
                  <c:v>1831</c:v>
                </c:pt>
                <c:pt idx="32">
                  <c:v>1832</c:v>
                </c:pt>
                <c:pt idx="33">
                  <c:v>1833</c:v>
                </c:pt>
                <c:pt idx="34">
                  <c:v>1834</c:v>
                </c:pt>
                <c:pt idx="35">
                  <c:v>1835</c:v>
                </c:pt>
                <c:pt idx="36">
                  <c:v>1836</c:v>
                </c:pt>
                <c:pt idx="37">
                  <c:v>1837</c:v>
                </c:pt>
                <c:pt idx="38">
                  <c:v>1838</c:v>
                </c:pt>
                <c:pt idx="39">
                  <c:v>1839</c:v>
                </c:pt>
                <c:pt idx="40">
                  <c:v>1840</c:v>
                </c:pt>
                <c:pt idx="41">
                  <c:v>1841</c:v>
                </c:pt>
                <c:pt idx="42">
                  <c:v>1842</c:v>
                </c:pt>
                <c:pt idx="43">
                  <c:v>1843</c:v>
                </c:pt>
                <c:pt idx="44">
                  <c:v>1844</c:v>
                </c:pt>
                <c:pt idx="45">
                  <c:v>1845</c:v>
                </c:pt>
                <c:pt idx="46">
                  <c:v>1846</c:v>
                </c:pt>
                <c:pt idx="47">
                  <c:v>1847</c:v>
                </c:pt>
                <c:pt idx="48">
                  <c:v>1848</c:v>
                </c:pt>
                <c:pt idx="49">
                  <c:v>1849</c:v>
                </c:pt>
                <c:pt idx="50">
                  <c:v>1850</c:v>
                </c:pt>
                <c:pt idx="51">
                  <c:v>1851</c:v>
                </c:pt>
                <c:pt idx="52">
                  <c:v>1852</c:v>
                </c:pt>
                <c:pt idx="53">
                  <c:v>1853</c:v>
                </c:pt>
                <c:pt idx="54">
                  <c:v>1854</c:v>
                </c:pt>
                <c:pt idx="55">
                  <c:v>1855</c:v>
                </c:pt>
                <c:pt idx="56">
                  <c:v>1856</c:v>
                </c:pt>
                <c:pt idx="57">
                  <c:v>1857</c:v>
                </c:pt>
                <c:pt idx="58">
                  <c:v>1858</c:v>
                </c:pt>
                <c:pt idx="59">
                  <c:v>1859</c:v>
                </c:pt>
                <c:pt idx="60">
                  <c:v>1860</c:v>
                </c:pt>
                <c:pt idx="61">
                  <c:v>1861</c:v>
                </c:pt>
                <c:pt idx="62">
                  <c:v>1862</c:v>
                </c:pt>
                <c:pt idx="63">
                  <c:v>1863</c:v>
                </c:pt>
                <c:pt idx="64">
                  <c:v>1864</c:v>
                </c:pt>
                <c:pt idx="65">
                  <c:v>1865</c:v>
                </c:pt>
                <c:pt idx="66">
                  <c:v>1866</c:v>
                </c:pt>
                <c:pt idx="67">
                  <c:v>1867</c:v>
                </c:pt>
                <c:pt idx="68">
                  <c:v>1868</c:v>
                </c:pt>
                <c:pt idx="69">
                  <c:v>1869</c:v>
                </c:pt>
                <c:pt idx="70">
                  <c:v>1870</c:v>
                </c:pt>
                <c:pt idx="71">
                  <c:v>1871</c:v>
                </c:pt>
                <c:pt idx="72">
                  <c:v>1872</c:v>
                </c:pt>
                <c:pt idx="73">
                  <c:v>1873</c:v>
                </c:pt>
                <c:pt idx="74">
                  <c:v>1874</c:v>
                </c:pt>
                <c:pt idx="75">
                  <c:v>1875</c:v>
                </c:pt>
                <c:pt idx="76">
                  <c:v>1876</c:v>
                </c:pt>
                <c:pt idx="77">
                  <c:v>1877</c:v>
                </c:pt>
                <c:pt idx="78">
                  <c:v>1878</c:v>
                </c:pt>
                <c:pt idx="79">
                  <c:v>1879</c:v>
                </c:pt>
                <c:pt idx="80">
                  <c:v>1880</c:v>
                </c:pt>
                <c:pt idx="81">
                  <c:v>1881</c:v>
                </c:pt>
                <c:pt idx="82">
                  <c:v>1882</c:v>
                </c:pt>
                <c:pt idx="83">
                  <c:v>1883</c:v>
                </c:pt>
                <c:pt idx="84">
                  <c:v>1884</c:v>
                </c:pt>
                <c:pt idx="85">
                  <c:v>1885</c:v>
                </c:pt>
                <c:pt idx="86">
                  <c:v>1886</c:v>
                </c:pt>
                <c:pt idx="87">
                  <c:v>1887</c:v>
                </c:pt>
                <c:pt idx="88">
                  <c:v>1888</c:v>
                </c:pt>
                <c:pt idx="89">
                  <c:v>1889</c:v>
                </c:pt>
                <c:pt idx="90">
                  <c:v>1890</c:v>
                </c:pt>
                <c:pt idx="91">
                  <c:v>1891</c:v>
                </c:pt>
                <c:pt idx="92">
                  <c:v>1892</c:v>
                </c:pt>
                <c:pt idx="93">
                  <c:v>1893</c:v>
                </c:pt>
                <c:pt idx="94">
                  <c:v>1894</c:v>
                </c:pt>
                <c:pt idx="95">
                  <c:v>1895</c:v>
                </c:pt>
                <c:pt idx="96">
                  <c:v>1896</c:v>
                </c:pt>
                <c:pt idx="97">
                  <c:v>1897</c:v>
                </c:pt>
                <c:pt idx="98">
                  <c:v>1898</c:v>
                </c:pt>
                <c:pt idx="99">
                  <c:v>1899</c:v>
                </c:pt>
                <c:pt idx="100">
                  <c:v>1900</c:v>
                </c:pt>
                <c:pt idx="101">
                  <c:v>1901</c:v>
                </c:pt>
                <c:pt idx="102">
                  <c:v>1902</c:v>
                </c:pt>
                <c:pt idx="103">
                  <c:v>1903</c:v>
                </c:pt>
                <c:pt idx="104">
                  <c:v>1904</c:v>
                </c:pt>
                <c:pt idx="105">
                  <c:v>1905</c:v>
                </c:pt>
                <c:pt idx="106">
                  <c:v>1906</c:v>
                </c:pt>
                <c:pt idx="107">
                  <c:v>1907</c:v>
                </c:pt>
                <c:pt idx="108">
                  <c:v>1908</c:v>
                </c:pt>
                <c:pt idx="109">
                  <c:v>1909</c:v>
                </c:pt>
                <c:pt idx="110">
                  <c:v>1910</c:v>
                </c:pt>
                <c:pt idx="111">
                  <c:v>1911</c:v>
                </c:pt>
                <c:pt idx="112">
                  <c:v>1912</c:v>
                </c:pt>
                <c:pt idx="113">
                  <c:v>1913</c:v>
                </c:pt>
              </c:numCache>
            </c:numRef>
          </c:xVal>
          <c:yVal>
            <c:numRef>
              <c:f>'World coal'!$H$7:$H$120</c:f>
              <c:numCache>
                <c:formatCode>0.0%</c:formatCode>
                <c:ptCount val="114"/>
                <c:pt idx="0">
                  <c:v>0.84527830381851587</c:v>
                </c:pt>
                <c:pt idx="1">
                  <c:v>0.4720435749600197</c:v>
                </c:pt>
                <c:pt idx="2">
                  <c:v>0.33421266668787653</c:v>
                </c:pt>
                <c:pt idx="3">
                  <c:v>0.26015223912875463</c:v>
                </c:pt>
                <c:pt idx="4">
                  <c:v>0.22489006805546818</c:v>
                </c:pt>
                <c:pt idx="5">
                  <c:v>0.18866897520257697</c:v>
                </c:pt>
                <c:pt idx="6">
                  <c:v>0.16399456149841685</c:v>
                </c:pt>
                <c:pt idx="7">
                  <c:v>0.14512902755647306</c:v>
                </c:pt>
                <c:pt idx="8">
                  <c:v>0.13092428341111306</c:v>
                </c:pt>
                <c:pt idx="9">
                  <c:v>0.11956443766790248</c:v>
                </c:pt>
                <c:pt idx="10">
                  <c:v>0.11065977950345773</c:v>
                </c:pt>
                <c:pt idx="11">
                  <c:v>0.10557625666495518</c:v>
                </c:pt>
                <c:pt idx="12">
                  <c:v>0.10230675089961694</c:v>
                </c:pt>
                <c:pt idx="13">
                  <c:v>9.9080073750210995E-2</c:v>
                </c:pt>
                <c:pt idx="14">
                  <c:v>9.6564125699988179E-2</c:v>
                </c:pt>
                <c:pt idx="15">
                  <c:v>0.33993143693579586</c:v>
                </c:pt>
                <c:pt idx="16">
                  <c:v>0.26405384333797888</c:v>
                </c:pt>
                <c:pt idx="17">
                  <c:v>0.36157738452666099</c:v>
                </c:pt>
                <c:pt idx="18">
                  <c:v>0.27035202676422532</c:v>
                </c:pt>
                <c:pt idx="19">
                  <c:v>0.21448494153881792</c:v>
                </c:pt>
                <c:pt idx="20">
                  <c:v>0.18438304318595877</c:v>
                </c:pt>
                <c:pt idx="21">
                  <c:v>0.16449663172739348</c:v>
                </c:pt>
                <c:pt idx="22">
                  <c:v>0.14869560119954617</c:v>
                </c:pt>
                <c:pt idx="23">
                  <c:v>0.13253431767829793</c:v>
                </c:pt>
                <c:pt idx="24">
                  <c:v>0.12700158312899268</c:v>
                </c:pt>
                <c:pt idx="25">
                  <c:v>0.1160339130766378</c:v>
                </c:pt>
                <c:pt idx="26">
                  <c:v>0.10801613489503581</c:v>
                </c:pt>
                <c:pt idx="27">
                  <c:v>0.10306095498267165</c:v>
                </c:pt>
                <c:pt idx="28">
                  <c:v>9.6807709391497743E-2</c:v>
                </c:pt>
                <c:pt idx="29">
                  <c:v>0.95356047258239141</c:v>
                </c:pt>
                <c:pt idx="30">
                  <c:v>3.5851593433921081E-2</c:v>
                </c:pt>
                <c:pt idx="31">
                  <c:v>3.7601983478832812E-2</c:v>
                </c:pt>
                <c:pt idx="32">
                  <c:v>3.7412002185514104E-2</c:v>
                </c:pt>
                <c:pt idx="33">
                  <c:v>3.7343270728978473E-2</c:v>
                </c:pt>
                <c:pt idx="34">
                  <c:v>3.6934988305806993E-2</c:v>
                </c:pt>
                <c:pt idx="35">
                  <c:v>3.7273230253311307E-2</c:v>
                </c:pt>
                <c:pt idx="36">
                  <c:v>3.7782739383001362E-2</c:v>
                </c:pt>
                <c:pt idx="37">
                  <c:v>3.8517640644652018E-2</c:v>
                </c:pt>
                <c:pt idx="38">
                  <c:v>3.8456640244415641E-2</c:v>
                </c:pt>
                <c:pt idx="39">
                  <c:v>3.849847533969053E-2</c:v>
                </c:pt>
                <c:pt idx="40">
                  <c:v>3.8776101157183662E-2</c:v>
                </c:pt>
                <c:pt idx="41">
                  <c:v>3.8630086156194343E-2</c:v>
                </c:pt>
                <c:pt idx="42">
                  <c:v>3.8276381035707407E-2</c:v>
                </c:pt>
                <c:pt idx="43">
                  <c:v>3.7944884538860801E-2</c:v>
                </c:pt>
                <c:pt idx="44">
                  <c:v>3.8334518102681292E-2</c:v>
                </c:pt>
                <c:pt idx="45">
                  <c:v>4.0209487791897369E-2</c:v>
                </c:pt>
                <c:pt idx="46">
                  <c:v>4.0409616901882162E-2</c:v>
                </c:pt>
                <c:pt idx="47">
                  <c:v>4.0675132154377791E-2</c:v>
                </c:pt>
                <c:pt idx="48">
                  <c:v>3.9646258629229547E-2</c:v>
                </c:pt>
                <c:pt idx="49">
                  <c:v>3.9935429358280761E-2</c:v>
                </c:pt>
                <c:pt idx="50">
                  <c:v>4.070665501586912E-2</c:v>
                </c:pt>
                <c:pt idx="51">
                  <c:v>4.1888794312861855E-2</c:v>
                </c:pt>
                <c:pt idx="52">
                  <c:v>4.2751019693242798E-2</c:v>
                </c:pt>
                <c:pt idx="53">
                  <c:v>4.362574843319067E-2</c:v>
                </c:pt>
                <c:pt idx="54">
                  <c:v>4.5212348967804239E-2</c:v>
                </c:pt>
                <c:pt idx="55">
                  <c:v>4.5222939800209971E-2</c:v>
                </c:pt>
                <c:pt idx="56">
                  <c:v>4.4981730149440957E-2</c:v>
                </c:pt>
                <c:pt idx="57">
                  <c:v>4.4608861639135022E-2</c:v>
                </c:pt>
                <c:pt idx="58">
                  <c:v>4.2691738336139151E-2</c:v>
                </c:pt>
                <c:pt idx="59">
                  <c:v>4.1754177870765852E-2</c:v>
                </c:pt>
                <c:pt idx="60">
                  <c:v>4.3508693643226182E-2</c:v>
                </c:pt>
                <c:pt idx="61">
                  <c:v>4.2491728796030914E-2</c:v>
                </c:pt>
                <c:pt idx="62">
                  <c:v>4.2236913465182435E-2</c:v>
                </c:pt>
                <c:pt idx="63">
                  <c:v>4.3149575027839782E-2</c:v>
                </c:pt>
                <c:pt idx="64">
                  <c:v>4.3501589889296866E-2</c:v>
                </c:pt>
                <c:pt idx="65">
                  <c:v>4.3607598006734083E-2</c:v>
                </c:pt>
                <c:pt idx="66">
                  <c:v>4.3464091112332848E-2</c:v>
                </c:pt>
                <c:pt idx="67">
                  <c:v>4.2986409484308874E-2</c:v>
                </c:pt>
                <c:pt idx="68">
                  <c:v>4.2922029868397438E-2</c:v>
                </c:pt>
                <c:pt idx="69">
                  <c:v>4.3063553022364975E-2</c:v>
                </c:pt>
                <c:pt idx="70">
                  <c:v>4.2619092374987733E-2</c:v>
                </c:pt>
                <c:pt idx="71">
                  <c:v>4.3681232153950367E-2</c:v>
                </c:pt>
                <c:pt idx="72">
                  <c:v>4.5604560287515028E-2</c:v>
                </c:pt>
                <c:pt idx="73">
                  <c:v>4.6153296016939516E-2</c:v>
                </c:pt>
                <c:pt idx="74">
                  <c:v>4.3460373268496832E-2</c:v>
                </c:pt>
                <c:pt idx="75">
                  <c:v>4.2989143756879455E-2</c:v>
                </c:pt>
                <c:pt idx="76">
                  <c:v>4.1492047029088819E-2</c:v>
                </c:pt>
                <c:pt idx="77">
                  <c:v>4.2641480083287053E-2</c:v>
                </c:pt>
                <c:pt idx="78">
                  <c:v>3.9046942907917659E-2</c:v>
                </c:pt>
                <c:pt idx="79">
                  <c:v>3.9748658612042909E-2</c:v>
                </c:pt>
                <c:pt idx="80">
                  <c:v>4.2099911507030408E-2</c:v>
                </c:pt>
                <c:pt idx="81">
                  <c:v>4.2585670943652953E-2</c:v>
                </c:pt>
                <c:pt idx="82">
                  <c:v>4.2985975287015088E-2</c:v>
                </c:pt>
                <c:pt idx="83">
                  <c:v>4.3851727447396516E-2</c:v>
                </c:pt>
                <c:pt idx="84">
                  <c:v>4.2093618167948432E-2</c:v>
                </c:pt>
                <c:pt idx="85">
                  <c:v>4.0521637927629639E-2</c:v>
                </c:pt>
                <c:pt idx="86">
                  <c:v>3.8946698220574727E-2</c:v>
                </c:pt>
                <c:pt idx="87">
                  <c:v>3.9906190452044576E-2</c:v>
                </c:pt>
                <c:pt idx="88">
                  <c:v>4.1145967628451463E-2</c:v>
                </c:pt>
                <c:pt idx="89">
                  <c:v>4.0570272830557585E-2</c:v>
                </c:pt>
                <c:pt idx="90">
                  <c:v>4.1410818545809969E-2</c:v>
                </c:pt>
                <c:pt idx="91">
                  <c:v>4.1340716909025632E-2</c:v>
                </c:pt>
                <c:pt idx="92">
                  <c:v>4.0188500294927043E-2</c:v>
                </c:pt>
                <c:pt idx="93">
                  <c:v>3.8089538826743596E-2</c:v>
                </c:pt>
                <c:pt idx="94">
                  <c:v>3.8052689592470101E-2</c:v>
                </c:pt>
                <c:pt idx="95">
                  <c:v>3.8689216043689467E-2</c:v>
                </c:pt>
                <c:pt idx="96">
                  <c:v>3.8347652571984137E-2</c:v>
                </c:pt>
                <c:pt idx="97">
                  <c:v>3.8656894135168152E-2</c:v>
                </c:pt>
                <c:pt idx="98">
                  <c:v>3.9200300711964453E-2</c:v>
                </c:pt>
                <c:pt idx="99">
                  <c:v>4.1176430756075466E-2</c:v>
                </c:pt>
                <c:pt idx="100">
                  <c:v>4.1619562423228951E-2</c:v>
                </c:pt>
                <c:pt idx="101">
                  <c:v>4.107271980976801E-2</c:v>
                </c:pt>
                <c:pt idx="102">
                  <c:v>4.0139561993104644E-2</c:v>
                </c:pt>
                <c:pt idx="103">
                  <c:v>4.2073393287442196E-2</c:v>
                </c:pt>
                <c:pt idx="104">
                  <c:v>4.0742790413886842E-2</c:v>
                </c:pt>
                <c:pt idx="105">
                  <c:v>4.1275272695995069E-2</c:v>
                </c:pt>
                <c:pt idx="106">
                  <c:v>4.2307719655149567E-2</c:v>
                </c:pt>
                <c:pt idx="107">
                  <c:v>4.4650581981310111E-2</c:v>
                </c:pt>
                <c:pt idx="108">
                  <c:v>4.0976040496180866E-2</c:v>
                </c:pt>
                <c:pt idx="109">
                  <c:v>4.0716655369956056E-2</c:v>
                </c:pt>
                <c:pt idx="110">
                  <c:v>4.100870565584791E-2</c:v>
                </c:pt>
                <c:pt idx="111">
                  <c:v>4.012482288774577E-2</c:v>
                </c:pt>
                <c:pt idx="112">
                  <c:v>4.0611763500049802E-2</c:v>
                </c:pt>
                <c:pt idx="113">
                  <c:v>4.2997419058053987E-2</c:v>
                </c:pt>
              </c:numCache>
            </c:numRef>
          </c:yVal>
          <c:smooth val="0"/>
          <c:extLst>
            <c:ext xmlns:c16="http://schemas.microsoft.com/office/drawing/2014/chart" uri="{C3380CC4-5D6E-409C-BE32-E72D297353CC}">
              <c16:uniqueId val="{00000001-DABB-924E-AA07-3AD093D0B0B4}"/>
            </c:ext>
          </c:extLst>
        </c:ser>
        <c:ser>
          <c:idx val="2"/>
          <c:order val="2"/>
          <c:tx>
            <c:v>transition</c:v>
          </c:tx>
          <c:spPr>
            <a:ln w="28575">
              <a:noFill/>
            </a:ln>
          </c:spPr>
          <c:marker>
            <c:symbol val="diamond"/>
            <c:size val="3"/>
            <c:spPr>
              <a:noFill/>
              <a:ln>
                <a:solidFill>
                  <a:srgbClr val="006600"/>
                </a:solidFill>
              </a:ln>
            </c:spPr>
          </c:marker>
          <c:xVal>
            <c:numRef>
              <c:f>'World coal'!$D$121:$D$137</c:f>
              <c:numCache>
                <c:formatCode>General</c:formatCode>
                <c:ptCount val="17"/>
                <c:pt idx="0">
                  <c:v>1914</c:v>
                </c:pt>
                <c:pt idx="1">
                  <c:v>1915</c:v>
                </c:pt>
                <c:pt idx="2">
                  <c:v>1916</c:v>
                </c:pt>
                <c:pt idx="3">
                  <c:v>1917</c:v>
                </c:pt>
                <c:pt idx="4">
                  <c:v>1918</c:v>
                </c:pt>
                <c:pt idx="5">
                  <c:v>1919</c:v>
                </c:pt>
                <c:pt idx="6">
                  <c:v>1920</c:v>
                </c:pt>
                <c:pt idx="7">
                  <c:v>1921</c:v>
                </c:pt>
                <c:pt idx="8">
                  <c:v>1922</c:v>
                </c:pt>
                <c:pt idx="9">
                  <c:v>1923</c:v>
                </c:pt>
                <c:pt idx="10">
                  <c:v>1924</c:v>
                </c:pt>
                <c:pt idx="11">
                  <c:v>1925</c:v>
                </c:pt>
                <c:pt idx="12">
                  <c:v>1926</c:v>
                </c:pt>
                <c:pt idx="13">
                  <c:v>1927</c:v>
                </c:pt>
                <c:pt idx="14">
                  <c:v>1928</c:v>
                </c:pt>
                <c:pt idx="15">
                  <c:v>1929</c:v>
                </c:pt>
                <c:pt idx="16">
                  <c:v>1930</c:v>
                </c:pt>
              </c:numCache>
            </c:numRef>
          </c:xVal>
          <c:yVal>
            <c:numRef>
              <c:f>'World coal'!$H$121:$H$137</c:f>
              <c:numCache>
                <c:formatCode>0.0%</c:formatCode>
                <c:ptCount val="17"/>
                <c:pt idx="0">
                  <c:v>3.7377974833306737E-2</c:v>
                </c:pt>
                <c:pt idx="1">
                  <c:v>3.5315685444629485E-2</c:v>
                </c:pt>
                <c:pt idx="2">
                  <c:v>3.5556808257709127E-2</c:v>
                </c:pt>
                <c:pt idx="3">
                  <c:v>3.608807142297199E-2</c:v>
                </c:pt>
                <c:pt idx="4">
                  <c:v>3.4407576369685167E-2</c:v>
                </c:pt>
                <c:pt idx="5">
                  <c:v>2.9457651115765593E-2</c:v>
                </c:pt>
                <c:pt idx="6">
                  <c:v>3.2068179017604059E-2</c:v>
                </c:pt>
                <c:pt idx="7">
                  <c:v>2.6758216209838315E-2</c:v>
                </c:pt>
                <c:pt idx="8">
                  <c:v>2.8060560823902181E-2</c:v>
                </c:pt>
                <c:pt idx="9">
                  <c:v>3.0301451519340605E-2</c:v>
                </c:pt>
                <c:pt idx="10">
                  <c:v>2.9265659050237924E-2</c:v>
                </c:pt>
                <c:pt idx="11">
                  <c:v>2.8700498144407338E-2</c:v>
                </c:pt>
                <c:pt idx="12">
                  <c:v>2.7766356176400775E-2</c:v>
                </c:pt>
                <c:pt idx="13">
                  <c:v>2.9190632359091473E-2</c:v>
                </c:pt>
                <c:pt idx="14">
                  <c:v>2.8096286504339152E-2</c:v>
                </c:pt>
                <c:pt idx="15">
                  <c:v>2.9035764651800688E-2</c:v>
                </c:pt>
                <c:pt idx="16">
                  <c:v>2.5622826677766386E-2</c:v>
                </c:pt>
              </c:numCache>
            </c:numRef>
          </c:yVal>
          <c:smooth val="0"/>
          <c:extLst>
            <c:ext xmlns:c16="http://schemas.microsoft.com/office/drawing/2014/chart" uri="{C3380CC4-5D6E-409C-BE32-E72D297353CC}">
              <c16:uniqueId val="{00000002-DABB-924E-AA07-3AD093D0B0B4}"/>
            </c:ext>
          </c:extLst>
        </c:ser>
        <c:ser>
          <c:idx val="3"/>
          <c:order val="3"/>
          <c:tx>
            <c:strRef>
              <c:f>'World coal'!$E$1</c:f>
              <c:strCache>
                <c:ptCount val="1"/>
                <c:pt idx="0">
                  <c:v>Growth rate 1931-</c:v>
                </c:pt>
              </c:strCache>
            </c:strRef>
          </c:tx>
          <c:spPr>
            <a:ln w="15875">
              <a:solidFill>
                <a:srgbClr val="808080"/>
              </a:solidFill>
              <a:prstDash val="lgDash"/>
            </a:ln>
          </c:spPr>
          <c:marker>
            <c:symbol val="none"/>
          </c:marker>
          <c:xVal>
            <c:numLit>
              <c:formatCode>General</c:formatCode>
              <c:ptCount val="2"/>
              <c:pt idx="0">
                <c:v>1931</c:v>
              </c:pt>
              <c:pt idx="1">
                <c:v>2009</c:v>
              </c:pt>
            </c:numLit>
          </c:xVal>
          <c:yVal>
            <c:numRef>
              <c:f>('World coal'!$D$1,'World coal'!$D$1)</c:f>
              <c:numCache>
                <c:formatCode>0.0%</c:formatCode>
                <c:ptCount val="2"/>
                <c:pt idx="0">
                  <c:v>2.1730566482632378E-2</c:v>
                </c:pt>
                <c:pt idx="1">
                  <c:v>2.1730566482632378E-2</c:v>
                </c:pt>
              </c:numCache>
            </c:numRef>
          </c:yVal>
          <c:smooth val="0"/>
          <c:extLst>
            <c:ext xmlns:c16="http://schemas.microsoft.com/office/drawing/2014/chart" uri="{C3380CC4-5D6E-409C-BE32-E72D297353CC}">
              <c16:uniqueId val="{00000003-DABB-924E-AA07-3AD093D0B0B4}"/>
            </c:ext>
          </c:extLst>
        </c:ser>
        <c:ser>
          <c:idx val="4"/>
          <c:order val="4"/>
          <c:tx>
            <c:strRef>
              <c:f>'World coal'!$E$2</c:f>
              <c:strCache>
                <c:ptCount val="1"/>
                <c:pt idx="0">
                  <c:v>Growth rate -1913</c:v>
                </c:pt>
              </c:strCache>
            </c:strRef>
          </c:tx>
          <c:spPr>
            <a:ln w="15875">
              <a:solidFill>
                <a:srgbClr val="808080"/>
              </a:solidFill>
              <a:prstDash val="lgDash"/>
            </a:ln>
          </c:spPr>
          <c:marker>
            <c:symbol val="none"/>
          </c:marker>
          <c:xVal>
            <c:numLit>
              <c:formatCode>General</c:formatCode>
              <c:ptCount val="2"/>
              <c:pt idx="0">
                <c:v>1830</c:v>
              </c:pt>
              <c:pt idx="1">
                <c:v>1913</c:v>
              </c:pt>
            </c:numLit>
          </c:xVal>
          <c:yVal>
            <c:numRef>
              <c:f>('World coal'!$D$2,'World coal'!$D$2)</c:f>
              <c:numCache>
                <c:formatCode>0.0%</c:formatCode>
                <c:ptCount val="2"/>
                <c:pt idx="0">
                  <c:v>4.1077391915211661E-2</c:v>
                </c:pt>
                <c:pt idx="1">
                  <c:v>4.1077391915211661E-2</c:v>
                </c:pt>
              </c:numCache>
            </c:numRef>
          </c:yVal>
          <c:smooth val="0"/>
          <c:extLst>
            <c:ext xmlns:c16="http://schemas.microsoft.com/office/drawing/2014/chart" uri="{C3380CC4-5D6E-409C-BE32-E72D297353CC}">
              <c16:uniqueId val="{00000004-DABB-924E-AA07-3AD093D0B0B4}"/>
            </c:ext>
          </c:extLst>
        </c:ser>
        <c:dLbls>
          <c:showLegendKey val="0"/>
          <c:showVal val="0"/>
          <c:showCatName val="0"/>
          <c:showSerName val="0"/>
          <c:showPercent val="0"/>
          <c:showBubbleSize val="0"/>
        </c:dLbls>
        <c:axId val="138456064"/>
        <c:axId val="138965760"/>
      </c:scatterChart>
      <c:valAx>
        <c:axId val="138456064"/>
        <c:scaling>
          <c:orientation val="minMax"/>
          <c:max val="2010"/>
          <c:min val="1830"/>
        </c:scaling>
        <c:delete val="0"/>
        <c:axPos val="b"/>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8965760"/>
        <c:crosses val="autoZero"/>
        <c:crossBetween val="midCat"/>
        <c:majorUnit val="60"/>
        <c:minorUnit val="10"/>
      </c:valAx>
      <c:valAx>
        <c:axId val="138965760"/>
        <c:scaling>
          <c:orientation val="minMax"/>
          <c:max val="0.05"/>
          <c:min val="0"/>
        </c:scaling>
        <c:delete val="0"/>
        <c:axPos val="l"/>
        <c:title>
          <c:tx>
            <c:rich>
              <a:bodyPr rot="-5400000" vert="horz"/>
              <a:lstStyle/>
              <a:p>
                <a:pPr>
                  <a:defRPr sz="1200" b="0">
                    <a:solidFill>
                      <a:srgbClr val="333399"/>
                    </a:solidFill>
                  </a:defRPr>
                </a:pPr>
                <a:r>
                  <a:rPr lang="en-US" sz="1200" b="0">
                    <a:solidFill>
                      <a:srgbClr val="333399"/>
                    </a:solidFill>
                  </a:rPr>
                  <a:t>Growth rate for cumulative</a:t>
                </a:r>
              </a:p>
            </c:rich>
          </c:tx>
          <c:layout>
            <c:manualLayout>
              <c:xMode val="edge"/>
              <c:yMode val="edge"/>
              <c:x val="0"/>
              <c:y val="0.11930920093321727"/>
            </c:manualLayout>
          </c:layout>
          <c:overlay val="0"/>
        </c:title>
        <c:numFmt formatCode="0%" sourceLinked="0"/>
        <c:majorTickMark val="out"/>
        <c:minorTickMark val="none"/>
        <c:tickLblPos val="nextTo"/>
        <c:spPr>
          <a:ln>
            <a:solidFill>
              <a:srgbClr val="333399"/>
            </a:solidFill>
          </a:ln>
        </c:spPr>
        <c:txPr>
          <a:bodyPr/>
          <a:lstStyle/>
          <a:p>
            <a:pPr>
              <a:defRPr sz="1200">
                <a:solidFill>
                  <a:srgbClr val="333399"/>
                </a:solidFill>
              </a:defRPr>
            </a:pPr>
            <a:endParaRPr lang="en-US"/>
          </a:p>
        </c:txPr>
        <c:crossAx val="138456064"/>
        <c:crosses val="autoZero"/>
        <c:crossBetween val="midCat"/>
        <c:majorUnit val="2.0000000000000011E-2"/>
        <c:minorUnit val="1.0000000000000005E-2"/>
      </c:valAx>
    </c:plotArea>
    <c:plotVisOnly val="1"/>
    <c:dispBlanksAs val="gap"/>
    <c:showDLblsOverMax val="0"/>
  </c:chart>
  <c:spPr>
    <a:ln>
      <a:noFill/>
    </a:ln>
  </c:spPr>
  <c:printSettings>
    <c:headerFooter/>
    <c:pageMargins b="0.75000000000000366" l="0.70000000000000062" r="0.70000000000000062" t="0.75000000000000366" header="0.30000000000000032" footer="0.30000000000000032"/>
    <c:pageSetup/>
  </c:printSettings>
  <c:userShapes r:id="rId1"/>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'World coal'!$H$5</c:f>
              <c:strCache>
                <c:ptCount val="1"/>
                <c:pt idx="0">
                  <c:v>Growth rate</c:v>
                </c:pt>
              </c:strCache>
            </c:strRef>
          </c:tx>
          <c:spPr>
            <a:ln w="28575">
              <a:noFill/>
            </a:ln>
          </c:spPr>
          <c:marker>
            <c:symbol val="diamond"/>
            <c:size val="3"/>
            <c:spPr>
              <a:solidFill>
                <a:srgbClr val="006600"/>
              </a:solidFill>
              <a:ln>
                <a:solidFill>
                  <a:srgbClr val="006600"/>
                </a:solidFill>
              </a:ln>
            </c:spPr>
          </c:marker>
          <c:xVal>
            <c:numRef>
              <c:f>'World coal'!$E$138:$E$303</c:f>
              <c:numCache>
                <c:formatCode>#,##0.0</c:formatCode>
                <c:ptCount val="166"/>
                <c:pt idx="0">
                  <c:v>55.742734098269636</c:v>
                </c:pt>
                <c:pt idx="1">
                  <c:v>56.856287749379852</c:v>
                </c:pt>
                <c:pt idx="2">
                  <c:v>58.019566502780222</c:v>
                </c:pt>
                <c:pt idx="3">
                  <c:v>59.290192121144202</c:v>
                </c:pt>
                <c:pt idx="4">
                  <c:v>60.625072784495892</c:v>
                </c:pt>
                <c:pt idx="5">
                  <c:v>62.085991882949322</c:v>
                </c:pt>
                <c:pt idx="6">
                  <c:v>63.638483473086289</c:v>
                </c:pt>
                <c:pt idx="7">
                  <c:v>65.110126852227509</c:v>
                </c:pt>
                <c:pt idx="8">
                  <c:v>66.67479885050632</c:v>
                </c:pt>
                <c:pt idx="9">
                  <c:v>68.363417057640021</c:v>
                </c:pt>
                <c:pt idx="10">
                  <c:v>70.114919293276429</c:v>
                </c:pt>
                <c:pt idx="11">
                  <c:v>71.882461614485976</c:v>
                </c:pt>
                <c:pt idx="12">
                  <c:v>73.675320781532193</c:v>
                </c:pt>
                <c:pt idx="13">
                  <c:v>75.411959270155478</c:v>
                </c:pt>
                <c:pt idx="14">
                  <c:v>76.679689961399191</c:v>
                </c:pt>
                <c:pt idx="15">
                  <c:v>78.143672724536401</c:v>
                </c:pt>
                <c:pt idx="16">
                  <c:v>79.780226210662164</c:v>
                </c:pt>
                <c:pt idx="17">
                  <c:v>81.478220464811315</c:v>
                </c:pt>
                <c:pt idx="18">
                  <c:v>83.134154235678693</c:v>
                </c:pt>
                <c:pt idx="19">
                  <c:v>84.93654067818413</c:v>
                </c:pt>
                <c:pt idx="20">
                  <c:v>86.842228995750489</c:v>
                </c:pt>
                <c:pt idx="21">
                  <c:v>88.753912305646267</c:v>
                </c:pt>
                <c:pt idx="22">
                  <c:v>90.690715276290561</c:v>
                </c:pt>
                <c:pt idx="23">
                  <c:v>92.637737636170527</c:v>
                </c:pt>
                <c:pt idx="24">
                  <c:v>94.748363379956061</c:v>
                </c:pt>
                <c:pt idx="25">
                  <c:v>96.979904268807857</c:v>
                </c:pt>
                <c:pt idx="26">
                  <c:v>99.284239566281059</c:v>
                </c:pt>
                <c:pt idx="27">
                  <c:v>101.69021292253399</c:v>
                </c:pt>
                <c:pt idx="28">
                  <c:v>104.21818189461213</c:v>
                </c:pt>
                <c:pt idx="29">
                  <c:v>106.81253153588199</c:v>
                </c:pt>
                <c:pt idx="30">
                  <c:v>109.30657086614686</c:v>
                </c:pt>
                <c:pt idx="31">
                  <c:v>111.81396997628468</c:v>
                </c:pt>
                <c:pt idx="32">
                  <c:v>114.40299399865201</c:v>
                </c:pt>
                <c:pt idx="33">
                  <c:v>117.06982921561826</c:v>
                </c:pt>
                <c:pt idx="34">
                  <c:v>119.79004284350107</c:v>
                </c:pt>
                <c:pt idx="35">
                  <c:v>122.53461441781339</c:v>
                </c:pt>
                <c:pt idx="36">
                  <c:v>125.2278047485438</c:v>
                </c:pt>
                <c:pt idx="37">
                  <c:v>127.94653743683376</c:v>
                </c:pt>
                <c:pt idx="38">
                  <c:v>130.76205196574386</c:v>
                </c:pt>
                <c:pt idx="39">
                  <c:v>133.72935667620308</c:v>
                </c:pt>
                <c:pt idx="40">
                  <c:v>136.72627083380584</c:v>
                </c:pt>
                <c:pt idx="41">
                  <c:v>139.7584993826363</c:v>
                </c:pt>
                <c:pt idx="42">
                  <c:v>142.82921413854399</c:v>
                </c:pt>
                <c:pt idx="43">
                  <c:v>145.91202069565708</c:v>
                </c:pt>
                <c:pt idx="44">
                  <c:v>149.20512302153344</c:v>
                </c:pt>
                <c:pt idx="45">
                  <c:v>152.57683064388209</c:v>
                </c:pt>
                <c:pt idx="46">
                  <c:v>156.05898038106423</c:v>
                </c:pt>
                <c:pt idx="47">
                  <c:v>159.61126293567136</c:v>
                </c:pt>
                <c:pt idx="48">
                  <c:v>163.33382178096082</c:v>
                </c:pt>
                <c:pt idx="49">
                  <c:v>167.13121896037001</c:v>
                </c:pt>
                <c:pt idx="50">
                  <c:v>170.95570206686276</c:v>
                </c:pt>
                <c:pt idx="51">
                  <c:v>174.9324115799028</c:v>
                </c:pt>
                <c:pt idx="52">
                  <c:v>178.91918483694096</c:v>
                </c:pt>
                <c:pt idx="53">
                  <c:v>183.11327309369611</c:v>
                </c:pt>
                <c:pt idx="54">
                  <c:v>187.53367905805433</c:v>
                </c:pt>
                <c:pt idx="55">
                  <c:v>192.06220120335672</c:v>
                </c:pt>
                <c:pt idx="56">
                  <c:v>196.69061884151296</c:v>
                </c:pt>
                <c:pt idx="57">
                  <c:v>201.42406212926645</c:v>
                </c:pt>
                <c:pt idx="58">
                  <c:v>206.24108963679461</c:v>
                </c:pt>
                <c:pt idx="59">
                  <c:v>210.95917450834912</c:v>
                </c:pt>
                <c:pt idx="60">
                  <c:v>215.49800333623367</c:v>
                </c:pt>
                <c:pt idx="61">
                  <c:v>219.99830131682822</c:v>
                </c:pt>
                <c:pt idx="62">
                  <c:v>224.38011624359461</c:v>
                </c:pt>
                <c:pt idx="63">
                  <c:v>228.85021915772322</c:v>
                </c:pt>
                <c:pt idx="64">
                  <c:v>233.44292358256544</c:v>
                </c:pt>
                <c:pt idx="65">
                  <c:v>238.10925374938239</c:v>
                </c:pt>
                <c:pt idx="66">
                  <c:v>242.8111895929386</c:v>
                </c:pt>
                <c:pt idx="67">
                  <c:v>247.36834758376969</c:v>
                </c:pt>
                <c:pt idx="68">
                  <c:v>251.91191230585648</c:v>
                </c:pt>
                <c:pt idx="69">
                  <c:v>256.52018002404628</c:v>
                </c:pt>
                <c:pt idx="70">
                  <c:v>261.34168037194775</c:v>
                </c:pt>
                <c:pt idx="71">
                  <c:v>266.19441345042407</c:v>
                </c:pt>
                <c:pt idx="72">
                  <c:v>271.38283551784275</c:v>
                </c:pt>
                <c:pt idx="73">
                  <c:v>276.96850500257875</c:v>
                </c:pt>
                <c:pt idx="74">
                  <c:v>282.85959358651934</c:v>
                </c:pt>
                <c:pt idx="75">
                  <c:v>289.04623266815912</c:v>
                </c:pt>
                <c:pt idx="76">
                  <c:v>295.45431768840831</c:v>
                </c:pt>
                <c:pt idx="77">
                  <c:v>302.24759453286367</c:v>
                </c:pt>
                <c:pt idx="78">
                  <c:v>309.18816678882757</c:v>
                </c:pt>
              </c:numCache>
            </c:numRef>
          </c:xVal>
          <c:yVal>
            <c:numRef>
              <c:f>'World coal'!$H$138:$H$303</c:f>
              <c:numCache>
                <c:formatCode>0.0%</c:formatCode>
                <c:ptCount val="166"/>
                <c:pt idx="0">
                  <c:v>2.2316209106413964E-2</c:v>
                </c:pt>
                <c:pt idx="1">
                  <c:v>1.9585409023162303E-2</c:v>
                </c:pt>
                <c:pt idx="2">
                  <c:v>2.0049766372256972E-2</c:v>
                </c:pt>
                <c:pt idx="3">
                  <c:v>2.1430620696384017E-2</c:v>
                </c:pt>
                <c:pt idx="4">
                  <c:v>2.2018623682264149E-2</c:v>
                </c:pt>
                <c:pt idx="5">
                  <c:v>2.3530575161104017E-2</c:v>
                </c:pt>
                <c:pt idx="6">
                  <c:v>2.4395483760915493E-2</c:v>
                </c:pt>
                <c:pt idx="7">
                  <c:v>2.2602373091381467E-2</c:v>
                </c:pt>
                <c:pt idx="8">
                  <c:v>2.346721737829327E-2</c:v>
                </c:pt>
                <c:pt idx="9">
                  <c:v>2.4700611523118532E-2</c:v>
                </c:pt>
                <c:pt idx="10">
                  <c:v>2.498044999966742E-2</c:v>
                </c:pt>
                <c:pt idx="11">
                  <c:v>2.4589340452599973E-2</c:v>
                </c:pt>
                <c:pt idx="12">
                  <c:v>2.4334596008920628E-2</c:v>
                </c:pt>
                <c:pt idx="13">
                  <c:v>2.3028688094443472E-2</c:v>
                </c:pt>
                <c:pt idx="14">
                  <c:v>1.6532809299071194E-2</c:v>
                </c:pt>
                <c:pt idx="15">
                  <c:v>1.8734501618549282E-2</c:v>
                </c:pt>
                <c:pt idx="16">
                  <c:v>2.0513272070755928E-2</c:v>
                </c:pt>
                <c:pt idx="17">
                  <c:v>2.0839854435486527E-2</c:v>
                </c:pt>
                <c:pt idx="18">
                  <c:v>1.9918814187643519E-2</c:v>
                </c:pt>
                <c:pt idx="19">
                  <c:v>2.1220389105962023E-2</c:v>
                </c:pt>
                <c:pt idx="20">
                  <c:v>2.1944258451261245E-2</c:v>
                </c:pt>
                <c:pt idx="21">
                  <c:v>2.1539144137245669E-2</c:v>
                </c:pt>
                <c:pt idx="22">
                  <c:v>2.1356132926549254E-2</c:v>
                </c:pt>
                <c:pt idx="23">
                  <c:v>2.1017594012569529E-2</c:v>
                </c:pt>
                <c:pt idx="24">
                  <c:v>2.2276118219811236E-2</c:v>
                </c:pt>
                <c:pt idx="25">
                  <c:v>2.3010343283763612E-2</c:v>
                </c:pt>
                <c:pt idx="26">
                  <c:v>2.3209477229614639E-2</c:v>
                </c:pt>
                <c:pt idx="27">
                  <c:v>2.3659832024206295E-2</c:v>
                </c:pt>
                <c:pt idx="28">
                  <c:v>2.425650616928321E-2</c:v>
                </c:pt>
                <c:pt idx="29">
                  <c:v>2.4288813343950388E-2</c:v>
                </c:pt>
                <c:pt idx="30">
                  <c:v>2.2816920433072485E-2</c:v>
                </c:pt>
                <c:pt idx="31">
                  <c:v>2.2424739150838091E-2</c:v>
                </c:pt>
                <c:pt idx="32">
                  <c:v>2.2630736590668499E-2</c:v>
                </c:pt>
                <c:pt idx="33">
                  <c:v>2.2779867663892284E-2</c:v>
                </c:pt>
                <c:pt idx="34">
                  <c:v>2.270817810322201E-2</c:v>
                </c:pt>
                <c:pt idx="35">
                  <c:v>2.2398336889150272E-2</c:v>
                </c:pt>
                <c:pt idx="36">
                  <c:v>2.1506328695438781E-2</c:v>
                </c:pt>
                <c:pt idx="37">
                  <c:v>2.1248974319701186E-2</c:v>
                </c:pt>
                <c:pt idx="38">
                  <c:v>2.1531587234862926E-2</c:v>
                </c:pt>
                <c:pt idx="39">
                  <c:v>2.2188880468810623E-2</c:v>
                </c:pt>
                <c:pt idx="40">
                  <c:v>2.191908065162973E-2</c:v>
                </c:pt>
                <c:pt idx="41">
                  <c:v>2.1696201391864567E-2</c:v>
                </c:pt>
                <c:pt idx="42">
                  <c:v>2.1499206408355009E-2</c:v>
                </c:pt>
                <c:pt idx="43">
                  <c:v>2.1127845001497114E-2</c:v>
                </c:pt>
                <c:pt idx="44">
                  <c:v>2.2070973564366825E-2</c:v>
                </c:pt>
                <c:pt idx="45">
                  <c:v>2.2098424827150187E-2</c:v>
                </c:pt>
                <c:pt idx="46">
                  <c:v>2.2313036575527079E-2</c:v>
                </c:pt>
                <c:pt idx="47">
                  <c:v>2.2255838900534397E-2</c:v>
                </c:pt>
                <c:pt idx="48">
                  <c:v>2.2791108447101638E-2</c:v>
                </c:pt>
                <c:pt idx="49">
                  <c:v>2.2721052374479633E-2</c:v>
                </c:pt>
                <c:pt idx="50">
                  <c:v>2.2371193591407379E-2</c:v>
                </c:pt>
                <c:pt idx="51">
                  <c:v>2.2732834225083765E-2</c:v>
                </c:pt>
                <c:pt idx="52">
                  <c:v>2.2282536446113999E-2</c:v>
                </c:pt>
                <c:pt idx="53">
                  <c:v>2.2904337768071548E-2</c:v>
                </c:pt>
                <c:pt idx="54">
                  <c:v>2.3571264567309069E-2</c:v>
                </c:pt>
                <c:pt idx="55">
                  <c:v>2.357841426855023E-2</c:v>
                </c:pt>
                <c:pt idx="56">
                  <c:v>2.3531461060101067E-2</c:v>
                </c:pt>
                <c:pt idx="57">
                  <c:v>2.3499889922365624E-2</c:v>
                </c:pt>
                <c:pt idx="58">
                  <c:v>2.3356293918012638E-2</c:v>
                </c:pt>
                <c:pt idx="59">
                  <c:v>2.236491910129168E-2</c:v>
                </c:pt>
                <c:pt idx="60">
                  <c:v>2.1062045854795097E-2</c:v>
                </c:pt>
                <c:pt idx="61">
                  <c:v>2.0456057858890042E-2</c:v>
                </c:pt>
                <c:pt idx="62">
                  <c:v>1.9528534881448012E-2</c:v>
                </c:pt>
                <c:pt idx="63">
                  <c:v>1.9532875828481622E-2</c:v>
                </c:pt>
                <c:pt idx="64">
                  <c:v>1.9673778730833313E-2</c:v>
                </c:pt>
                <c:pt idx="65">
                  <c:v>1.959743308308548E-2</c:v>
                </c:pt>
                <c:pt idx="66">
                  <c:v>1.9364576449045767E-2</c:v>
                </c:pt>
                <c:pt idx="67">
                  <c:v>1.8422559051488374E-2</c:v>
                </c:pt>
                <c:pt idx="68">
                  <c:v>1.803632341359962E-2</c:v>
                </c:pt>
                <c:pt idx="69">
                  <c:v>1.7964542663886474E-2</c:v>
                </c:pt>
                <c:pt idx="70">
                  <c:v>1.8449029412527684E-2</c:v>
                </c:pt>
                <c:pt idx="71">
                  <c:v>1.8230033514133437E-2</c:v>
                </c:pt>
                <c:pt idx="72">
                  <c:v>1.9118460670212722E-2</c:v>
                </c:pt>
                <c:pt idx="73">
                  <c:v>2.016716479978109E-2</c:v>
                </c:pt>
                <c:pt idx="74">
                  <c:v>2.0826900403993709E-2</c:v>
                </c:pt>
                <c:pt idx="75">
                  <c:v>2.1403631607758711E-2</c:v>
                </c:pt>
                <c:pt idx="76">
                  <c:v>2.168891986546384E-2</c:v>
                </c:pt>
                <c:pt idx="77">
                  <c:v>2.247586735952245E-2</c:v>
                </c:pt>
                <c:pt idx="78">
                  <c:v>2.2447729251890314E-2</c:v>
                </c:pt>
              </c:numCache>
            </c:numRef>
          </c:yVal>
          <c:smooth val="0"/>
          <c:extLst>
            <c:ext xmlns:c16="http://schemas.microsoft.com/office/drawing/2014/chart" uri="{C3380CC4-5D6E-409C-BE32-E72D297353CC}">
              <c16:uniqueId val="{00000000-480B-A24B-A060-AD6FD555C3F1}"/>
            </c:ext>
          </c:extLst>
        </c:ser>
        <c:ser>
          <c:idx val="1"/>
          <c:order val="1"/>
          <c:tx>
            <c:v>Early growth</c:v>
          </c:tx>
          <c:spPr>
            <a:ln w="28575">
              <a:noFill/>
            </a:ln>
          </c:spPr>
          <c:marker>
            <c:symbol val="diamond"/>
            <c:size val="3"/>
            <c:spPr>
              <a:solidFill>
                <a:srgbClr val="006600"/>
              </a:solidFill>
              <a:ln>
                <a:solidFill>
                  <a:srgbClr val="006600"/>
                </a:solidFill>
              </a:ln>
            </c:spPr>
          </c:marker>
          <c:xVal>
            <c:numRef>
              <c:f>'World coal'!$E$7:$E$120</c:f>
              <c:numCache>
                <c:formatCode>#,##0.0</c:formatCode>
                <c:ptCount val="114"/>
                <c:pt idx="0">
                  <c:v>1.1375263091322179E-4</c:v>
                </c:pt>
                <c:pt idx="1">
                  <c:v>2.1545837027100808E-4</c:v>
                </c:pt>
                <c:pt idx="2">
                  <c:v>3.2361440281411969E-4</c:v>
                </c:pt>
                <c:pt idx="3">
                  <c:v>4.3740674761660571E-4</c:v>
                </c:pt>
                <c:pt idx="4">
                  <c:v>5.6431575650085634E-4</c:v>
                </c:pt>
                <c:pt idx="5">
                  <c:v>6.9554317442964463E-4</c:v>
                </c:pt>
                <c:pt idx="6">
                  <c:v>8.3198403072150284E-4</c:v>
                </c:pt>
                <c:pt idx="7">
                  <c:v>9.732276069023551E-4</c:v>
                </c:pt>
                <c:pt idx="8">
                  <c:v>1.1198421361055435E-3</c:v>
                </c:pt>
                <c:pt idx="9">
                  <c:v>1.2719183368051445E-3</c:v>
                </c:pt>
                <c:pt idx="10">
                  <c:v>1.4301819567937664E-3</c:v>
                </c:pt>
                <c:pt idx="11">
                  <c:v>1.5989982013011369E-3</c:v>
                </c:pt>
                <c:pt idx="12">
                  <c:v>1.7812300614976906E-3</c:v>
                </c:pt>
                <c:pt idx="13">
                  <c:v>1.9771236150945416E-3</c:v>
                </c:pt>
                <c:pt idx="14">
                  <c:v>2.1884493092843254E-3</c:v>
                </c:pt>
                <c:pt idx="15">
                  <c:v>3.3154878625411182E-3</c:v>
                </c:pt>
                <c:pt idx="16">
                  <c:v>4.5050685196576633E-3</c:v>
                </c:pt>
                <c:pt idx="17">
                  <c:v>7.0565616105524673E-3</c:v>
                </c:pt>
                <c:pt idx="18">
                  <c:v>9.6711864753885185E-3</c:v>
                </c:pt>
                <c:pt idx="19">
                  <c:v>1.231190461750574E-2</c:v>
                </c:pt>
                <c:pt idx="20">
                  <c:v>1.5095204329245972E-2</c:v>
                </c:pt>
                <c:pt idx="21">
                  <c:v>1.8067197455415566E-2</c:v>
                </c:pt>
                <c:pt idx="22">
                  <c:v>2.1222957946503605E-2</c:v>
                </c:pt>
                <c:pt idx="23">
                  <c:v>2.4465472674033706E-2</c:v>
                </c:pt>
                <c:pt idx="24">
                  <c:v>2.8024647240166393E-2</c:v>
                </c:pt>
                <c:pt idx="25">
                  <c:v>3.1703305878742455E-2</c:v>
                </c:pt>
                <c:pt idx="26">
                  <c:v>3.5542465642034643E-2</c:v>
                </c:pt>
                <c:pt idx="27">
                  <c:v>3.9626400299418323E-2</c:v>
                </c:pt>
                <c:pt idx="28">
                  <c:v>4.387371406007138E-2</c:v>
                </c:pt>
                <c:pt idx="29">
                  <c:v>0.94474936546050392</c:v>
                </c:pt>
                <c:pt idx="30">
                  <c:v>0.9798796108841098</c:v>
                </c:pt>
                <c:pt idx="31">
                  <c:v>1.0181646201081485</c:v>
                </c:pt>
                <c:pt idx="32">
                  <c:v>1.0577366665903241</c:v>
                </c:pt>
                <c:pt idx="33">
                  <c:v>1.0987682674709005</c:v>
                </c:pt>
                <c:pt idx="34">
                  <c:v>1.1409076792624651</c:v>
                </c:pt>
                <c:pt idx="35">
                  <c:v>1.1850794172500876</c:v>
                </c:pt>
                <c:pt idx="36">
                  <c:v>1.2316131353642357</c:v>
                </c:pt>
                <c:pt idx="37">
                  <c:v>1.2809523995739289</c:v>
                </c:pt>
                <c:pt idx="38">
                  <c:v>1.3321837092188287</c:v>
                </c:pt>
                <c:pt idx="39">
                  <c:v>1.385524281606811</c:v>
                </c:pt>
                <c:pt idx="40">
                  <c:v>1.4414168054651939</c:v>
                </c:pt>
                <c:pt idx="41">
                  <c:v>1.4993362957470102</c:v>
                </c:pt>
                <c:pt idx="42">
                  <c:v>1.5590095388960998</c:v>
                </c:pt>
                <c:pt idx="43">
                  <c:v>1.6204991936962199</c:v>
                </c:pt>
                <c:pt idx="44">
                  <c:v>1.6850965582117543</c:v>
                </c:pt>
                <c:pt idx="45">
                  <c:v>1.755692035687044</c:v>
                </c:pt>
                <c:pt idx="46">
                  <c:v>1.8296265433784835</c:v>
                </c:pt>
                <c:pt idx="47">
                  <c:v>1.907202246812717</c:v>
                </c:pt>
                <c:pt idx="48">
                  <c:v>1.9859372277661489</c:v>
                </c:pt>
                <c:pt idx="49">
                  <c:v>2.0685454796428155</c:v>
                </c:pt>
                <c:pt idx="50">
                  <c:v>2.1563221411455058</c:v>
                </c:pt>
                <c:pt idx="51">
                  <c:v>2.2505969331597941</c:v>
                </c:pt>
                <c:pt idx="52">
                  <c:v>2.3511092510525051</c:v>
                </c:pt>
                <c:pt idx="53">
                  <c:v>2.458356911220402</c:v>
                </c:pt>
                <c:pt idx="54">
                  <c:v>2.5747682309911917</c:v>
                </c:pt>
                <c:pt idx="55">
                  <c:v>2.6967219242284828</c:v>
                </c:pt>
                <c:pt idx="56">
                  <c:v>2.8237385706249003</c:v>
                </c:pt>
                <c:pt idx="57">
                  <c:v>2.9555837993949798</c:v>
                </c:pt>
                <c:pt idx="58">
                  <c:v>3.0873898385228524</c:v>
                </c:pt>
                <c:pt idx="59">
                  <c:v>3.22191839215394</c:v>
                </c:pt>
                <c:pt idx="60">
                  <c:v>3.368476399880791</c:v>
                </c:pt>
                <c:pt idx="61">
                  <c:v>3.5179606288364225</c:v>
                </c:pt>
                <c:pt idx="62">
                  <c:v>3.6731010813586353</c:v>
                </c:pt>
                <c:pt idx="63">
                  <c:v>3.8387411297492031</c:v>
                </c:pt>
                <c:pt idx="64">
                  <c:v>4.0133272456824214</c:v>
                </c:pt>
                <c:pt idx="65">
                  <c:v>4.1963186212249726</c:v>
                </c:pt>
                <c:pt idx="66">
                  <c:v>4.386995388500126</c:v>
                </c:pt>
                <c:pt idx="67">
                  <c:v>4.5840471148755304</c:v>
                </c:pt>
                <c:pt idx="68">
                  <c:v>4.7896276561931552</c:v>
                </c:pt>
                <c:pt idx="69">
                  <c:v>5.0051679725655758</c:v>
                </c:pt>
                <c:pt idx="70">
                  <c:v>5.2279797233286835</c:v>
                </c:pt>
                <c:pt idx="71">
                  <c:v>5.4667751999721244</c:v>
                </c:pt>
                <c:pt idx="72">
                  <c:v>5.7279980315276964</c:v>
                </c:pt>
                <c:pt idx="73">
                  <c:v>6.005155763089391</c:v>
                </c:pt>
                <c:pt idx="74">
                  <c:v>6.2779999858542341</c:v>
                </c:pt>
                <c:pt idx="75">
                  <c:v>6.560009162800303</c:v>
                </c:pt>
                <c:pt idx="76">
                  <c:v>6.843979898619982</c:v>
                </c:pt>
                <c:pt idx="77">
                  <c:v>7.1488159934225957</c:v>
                </c:pt>
                <c:pt idx="78">
                  <c:v>7.4392978311089006</c:v>
                </c:pt>
                <c:pt idx="79">
                  <c:v>7.747240238535948</c:v>
                </c:pt>
                <c:pt idx="80">
                  <c:v>8.0877330857379999</c:v>
                </c:pt>
                <c:pt idx="81">
                  <c:v>8.4474744531027479</c:v>
                </c:pt>
                <c:pt idx="82">
                  <c:v>8.8269076888776041</c:v>
                </c:pt>
                <c:pt idx="83">
                  <c:v>9.2317352258689382</c:v>
                </c:pt>
                <c:pt idx="84">
                  <c:v>9.6374086246431609</c:v>
                </c:pt>
                <c:pt idx="85">
                  <c:v>10.044425185188535</c:v>
                </c:pt>
                <c:pt idx="86">
                  <c:v>10.451475653422047</c:v>
                </c:pt>
                <c:pt idx="87">
                  <c:v>10.885890055205079</c:v>
                </c:pt>
                <c:pt idx="88">
                  <c:v>11.353021093607792</c:v>
                </c:pt>
                <c:pt idx="89">
                  <c:v>11.833092901031995</c:v>
                </c:pt>
                <c:pt idx="90">
                  <c:v>12.34427962464699</c:v>
                </c:pt>
                <c:pt idx="91">
                  <c:v>12.876607823423694</c:v>
                </c:pt>
                <c:pt idx="92">
                  <c:v>13.415767395348322</c:v>
                </c:pt>
                <c:pt idx="93">
                  <c:v>13.947002280217342</c:v>
                </c:pt>
                <c:pt idx="94">
                  <c:v>14.498717475813391</c:v>
                </c:pt>
                <c:pt idx="95">
                  <c:v>15.082237417688562</c:v>
                </c:pt>
                <c:pt idx="96">
                  <c:v>15.683669319818863</c:v>
                </c:pt>
                <c:pt idx="97">
                  <c:v>16.314330673552508</c:v>
                </c:pt>
                <c:pt idx="98">
                  <c:v>16.979949812267456</c:v>
                </c:pt>
                <c:pt idx="99">
                  <c:v>17.709149375267142</c:v>
                </c:pt>
                <c:pt idx="100">
                  <c:v>18.47820414619904</c:v>
                </c:pt>
                <c:pt idx="101">
                  <c:v>19.269661556122728</c:v>
                </c:pt>
                <c:pt idx="102">
                  <c:v>20.075482635929099</c:v>
                </c:pt>
                <c:pt idx="103">
                  <c:v>20.957224170674998</c:v>
                </c:pt>
                <c:pt idx="104">
                  <c:v>21.847346010271142</c:v>
                </c:pt>
                <c:pt idx="105">
                  <c:v>22.78792377840016</c:v>
                </c:pt>
                <c:pt idx="106">
                  <c:v>23.794619885830734</c:v>
                </c:pt>
                <c:pt idx="107">
                  <c:v>24.90671940239276</c:v>
                </c:pt>
                <c:pt idx="108">
                  <c:v>25.970904225666089</c:v>
                </c:pt>
                <c:pt idx="109">
                  <c:v>27.073235839075259</c:v>
                </c:pt>
                <c:pt idx="110">
                  <c:v>28.230950581872037</c:v>
                </c:pt>
                <c:pt idx="111">
                  <c:v>29.411064329013815</c:v>
                </c:pt>
                <c:pt idx="112">
                  <c:v>30.656061029382176</c:v>
                </c:pt>
                <c:pt idx="113">
                  <c:v>32.033415206893622</c:v>
                </c:pt>
              </c:numCache>
            </c:numRef>
          </c:xVal>
          <c:yVal>
            <c:numRef>
              <c:f>'World coal'!$H$7:$H$120</c:f>
              <c:numCache>
                <c:formatCode>0.0%</c:formatCode>
                <c:ptCount val="114"/>
                <c:pt idx="0">
                  <c:v>0.84527830381851587</c:v>
                </c:pt>
                <c:pt idx="1">
                  <c:v>0.4720435749600197</c:v>
                </c:pt>
                <c:pt idx="2">
                  <c:v>0.33421266668787653</c:v>
                </c:pt>
                <c:pt idx="3">
                  <c:v>0.26015223912875463</c:v>
                </c:pt>
                <c:pt idx="4">
                  <c:v>0.22489006805546818</c:v>
                </c:pt>
                <c:pt idx="5">
                  <c:v>0.18866897520257697</c:v>
                </c:pt>
                <c:pt idx="6">
                  <c:v>0.16399456149841685</c:v>
                </c:pt>
                <c:pt idx="7">
                  <c:v>0.14512902755647306</c:v>
                </c:pt>
                <c:pt idx="8">
                  <c:v>0.13092428341111306</c:v>
                </c:pt>
                <c:pt idx="9">
                  <c:v>0.11956443766790248</c:v>
                </c:pt>
                <c:pt idx="10">
                  <c:v>0.11065977950345773</c:v>
                </c:pt>
                <c:pt idx="11">
                  <c:v>0.10557625666495518</c:v>
                </c:pt>
                <c:pt idx="12">
                  <c:v>0.10230675089961694</c:v>
                </c:pt>
                <c:pt idx="13">
                  <c:v>9.9080073750210995E-2</c:v>
                </c:pt>
                <c:pt idx="14">
                  <c:v>9.6564125699988179E-2</c:v>
                </c:pt>
                <c:pt idx="15">
                  <c:v>0.33993143693579586</c:v>
                </c:pt>
                <c:pt idx="16">
                  <c:v>0.26405384333797888</c:v>
                </c:pt>
                <c:pt idx="17">
                  <c:v>0.36157738452666099</c:v>
                </c:pt>
                <c:pt idx="18">
                  <c:v>0.27035202676422532</c:v>
                </c:pt>
                <c:pt idx="19">
                  <c:v>0.21448494153881792</c:v>
                </c:pt>
                <c:pt idx="20">
                  <c:v>0.18438304318595877</c:v>
                </c:pt>
                <c:pt idx="21">
                  <c:v>0.16449663172739348</c:v>
                </c:pt>
                <c:pt idx="22">
                  <c:v>0.14869560119954617</c:v>
                </c:pt>
                <c:pt idx="23">
                  <c:v>0.13253431767829793</c:v>
                </c:pt>
                <c:pt idx="24">
                  <c:v>0.12700158312899268</c:v>
                </c:pt>
                <c:pt idx="25">
                  <c:v>0.1160339130766378</c:v>
                </c:pt>
                <c:pt idx="26">
                  <c:v>0.10801613489503581</c:v>
                </c:pt>
                <c:pt idx="27">
                  <c:v>0.10306095498267165</c:v>
                </c:pt>
                <c:pt idx="28">
                  <c:v>9.6807709391497743E-2</c:v>
                </c:pt>
                <c:pt idx="29">
                  <c:v>0.95356047258239141</c:v>
                </c:pt>
                <c:pt idx="30">
                  <c:v>3.5851593433921081E-2</c:v>
                </c:pt>
                <c:pt idx="31">
                  <c:v>3.7601983478832812E-2</c:v>
                </c:pt>
                <c:pt idx="32">
                  <c:v>3.7412002185514104E-2</c:v>
                </c:pt>
                <c:pt idx="33">
                  <c:v>3.7343270728978473E-2</c:v>
                </c:pt>
                <c:pt idx="34">
                  <c:v>3.6934988305806993E-2</c:v>
                </c:pt>
                <c:pt idx="35">
                  <c:v>3.7273230253311307E-2</c:v>
                </c:pt>
                <c:pt idx="36">
                  <c:v>3.7782739383001362E-2</c:v>
                </c:pt>
                <c:pt idx="37">
                  <c:v>3.8517640644652018E-2</c:v>
                </c:pt>
                <c:pt idx="38">
                  <c:v>3.8456640244415641E-2</c:v>
                </c:pt>
                <c:pt idx="39">
                  <c:v>3.849847533969053E-2</c:v>
                </c:pt>
                <c:pt idx="40">
                  <c:v>3.8776101157183662E-2</c:v>
                </c:pt>
                <c:pt idx="41">
                  <c:v>3.8630086156194343E-2</c:v>
                </c:pt>
                <c:pt idx="42">
                  <c:v>3.8276381035707407E-2</c:v>
                </c:pt>
                <c:pt idx="43">
                  <c:v>3.7944884538860801E-2</c:v>
                </c:pt>
                <c:pt idx="44">
                  <c:v>3.8334518102681292E-2</c:v>
                </c:pt>
                <c:pt idx="45">
                  <c:v>4.0209487791897369E-2</c:v>
                </c:pt>
                <c:pt idx="46">
                  <c:v>4.0409616901882162E-2</c:v>
                </c:pt>
                <c:pt idx="47">
                  <c:v>4.0675132154377791E-2</c:v>
                </c:pt>
                <c:pt idx="48">
                  <c:v>3.9646258629229547E-2</c:v>
                </c:pt>
                <c:pt idx="49">
                  <c:v>3.9935429358280761E-2</c:v>
                </c:pt>
                <c:pt idx="50">
                  <c:v>4.070665501586912E-2</c:v>
                </c:pt>
                <c:pt idx="51">
                  <c:v>4.1888794312861855E-2</c:v>
                </c:pt>
                <c:pt idx="52">
                  <c:v>4.2751019693242798E-2</c:v>
                </c:pt>
                <c:pt idx="53">
                  <c:v>4.362574843319067E-2</c:v>
                </c:pt>
                <c:pt idx="54">
                  <c:v>4.5212348967804239E-2</c:v>
                </c:pt>
                <c:pt idx="55">
                  <c:v>4.5222939800209971E-2</c:v>
                </c:pt>
                <c:pt idx="56">
                  <c:v>4.4981730149440957E-2</c:v>
                </c:pt>
                <c:pt idx="57">
                  <c:v>4.4608861639135022E-2</c:v>
                </c:pt>
                <c:pt idx="58">
                  <c:v>4.2691738336139151E-2</c:v>
                </c:pt>
                <c:pt idx="59">
                  <c:v>4.1754177870765852E-2</c:v>
                </c:pt>
                <c:pt idx="60">
                  <c:v>4.3508693643226182E-2</c:v>
                </c:pt>
                <c:pt idx="61">
                  <c:v>4.2491728796030914E-2</c:v>
                </c:pt>
                <c:pt idx="62">
                  <c:v>4.2236913465182435E-2</c:v>
                </c:pt>
                <c:pt idx="63">
                  <c:v>4.3149575027839782E-2</c:v>
                </c:pt>
                <c:pt idx="64">
                  <c:v>4.3501589889296866E-2</c:v>
                </c:pt>
                <c:pt idx="65">
                  <c:v>4.3607598006734083E-2</c:v>
                </c:pt>
                <c:pt idx="66">
                  <c:v>4.3464091112332848E-2</c:v>
                </c:pt>
                <c:pt idx="67">
                  <c:v>4.2986409484308874E-2</c:v>
                </c:pt>
                <c:pt idx="68">
                  <c:v>4.2922029868397438E-2</c:v>
                </c:pt>
                <c:pt idx="69">
                  <c:v>4.3063553022364975E-2</c:v>
                </c:pt>
                <c:pt idx="70">
                  <c:v>4.2619092374987733E-2</c:v>
                </c:pt>
                <c:pt idx="71">
                  <c:v>4.3681232153950367E-2</c:v>
                </c:pt>
                <c:pt idx="72">
                  <c:v>4.5604560287515028E-2</c:v>
                </c:pt>
                <c:pt idx="73">
                  <c:v>4.6153296016939516E-2</c:v>
                </c:pt>
                <c:pt idx="74">
                  <c:v>4.3460373268496832E-2</c:v>
                </c:pt>
                <c:pt idx="75">
                  <c:v>4.2989143756879455E-2</c:v>
                </c:pt>
                <c:pt idx="76">
                  <c:v>4.1492047029088819E-2</c:v>
                </c:pt>
                <c:pt idx="77">
                  <c:v>4.2641480083287053E-2</c:v>
                </c:pt>
                <c:pt idx="78">
                  <c:v>3.9046942907917659E-2</c:v>
                </c:pt>
                <c:pt idx="79">
                  <c:v>3.9748658612042909E-2</c:v>
                </c:pt>
                <c:pt idx="80">
                  <c:v>4.2099911507030408E-2</c:v>
                </c:pt>
                <c:pt idx="81">
                  <c:v>4.2585670943652953E-2</c:v>
                </c:pt>
                <c:pt idx="82">
                  <c:v>4.2985975287015088E-2</c:v>
                </c:pt>
                <c:pt idx="83">
                  <c:v>4.3851727447396516E-2</c:v>
                </c:pt>
                <c:pt idx="84">
                  <c:v>4.2093618167948432E-2</c:v>
                </c:pt>
                <c:pt idx="85">
                  <c:v>4.0521637927629639E-2</c:v>
                </c:pt>
                <c:pt idx="86">
                  <c:v>3.8946698220574727E-2</c:v>
                </c:pt>
                <c:pt idx="87">
                  <c:v>3.9906190452044576E-2</c:v>
                </c:pt>
                <c:pt idx="88">
                  <c:v>4.1145967628451463E-2</c:v>
                </c:pt>
                <c:pt idx="89">
                  <c:v>4.0570272830557585E-2</c:v>
                </c:pt>
                <c:pt idx="90">
                  <c:v>4.1410818545809969E-2</c:v>
                </c:pt>
                <c:pt idx="91">
                  <c:v>4.1340716909025632E-2</c:v>
                </c:pt>
                <c:pt idx="92">
                  <c:v>4.0188500294927043E-2</c:v>
                </c:pt>
                <c:pt idx="93">
                  <c:v>3.8089538826743596E-2</c:v>
                </c:pt>
                <c:pt idx="94">
                  <c:v>3.8052689592470101E-2</c:v>
                </c:pt>
                <c:pt idx="95">
                  <c:v>3.8689216043689467E-2</c:v>
                </c:pt>
                <c:pt idx="96">
                  <c:v>3.8347652571984137E-2</c:v>
                </c:pt>
                <c:pt idx="97">
                  <c:v>3.8656894135168152E-2</c:v>
                </c:pt>
                <c:pt idx="98">
                  <c:v>3.9200300711964453E-2</c:v>
                </c:pt>
                <c:pt idx="99">
                  <c:v>4.1176430756075466E-2</c:v>
                </c:pt>
                <c:pt idx="100">
                  <c:v>4.1619562423228951E-2</c:v>
                </c:pt>
                <c:pt idx="101">
                  <c:v>4.107271980976801E-2</c:v>
                </c:pt>
                <c:pt idx="102">
                  <c:v>4.0139561993104644E-2</c:v>
                </c:pt>
                <c:pt idx="103">
                  <c:v>4.2073393287442196E-2</c:v>
                </c:pt>
                <c:pt idx="104">
                  <c:v>4.0742790413886842E-2</c:v>
                </c:pt>
                <c:pt idx="105">
                  <c:v>4.1275272695995069E-2</c:v>
                </c:pt>
                <c:pt idx="106">
                  <c:v>4.2307719655149567E-2</c:v>
                </c:pt>
                <c:pt idx="107">
                  <c:v>4.4650581981310111E-2</c:v>
                </c:pt>
                <c:pt idx="108">
                  <c:v>4.0976040496180866E-2</c:v>
                </c:pt>
                <c:pt idx="109">
                  <c:v>4.0716655369956056E-2</c:v>
                </c:pt>
                <c:pt idx="110">
                  <c:v>4.100870565584791E-2</c:v>
                </c:pt>
                <c:pt idx="111">
                  <c:v>4.012482288774577E-2</c:v>
                </c:pt>
                <c:pt idx="112">
                  <c:v>4.0611763500049802E-2</c:v>
                </c:pt>
                <c:pt idx="113">
                  <c:v>4.2997419058053987E-2</c:v>
                </c:pt>
              </c:numCache>
            </c:numRef>
          </c:yVal>
          <c:smooth val="0"/>
          <c:extLst>
            <c:ext xmlns:c16="http://schemas.microsoft.com/office/drawing/2014/chart" uri="{C3380CC4-5D6E-409C-BE32-E72D297353CC}">
              <c16:uniqueId val="{00000001-480B-A24B-A060-AD6FD555C3F1}"/>
            </c:ext>
          </c:extLst>
        </c:ser>
        <c:ser>
          <c:idx val="2"/>
          <c:order val="2"/>
          <c:tx>
            <c:v>transition</c:v>
          </c:tx>
          <c:spPr>
            <a:ln w="28575">
              <a:noFill/>
            </a:ln>
          </c:spPr>
          <c:marker>
            <c:symbol val="diamond"/>
            <c:size val="3"/>
            <c:spPr>
              <a:noFill/>
              <a:ln>
                <a:solidFill>
                  <a:srgbClr val="006600"/>
                </a:solidFill>
              </a:ln>
            </c:spPr>
          </c:marker>
          <c:xVal>
            <c:numRef>
              <c:f>'World coal'!$E$121:$E$137</c:f>
              <c:numCache>
                <c:formatCode>#,##0.0</c:formatCode>
                <c:ptCount val="17"/>
                <c:pt idx="0">
                  <c:v>33.277251475049646</c:v>
                </c:pt>
                <c:pt idx="1">
                  <c:v>34.495483105670019</c:v>
                </c:pt>
                <c:pt idx="2">
                  <c:v>35.76725244267945</c:v>
                </c:pt>
                <c:pt idx="3">
                  <c:v>37.106349016222616</c:v>
                </c:pt>
                <c:pt idx="4">
                  <c:v>38.428583435560483</c:v>
                </c:pt>
                <c:pt idx="5">
                  <c:v>39.594957891058719</c:v>
                </c:pt>
                <c:pt idx="6">
                  <c:v>40.906763299580419</c:v>
                </c:pt>
                <c:pt idx="7">
                  <c:v>42.031449924266944</c:v>
                </c:pt>
                <c:pt idx="8">
                  <c:v>43.244926823729401</c:v>
                </c:pt>
                <c:pt idx="9">
                  <c:v>44.596258178880753</c:v>
                </c:pt>
                <c:pt idx="10">
                  <c:v>45.940744339226711</c:v>
                </c:pt>
                <c:pt idx="11">
                  <c:v>47.298227015931204</c:v>
                </c:pt>
                <c:pt idx="12">
                  <c:v>48.649033405094684</c:v>
                </c:pt>
                <c:pt idx="13">
                  <c:v>50.111829393769732</c:v>
                </c:pt>
                <c:pt idx="14">
                  <c:v>51.560487626425207</c:v>
                </c:pt>
                <c:pt idx="15">
                  <c:v>53.102355111911002</c:v>
                </c:pt>
                <c:pt idx="16">
                  <c:v>54.498767587969418</c:v>
                </c:pt>
              </c:numCache>
            </c:numRef>
          </c:xVal>
          <c:yVal>
            <c:numRef>
              <c:f>'World coal'!$H$121:$H$137</c:f>
              <c:numCache>
                <c:formatCode>0.0%</c:formatCode>
                <c:ptCount val="17"/>
                <c:pt idx="0">
                  <c:v>3.7377974833306737E-2</c:v>
                </c:pt>
                <c:pt idx="1">
                  <c:v>3.5315685444629485E-2</c:v>
                </c:pt>
                <c:pt idx="2">
                  <c:v>3.5556808257709127E-2</c:v>
                </c:pt>
                <c:pt idx="3">
                  <c:v>3.608807142297199E-2</c:v>
                </c:pt>
                <c:pt idx="4">
                  <c:v>3.4407576369685167E-2</c:v>
                </c:pt>
                <c:pt idx="5">
                  <c:v>2.9457651115765593E-2</c:v>
                </c:pt>
                <c:pt idx="6">
                  <c:v>3.2068179017604059E-2</c:v>
                </c:pt>
                <c:pt idx="7">
                  <c:v>2.6758216209838315E-2</c:v>
                </c:pt>
                <c:pt idx="8">
                  <c:v>2.8060560823902181E-2</c:v>
                </c:pt>
                <c:pt idx="9">
                  <c:v>3.0301451519340605E-2</c:v>
                </c:pt>
                <c:pt idx="10">
                  <c:v>2.9265659050237924E-2</c:v>
                </c:pt>
                <c:pt idx="11">
                  <c:v>2.8700498144407338E-2</c:v>
                </c:pt>
                <c:pt idx="12">
                  <c:v>2.7766356176400775E-2</c:v>
                </c:pt>
                <c:pt idx="13">
                  <c:v>2.9190632359091473E-2</c:v>
                </c:pt>
                <c:pt idx="14">
                  <c:v>2.8096286504339152E-2</c:v>
                </c:pt>
                <c:pt idx="15">
                  <c:v>2.9035764651800688E-2</c:v>
                </c:pt>
                <c:pt idx="16">
                  <c:v>2.5622826677766386E-2</c:v>
                </c:pt>
              </c:numCache>
            </c:numRef>
          </c:yVal>
          <c:smooth val="0"/>
          <c:extLst>
            <c:ext xmlns:c16="http://schemas.microsoft.com/office/drawing/2014/chart" uri="{C3380CC4-5D6E-409C-BE32-E72D297353CC}">
              <c16:uniqueId val="{00000002-480B-A24B-A060-AD6FD555C3F1}"/>
            </c:ext>
          </c:extLst>
        </c:ser>
        <c:ser>
          <c:idx val="3"/>
          <c:order val="3"/>
          <c:tx>
            <c:strRef>
              <c:f>'World coal'!$E$1</c:f>
              <c:strCache>
                <c:ptCount val="1"/>
                <c:pt idx="0">
                  <c:v>Growth rate 1931-</c:v>
                </c:pt>
              </c:strCache>
            </c:strRef>
          </c:tx>
          <c:spPr>
            <a:ln w="15875">
              <a:solidFill>
                <a:srgbClr val="808080"/>
              </a:solidFill>
              <a:prstDash val="lgDash"/>
            </a:ln>
          </c:spPr>
          <c:marker>
            <c:symbol val="none"/>
          </c:marker>
          <c:xVal>
            <c:numLit>
              <c:formatCode>General</c:formatCode>
              <c:ptCount val="2"/>
              <c:pt idx="0">
                <c:v>1931</c:v>
              </c:pt>
              <c:pt idx="1">
                <c:v>2009</c:v>
              </c:pt>
            </c:numLit>
          </c:xVal>
          <c:yVal>
            <c:numRef>
              <c:f>('World coal'!$D$1,'World coal'!$D$1)</c:f>
              <c:numCache>
                <c:formatCode>0.0%</c:formatCode>
                <c:ptCount val="2"/>
                <c:pt idx="0">
                  <c:v>2.1730566482632378E-2</c:v>
                </c:pt>
                <c:pt idx="1">
                  <c:v>2.1730566482632378E-2</c:v>
                </c:pt>
              </c:numCache>
            </c:numRef>
          </c:yVal>
          <c:smooth val="0"/>
          <c:extLst>
            <c:ext xmlns:c16="http://schemas.microsoft.com/office/drawing/2014/chart" uri="{C3380CC4-5D6E-409C-BE32-E72D297353CC}">
              <c16:uniqueId val="{00000003-480B-A24B-A060-AD6FD555C3F1}"/>
            </c:ext>
          </c:extLst>
        </c:ser>
        <c:ser>
          <c:idx val="4"/>
          <c:order val="4"/>
          <c:tx>
            <c:strRef>
              <c:f>'World coal'!$E$2</c:f>
              <c:strCache>
                <c:ptCount val="1"/>
                <c:pt idx="0">
                  <c:v>Growth rate -1913</c:v>
                </c:pt>
              </c:strCache>
            </c:strRef>
          </c:tx>
          <c:spPr>
            <a:ln w="15875">
              <a:solidFill>
                <a:srgbClr val="808080"/>
              </a:solidFill>
              <a:prstDash val="lgDash"/>
            </a:ln>
          </c:spPr>
          <c:marker>
            <c:symbol val="none"/>
          </c:marker>
          <c:xVal>
            <c:numLit>
              <c:formatCode>General</c:formatCode>
              <c:ptCount val="2"/>
              <c:pt idx="0">
                <c:v>1830</c:v>
              </c:pt>
              <c:pt idx="1">
                <c:v>1913</c:v>
              </c:pt>
            </c:numLit>
          </c:xVal>
          <c:yVal>
            <c:numRef>
              <c:f>('World coal'!$D$2,'World coal'!$D$2)</c:f>
              <c:numCache>
                <c:formatCode>0.0%</c:formatCode>
                <c:ptCount val="2"/>
                <c:pt idx="0">
                  <c:v>4.1077391915211661E-2</c:v>
                </c:pt>
                <c:pt idx="1">
                  <c:v>4.1077391915211661E-2</c:v>
                </c:pt>
              </c:numCache>
            </c:numRef>
          </c:yVal>
          <c:smooth val="0"/>
          <c:extLst>
            <c:ext xmlns:c16="http://schemas.microsoft.com/office/drawing/2014/chart" uri="{C3380CC4-5D6E-409C-BE32-E72D297353CC}">
              <c16:uniqueId val="{00000004-480B-A24B-A060-AD6FD555C3F1}"/>
            </c:ext>
          </c:extLst>
        </c:ser>
        <c:dLbls>
          <c:showLegendKey val="0"/>
          <c:showVal val="0"/>
          <c:showCatName val="0"/>
          <c:showSerName val="0"/>
          <c:showPercent val="0"/>
          <c:showBubbleSize val="0"/>
        </c:dLbls>
        <c:axId val="139006720"/>
        <c:axId val="139158272"/>
      </c:scatterChart>
      <c:valAx>
        <c:axId val="139006720"/>
        <c:scaling>
          <c:orientation val="minMax"/>
          <c:max val="320"/>
          <c:min val="0"/>
        </c:scaling>
        <c:delete val="0"/>
        <c:axPos val="b"/>
        <c:numFmt formatCode="0" sourceLinked="0"/>
        <c:majorTickMark val="in"/>
        <c:minorTickMark val="in"/>
        <c:tickLblPos val="nextTo"/>
        <c:spPr>
          <a:ln>
            <a:solidFill>
              <a:srgbClr val="333399"/>
            </a:solidFill>
          </a:ln>
        </c:spPr>
        <c:txPr>
          <a:bodyPr/>
          <a:lstStyle/>
          <a:p>
            <a:pPr>
              <a:defRPr sz="1200">
                <a:solidFill>
                  <a:srgbClr val="333399"/>
                </a:solidFill>
              </a:defRPr>
            </a:pPr>
            <a:endParaRPr lang="en-US"/>
          </a:p>
        </c:txPr>
        <c:crossAx val="139158272"/>
        <c:crosses val="autoZero"/>
        <c:crossBetween val="midCat"/>
        <c:majorUnit val="100"/>
        <c:minorUnit val="50"/>
      </c:valAx>
      <c:valAx>
        <c:axId val="139158272"/>
        <c:scaling>
          <c:orientation val="minMax"/>
          <c:max val="0.05"/>
          <c:min val="0"/>
        </c:scaling>
        <c:delete val="0"/>
        <c:axPos val="l"/>
        <c:title>
          <c:tx>
            <c:rich>
              <a:bodyPr rot="-5400000" vert="horz"/>
              <a:lstStyle/>
              <a:p>
                <a:pPr>
                  <a:defRPr sz="1200" b="0">
                    <a:solidFill>
                      <a:srgbClr val="333399"/>
                    </a:solidFill>
                  </a:defRPr>
                </a:pPr>
                <a:r>
                  <a:rPr lang="en-US" sz="1200" b="0">
                    <a:solidFill>
                      <a:srgbClr val="333399"/>
                    </a:solidFill>
                  </a:rPr>
                  <a:t>Growth rate for cumulative</a:t>
                </a:r>
              </a:p>
            </c:rich>
          </c:tx>
          <c:layout>
            <c:manualLayout>
              <c:xMode val="edge"/>
              <c:yMode val="edge"/>
              <c:x val="0"/>
              <c:y val="0.1193092009332173"/>
            </c:manualLayout>
          </c:layout>
          <c:overlay val="0"/>
        </c:title>
        <c:numFmt formatCode="0%" sourceLinked="0"/>
        <c:majorTickMark val="out"/>
        <c:minorTickMark val="none"/>
        <c:tickLblPos val="nextTo"/>
        <c:spPr>
          <a:ln>
            <a:solidFill>
              <a:srgbClr val="333399"/>
            </a:solidFill>
          </a:ln>
        </c:spPr>
        <c:txPr>
          <a:bodyPr/>
          <a:lstStyle/>
          <a:p>
            <a:pPr>
              <a:defRPr sz="1200">
                <a:solidFill>
                  <a:srgbClr val="333399"/>
                </a:solidFill>
              </a:defRPr>
            </a:pPr>
            <a:endParaRPr lang="en-US"/>
          </a:p>
        </c:txPr>
        <c:crossAx val="139006720"/>
        <c:crosses val="autoZero"/>
        <c:crossBetween val="midCat"/>
        <c:majorUnit val="2.0000000000000011E-2"/>
        <c:minorUnit val="1.0000000000000005E-2"/>
      </c:valAx>
    </c:plotArea>
    <c:plotVisOnly val="1"/>
    <c:dispBlanksAs val="gap"/>
    <c:showDLblsOverMax val="0"/>
  </c:chart>
  <c:spPr>
    <a:ln>
      <a:noFill/>
    </a:ln>
  </c:spPr>
  <c:printSettings>
    <c:headerFooter/>
    <c:pageMargins b="0.75000000000000389" l="0.70000000000000062" r="0.70000000000000062" t="0.75000000000000389"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5" Type="http://schemas.openxmlformats.org/officeDocument/2006/relationships/chart" Target="../charts/chart21.xml"/><Relationship Id="rId4" Type="http://schemas.openxmlformats.org/officeDocument/2006/relationships/chart" Target="../charts/chart20.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5" Type="http://schemas.openxmlformats.org/officeDocument/2006/relationships/chart" Target="../charts/chart26.xml"/><Relationship Id="rId4" Type="http://schemas.openxmlformats.org/officeDocument/2006/relationships/chart" Target="../charts/chart25.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5" Type="http://schemas.openxmlformats.org/officeDocument/2006/relationships/chart" Target="../charts/chart31.xml"/><Relationship Id="rId4" Type="http://schemas.openxmlformats.org/officeDocument/2006/relationships/chart" Target="../charts/chart30.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 Id="rId5" Type="http://schemas.openxmlformats.org/officeDocument/2006/relationships/chart" Target="../charts/chart36.xml"/><Relationship Id="rId4" Type="http://schemas.openxmlformats.org/officeDocument/2006/relationships/chart" Target="../charts/chart35.xml"/></Relationships>
</file>

<file path=xl/drawings/_rels/drawing43.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5" Type="http://schemas.openxmlformats.org/officeDocument/2006/relationships/chart" Target="../charts/chart41.xml"/><Relationship Id="rId4" Type="http://schemas.openxmlformats.org/officeDocument/2006/relationships/chart" Target="../charts/chart40.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5" Type="http://schemas.openxmlformats.org/officeDocument/2006/relationships/chart" Target="../charts/chart46.xml"/><Relationship Id="rId4" Type="http://schemas.openxmlformats.org/officeDocument/2006/relationships/chart" Target="../charts/chart45.xml"/></Relationships>
</file>

<file path=xl/drawings/_rels/drawing55.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5" Type="http://schemas.openxmlformats.org/officeDocument/2006/relationships/chart" Target="../charts/chart51.xml"/><Relationship Id="rId4" Type="http://schemas.openxmlformats.org/officeDocument/2006/relationships/chart" Target="../charts/chart50.xml"/></Relationships>
</file>

<file path=xl/drawings/_rels/drawing61.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 Id="rId5" Type="http://schemas.openxmlformats.org/officeDocument/2006/relationships/chart" Target="../charts/chart56.xml"/><Relationship Id="rId4" Type="http://schemas.openxmlformats.org/officeDocument/2006/relationships/chart" Target="../charts/chart55.xml"/></Relationships>
</file>

<file path=xl/drawings/_rels/drawing67.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chart" Target="../charts/chart57.xml"/><Relationship Id="rId6" Type="http://schemas.openxmlformats.org/officeDocument/2006/relationships/chart" Target="../charts/chart62.xml"/><Relationship Id="rId5" Type="http://schemas.openxmlformats.org/officeDocument/2006/relationships/chart" Target="../charts/chart61.xml"/><Relationship Id="rId4" Type="http://schemas.openxmlformats.org/officeDocument/2006/relationships/chart" Target="../charts/chart60.xml"/></Relationships>
</file>

<file path=xl/drawings/_rels/drawing74.xml.rels><?xml version="1.0" encoding="UTF-8" standalone="yes"?>
<Relationships xmlns="http://schemas.openxmlformats.org/package/2006/relationships"><Relationship Id="rId3" Type="http://schemas.openxmlformats.org/officeDocument/2006/relationships/chart" Target="../charts/chart65.xml"/><Relationship Id="rId2" Type="http://schemas.openxmlformats.org/officeDocument/2006/relationships/chart" Target="../charts/chart64.xml"/><Relationship Id="rId1" Type="http://schemas.openxmlformats.org/officeDocument/2006/relationships/chart" Target="../charts/chart63.xml"/><Relationship Id="rId4" Type="http://schemas.openxmlformats.org/officeDocument/2006/relationships/chart" Target="../charts/chart66.xml"/></Relationships>
</file>

<file path=xl/drawings/_rels/drawing78.xml.rels><?xml version="1.0" encoding="UTF-8" standalone="yes"?>
<Relationships xmlns="http://schemas.openxmlformats.org/package/2006/relationships"><Relationship Id="rId3" Type="http://schemas.openxmlformats.org/officeDocument/2006/relationships/chart" Target="../charts/chart69.xml"/><Relationship Id="rId2" Type="http://schemas.openxmlformats.org/officeDocument/2006/relationships/chart" Target="../charts/chart68.xml"/><Relationship Id="rId1" Type="http://schemas.openxmlformats.org/officeDocument/2006/relationships/chart" Target="../charts/chart67.xml"/><Relationship Id="rId4" Type="http://schemas.openxmlformats.org/officeDocument/2006/relationships/chart" Target="../charts/chart70.xml"/></Relationships>
</file>

<file path=xl/drawings/_rels/drawing82.xml.rels><?xml version="1.0" encoding="UTF-8" standalone="yes"?>
<Relationships xmlns="http://schemas.openxmlformats.org/package/2006/relationships"><Relationship Id="rId1" Type="http://schemas.openxmlformats.org/officeDocument/2006/relationships/chart" Target="../charts/chart71.xml"/></Relationships>
</file>

<file path=xl/drawings/_rels/drawing84.xml.rels><?xml version="1.0" encoding="UTF-8" standalone="yes"?>
<Relationships xmlns="http://schemas.openxmlformats.org/package/2006/relationships"><Relationship Id="rId3" Type="http://schemas.openxmlformats.org/officeDocument/2006/relationships/chart" Target="../charts/chart74.xml"/><Relationship Id="rId2" Type="http://schemas.openxmlformats.org/officeDocument/2006/relationships/chart" Target="../charts/chart73.xml"/><Relationship Id="rId1" Type="http://schemas.openxmlformats.org/officeDocument/2006/relationships/chart" Target="../charts/chart72.xml"/></Relationships>
</file>

<file path=xl/drawings/drawing1.xml><?xml version="1.0" encoding="utf-8"?>
<xdr:wsDr xmlns:xdr="http://schemas.openxmlformats.org/drawingml/2006/spreadsheetDrawing" xmlns:a="http://schemas.openxmlformats.org/drawingml/2006/main">
  <xdr:twoCellAnchor>
    <xdr:from>
      <xdr:col>1</xdr:col>
      <xdr:colOff>38099</xdr:colOff>
      <xdr:row>34</xdr:row>
      <xdr:rowOff>9525</xdr:rowOff>
    </xdr:from>
    <xdr:to>
      <xdr:col>1</xdr:col>
      <xdr:colOff>6029324</xdr:colOff>
      <xdr:row>53</xdr:row>
      <xdr:rowOff>38100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11</xdr:row>
      <xdr:rowOff>105882</xdr:rowOff>
    </xdr:from>
    <xdr:to>
      <xdr:col>1</xdr:col>
      <xdr:colOff>6010275</xdr:colOff>
      <xdr:row>30</xdr:row>
      <xdr:rowOff>133350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99</xdr:row>
      <xdr:rowOff>123825</xdr:rowOff>
    </xdr:from>
    <xdr:to>
      <xdr:col>1</xdr:col>
      <xdr:colOff>6010275</xdr:colOff>
      <xdr:row>119</xdr:row>
      <xdr:rowOff>8418</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56</xdr:row>
      <xdr:rowOff>0</xdr:rowOff>
    </xdr:from>
    <xdr:to>
      <xdr:col>1</xdr:col>
      <xdr:colOff>5981700</xdr:colOff>
      <xdr:row>75</xdr:row>
      <xdr:rowOff>28575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78</xdr:row>
      <xdr:rowOff>104775</xdr:rowOff>
    </xdr:from>
    <xdr:to>
      <xdr:col>1</xdr:col>
      <xdr:colOff>6010275</xdr:colOff>
      <xdr:row>97</xdr:row>
      <xdr:rowOff>133350</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122</xdr:row>
      <xdr:rowOff>0</xdr:rowOff>
    </xdr:from>
    <xdr:to>
      <xdr:col>1</xdr:col>
      <xdr:colOff>5972175</xdr:colOff>
      <xdr:row>141</xdr:row>
      <xdr:rowOff>27468</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0.59459</cdr:x>
      <cdr:y>0.36111</cdr:y>
    </cdr:from>
    <cdr:to>
      <cdr:x>0.74086</cdr:x>
      <cdr:y>0.47569</cdr:y>
    </cdr:to>
    <cdr:sp macro="" textlink="">
      <cdr:nvSpPr>
        <cdr:cNvPr id="2" name="TextBox 1"/>
        <cdr:cNvSpPr txBox="1"/>
      </cdr:nvSpPr>
      <cdr:spPr>
        <a:xfrm xmlns:a="http://schemas.openxmlformats.org/drawingml/2006/main">
          <a:off x="3562350" y="990597"/>
          <a:ext cx="876301" cy="31431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a:solidFill>
                <a:srgbClr val="008000"/>
              </a:solidFill>
            </a:rPr>
            <a:t>logit</a:t>
          </a:r>
          <a:r>
            <a:rPr lang="en-US" sz="1200" baseline="0">
              <a:solidFill>
                <a:srgbClr val="008000"/>
              </a:solidFill>
            </a:rPr>
            <a:t> (</a:t>
          </a:r>
          <a:r>
            <a:rPr lang="en-US" sz="1200" i="1" baseline="0">
              <a:solidFill>
                <a:srgbClr val="008000"/>
              </a:solidFill>
            </a:rPr>
            <a:t>q</a:t>
          </a:r>
          <a:r>
            <a:rPr lang="en-US" sz="1200" baseline="0">
              <a:solidFill>
                <a:srgbClr val="008000"/>
              </a:solidFill>
            </a:rPr>
            <a:t>/</a:t>
          </a:r>
          <a:r>
            <a:rPr lang="en-US" sz="1200" i="1" baseline="0">
              <a:solidFill>
                <a:srgbClr val="008000"/>
              </a:solidFill>
            </a:rPr>
            <a:t>Q</a:t>
          </a:r>
          <a:r>
            <a:rPr lang="en-US" sz="1200" baseline="0">
              <a:solidFill>
                <a:srgbClr val="008000"/>
              </a:solidFill>
            </a:rPr>
            <a:t>)</a:t>
          </a:r>
          <a:endParaRPr lang="en-US" sz="1200">
            <a:solidFill>
              <a:srgbClr val="008000"/>
            </a:solidFill>
          </a:endParaRPr>
        </a:p>
      </cdr:txBody>
    </cdr:sp>
  </cdr:relSizeAnchor>
  <cdr:relSizeAnchor xmlns:cdr="http://schemas.openxmlformats.org/drawingml/2006/chartDrawing">
    <cdr:from>
      <cdr:x>0.16852</cdr:x>
      <cdr:y>0.15278</cdr:y>
    </cdr:from>
    <cdr:to>
      <cdr:x>0.59142</cdr:x>
      <cdr:y>0.45833</cdr:y>
    </cdr:to>
    <cdr:sp macro="" textlink="">
      <cdr:nvSpPr>
        <cdr:cNvPr id="6" name="TextBox 1"/>
        <cdr:cNvSpPr txBox="1"/>
      </cdr:nvSpPr>
      <cdr:spPr>
        <a:xfrm xmlns:a="http://schemas.openxmlformats.org/drawingml/2006/main">
          <a:off x="1009651" y="419106"/>
          <a:ext cx="2533650" cy="83818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Trend 1829 to 2009</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long-term production estimate 29Gt          </a:t>
          </a:r>
          <a:r>
            <a:rPr kumimoji="0" lang="en-US" sz="1200" b="0" i="1" u="none" strike="noStrike" kern="0" cap="none" spc="0" normalizeH="0" baseline="0" noProof="0">
              <a:ln>
                <a:noFill/>
              </a:ln>
              <a:solidFill>
                <a:srgbClr val="808080"/>
              </a:solidFill>
              <a:effectLst/>
              <a:uLnTx/>
              <a:uFillTx/>
              <a:latin typeface="Calibri"/>
              <a:ea typeface="+mn-ea"/>
              <a:cs typeface="+mn-cs"/>
            </a:rPr>
            <a:t>r</a:t>
          </a:r>
          <a:r>
            <a:rPr kumimoji="0" lang="en-US" sz="1200" b="0" i="0" u="none" strike="noStrike" kern="0" cap="none" spc="0" normalizeH="0" baseline="30000" noProof="0">
              <a:ln>
                <a:noFill/>
              </a:ln>
              <a:solidFill>
                <a:srgbClr val="808080"/>
              </a:solidFill>
              <a:effectLst/>
              <a:uLnTx/>
              <a:uFillTx/>
              <a:latin typeface="Calibri"/>
              <a:ea typeface="+mn-ea"/>
              <a:cs typeface="+mn-cs"/>
            </a:rPr>
            <a:t>2</a:t>
          </a:r>
          <a:r>
            <a:rPr kumimoji="0" lang="en-US" sz="1200" b="0" i="0" u="none" strike="noStrike" kern="0" cap="none" spc="0" normalizeH="0" baseline="0" noProof="0">
              <a:ln>
                <a:noFill/>
              </a:ln>
              <a:solidFill>
                <a:srgbClr val="808080"/>
              </a:solidFill>
              <a:effectLst/>
              <a:uLnTx/>
              <a:uFillTx/>
              <a:latin typeface="Calibri"/>
              <a:ea typeface="+mn-ea"/>
              <a:cs typeface="+mn-cs"/>
            </a:rPr>
            <a:t> = 0.99955</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10%-90% 1863-1985 </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a:solidFill>
              <a:srgbClr val="808080"/>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0.17</cdr:x>
      <cdr:y>0</cdr:y>
    </cdr:from>
    <cdr:to>
      <cdr:x>0.40092</cdr:x>
      <cdr:y>0.15804</cdr:y>
    </cdr:to>
    <cdr:sp macro="" textlink="">
      <cdr:nvSpPr>
        <cdr:cNvPr id="3" name="TextBox 1"/>
        <cdr:cNvSpPr txBox="1"/>
      </cdr:nvSpPr>
      <cdr:spPr>
        <a:xfrm xmlns:a="http://schemas.openxmlformats.org/drawingml/2006/main">
          <a:off x="1015261" y="0"/>
          <a:ext cx="1379119" cy="43686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1913 peak on the eve of World War I</a:t>
          </a:r>
          <a:endParaRPr lang="en-US" sz="1200" i="0">
            <a:solidFill>
              <a:srgbClr val="808080"/>
            </a:solidFill>
          </a:endParaRPr>
        </a:p>
      </cdr:txBody>
    </cdr:sp>
  </cdr:relSizeAnchor>
  <cdr:relSizeAnchor xmlns:cdr="http://schemas.openxmlformats.org/drawingml/2006/chartDrawing">
    <cdr:from>
      <cdr:x>0.16268</cdr:x>
      <cdr:y>0.62603</cdr:y>
    </cdr:from>
    <cdr:to>
      <cdr:x>0.59171</cdr:x>
      <cdr:y>0.79297</cdr:y>
    </cdr:to>
    <cdr:sp macro="" textlink="">
      <cdr:nvSpPr>
        <cdr:cNvPr id="5" name="TextBox 1"/>
        <cdr:cNvSpPr txBox="1"/>
      </cdr:nvSpPr>
      <cdr:spPr>
        <a:xfrm xmlns:a="http://schemas.openxmlformats.org/drawingml/2006/main">
          <a:off x="971549" y="1716632"/>
          <a:ext cx="2562225" cy="45776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1861 Edward Hull                                    </a:t>
          </a:r>
          <a:r>
            <a:rPr lang="en-US" sz="1200" i="1" baseline="0">
              <a:solidFill>
                <a:srgbClr val="808080"/>
              </a:solidFill>
            </a:rPr>
            <a:t>The Coal Fields of Great Britain</a:t>
          </a:r>
          <a:endParaRPr lang="en-US" sz="1200" i="1">
            <a:solidFill>
              <a:srgbClr val="808080"/>
            </a:solidFill>
          </a:endParaRPr>
        </a:p>
      </cdr:txBody>
    </cdr:sp>
  </cdr:relSizeAnchor>
  <cdr:relSizeAnchor xmlns:cdr="http://schemas.openxmlformats.org/drawingml/2006/chartDrawing">
    <cdr:from>
      <cdr:x>0.51278</cdr:x>
      <cdr:y>0.40602</cdr:y>
    </cdr:from>
    <cdr:to>
      <cdr:x>0.69793</cdr:x>
      <cdr:y>0.58402</cdr:y>
    </cdr:to>
    <cdr:sp macro="" textlink="">
      <cdr:nvSpPr>
        <cdr:cNvPr id="6" name="TextBox 1"/>
        <cdr:cNvSpPr txBox="1"/>
      </cdr:nvSpPr>
      <cdr:spPr>
        <a:xfrm xmlns:a="http://schemas.openxmlformats.org/drawingml/2006/main">
          <a:off x="3062398" y="1122327"/>
          <a:ext cx="1105740" cy="4920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1946 mines nationalized</a:t>
          </a:r>
          <a:endParaRPr lang="en-US" sz="1200" i="1">
            <a:solidFill>
              <a:srgbClr val="808080"/>
            </a:solidFill>
          </a:endParaRPr>
        </a:p>
      </cdr:txBody>
    </cdr:sp>
  </cdr:relSizeAnchor>
  <cdr:relSizeAnchor xmlns:cdr="http://schemas.openxmlformats.org/drawingml/2006/chartDrawing">
    <cdr:from>
      <cdr:x>0.2255</cdr:x>
      <cdr:y>0.60038</cdr:y>
    </cdr:from>
    <cdr:to>
      <cdr:x>0.26981</cdr:x>
      <cdr:y>0.67836</cdr:y>
    </cdr:to>
    <cdr:sp macro="" textlink="">
      <cdr:nvSpPr>
        <cdr:cNvPr id="8" name="Straight Arrow Connector 7"/>
        <cdr:cNvSpPr/>
      </cdr:nvSpPr>
      <cdr:spPr>
        <a:xfrm xmlns:a="http://schemas.openxmlformats.org/drawingml/2006/main" rot="16200000" flipV="1">
          <a:off x="1371968" y="1623293"/>
          <a:ext cx="214105" cy="264645"/>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0.38389</cdr:x>
      <cdr:y>0.06226</cdr:y>
    </cdr:from>
    <cdr:to>
      <cdr:x>0.44014</cdr:x>
      <cdr:y>0.0788</cdr:y>
    </cdr:to>
    <cdr:sp macro="" textlink="">
      <cdr:nvSpPr>
        <cdr:cNvPr id="10" name="Straight Arrow Connector 9"/>
        <cdr:cNvSpPr/>
      </cdr:nvSpPr>
      <cdr:spPr>
        <a:xfrm xmlns:a="http://schemas.openxmlformats.org/drawingml/2006/main" rot="16200000" flipH="1">
          <a:off x="2437760" y="26989"/>
          <a:ext cx="45719" cy="335948"/>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0.56922</cdr:x>
      <cdr:y>0.63795</cdr:y>
    </cdr:from>
    <cdr:to>
      <cdr:x>0.75437</cdr:x>
      <cdr:y>0.81595</cdr:y>
    </cdr:to>
    <cdr:sp macro="" textlink="">
      <cdr:nvSpPr>
        <cdr:cNvPr id="11" name="TextBox 1"/>
        <cdr:cNvSpPr txBox="1"/>
      </cdr:nvSpPr>
      <cdr:spPr>
        <a:xfrm xmlns:a="http://schemas.openxmlformats.org/drawingml/2006/main">
          <a:off x="3399465" y="1763437"/>
          <a:ext cx="1105740" cy="4920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1994 mines privatized</a:t>
          </a:r>
          <a:endParaRPr lang="en-US" sz="1200" i="1">
            <a:solidFill>
              <a:srgbClr val="808080"/>
            </a:solidFill>
          </a:endParaRPr>
        </a:p>
      </cdr:txBody>
    </cdr:sp>
  </cdr:relSizeAnchor>
  <cdr:relSizeAnchor xmlns:cdr="http://schemas.openxmlformats.org/drawingml/2006/chartDrawing">
    <cdr:from>
      <cdr:x>0.72265</cdr:x>
      <cdr:y>0.71201</cdr:y>
    </cdr:from>
    <cdr:to>
      <cdr:x>0.7893</cdr:x>
      <cdr:y>0.72854</cdr:y>
    </cdr:to>
    <cdr:sp macro="" textlink="">
      <cdr:nvSpPr>
        <cdr:cNvPr id="12" name="Straight Arrow Connector 11"/>
        <cdr:cNvSpPr/>
      </cdr:nvSpPr>
      <cdr:spPr>
        <a:xfrm xmlns:a="http://schemas.openxmlformats.org/drawingml/2006/main" rot="16200000">
          <a:off x="4491968" y="1791977"/>
          <a:ext cx="45719" cy="398079"/>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0.58753</cdr:x>
      <cdr:y>0.32873</cdr:y>
    </cdr:from>
    <cdr:to>
      <cdr:x>0.59801</cdr:x>
      <cdr:y>0.41937</cdr:y>
    </cdr:to>
    <cdr:sp macro="" textlink="">
      <cdr:nvSpPr>
        <cdr:cNvPr id="14" name="Straight Arrow Connector 13"/>
        <cdr:cNvSpPr/>
      </cdr:nvSpPr>
      <cdr:spPr>
        <a:xfrm xmlns:a="http://schemas.openxmlformats.org/drawingml/2006/main" rot="5400000" flipH="1">
          <a:off x="3415671" y="995780"/>
          <a:ext cx="248891" cy="62607"/>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4.xml><?xml version="1.0" encoding="utf-8"?>
<c:userShapes xmlns:c="http://schemas.openxmlformats.org/drawingml/2006/chart">
  <cdr:relSizeAnchor xmlns:cdr="http://schemas.openxmlformats.org/drawingml/2006/chartDrawing">
    <cdr:from>
      <cdr:x>0.1018</cdr:x>
      <cdr:y>0.15071</cdr:y>
    </cdr:from>
    <cdr:to>
      <cdr:x>0.26954</cdr:x>
      <cdr:y>0.3161</cdr:y>
    </cdr:to>
    <cdr:sp macro="" textlink="">
      <cdr:nvSpPr>
        <cdr:cNvPr id="3" name="TextBox 1"/>
        <cdr:cNvSpPr txBox="1"/>
      </cdr:nvSpPr>
      <cdr:spPr>
        <a:xfrm xmlns:a="http://schemas.openxmlformats.org/drawingml/2006/main">
          <a:off x="607970" y="413249"/>
          <a:ext cx="1001755" cy="45352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1871 Royal Commission</a:t>
          </a:r>
          <a:endParaRPr lang="en-US" sz="1200" i="0">
            <a:solidFill>
              <a:srgbClr val="333399"/>
            </a:solidFill>
          </a:endParaRPr>
        </a:p>
      </cdr:txBody>
    </cdr:sp>
  </cdr:relSizeAnchor>
  <cdr:relSizeAnchor xmlns:cdr="http://schemas.openxmlformats.org/drawingml/2006/chartDrawing">
    <cdr:from>
      <cdr:x>0.1508</cdr:x>
      <cdr:y>0.52229</cdr:y>
    </cdr:from>
    <cdr:to>
      <cdr:x>0.29187</cdr:x>
      <cdr:y>0.75378</cdr:y>
    </cdr:to>
    <cdr:sp macro="" textlink="">
      <cdr:nvSpPr>
        <cdr:cNvPr id="5" name="TextBox 1"/>
        <cdr:cNvSpPr txBox="1"/>
      </cdr:nvSpPr>
      <cdr:spPr>
        <a:xfrm xmlns:a="http://schemas.openxmlformats.org/drawingml/2006/main">
          <a:off x="900576" y="1432178"/>
          <a:ext cx="842499" cy="63474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1861 Edward Hull</a:t>
          </a:r>
          <a:endParaRPr lang="en-US" sz="1200" i="1">
            <a:solidFill>
              <a:srgbClr val="333399"/>
            </a:solidFill>
          </a:endParaRPr>
        </a:p>
      </cdr:txBody>
    </cdr:sp>
  </cdr:relSizeAnchor>
  <cdr:relSizeAnchor xmlns:cdr="http://schemas.openxmlformats.org/drawingml/2006/chartDrawing">
    <cdr:from>
      <cdr:x>0.59689</cdr:x>
      <cdr:y>0.22106</cdr:y>
    </cdr:from>
    <cdr:to>
      <cdr:x>0.86443</cdr:x>
      <cdr:y>0.40642</cdr:y>
    </cdr:to>
    <cdr:sp macro="" textlink="">
      <cdr:nvSpPr>
        <cdr:cNvPr id="6" name="TextBox 1"/>
        <cdr:cNvSpPr txBox="1"/>
      </cdr:nvSpPr>
      <cdr:spPr>
        <a:xfrm xmlns:a="http://schemas.openxmlformats.org/drawingml/2006/main">
          <a:off x="3564742" y="606175"/>
          <a:ext cx="1597796" cy="50827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Reserves from international surveys</a:t>
          </a:r>
          <a:endParaRPr lang="en-US" sz="1200" i="1">
            <a:solidFill>
              <a:srgbClr val="333399"/>
            </a:solidFill>
          </a:endParaRPr>
        </a:p>
      </cdr:txBody>
    </cdr:sp>
  </cdr:relSizeAnchor>
  <cdr:relSizeAnchor xmlns:cdr="http://schemas.openxmlformats.org/drawingml/2006/chartDrawing">
    <cdr:from>
      <cdr:x>0.73206</cdr:x>
      <cdr:y>0.40989</cdr:y>
    </cdr:from>
    <cdr:to>
      <cdr:x>0.7815</cdr:x>
      <cdr:y>0.66694</cdr:y>
    </cdr:to>
    <cdr:sp macro="" textlink="">
      <cdr:nvSpPr>
        <cdr:cNvPr id="9" name="Straight Arrow Connector 8"/>
        <cdr:cNvSpPr/>
      </cdr:nvSpPr>
      <cdr:spPr>
        <a:xfrm xmlns:a="http://schemas.openxmlformats.org/drawingml/2006/main" rot="16200000" flipH="1">
          <a:off x="4167191" y="1328740"/>
          <a:ext cx="704850" cy="295275"/>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0.59968</cdr:x>
      <cdr:y>0.1313</cdr:y>
    </cdr:from>
    <cdr:to>
      <cdr:x>0.64912</cdr:x>
      <cdr:y>0.22231</cdr:y>
    </cdr:to>
    <cdr:sp macro="" textlink="">
      <cdr:nvSpPr>
        <cdr:cNvPr id="12" name="Straight Arrow Connector 11"/>
        <cdr:cNvSpPr/>
      </cdr:nvSpPr>
      <cdr:spPr>
        <a:xfrm xmlns:a="http://schemas.openxmlformats.org/drawingml/2006/main" rot="16200000" flipV="1">
          <a:off x="3604254" y="337182"/>
          <a:ext cx="249574" cy="295268"/>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0.25837</cdr:x>
      <cdr:y>0.70515</cdr:y>
    </cdr:from>
    <cdr:to>
      <cdr:x>0.75279</cdr:x>
      <cdr:y>0.80454</cdr:y>
    </cdr:to>
    <cdr:sp macro="" textlink="">
      <cdr:nvSpPr>
        <cdr:cNvPr id="13" name="TextBox 1"/>
        <cdr:cNvSpPr txBox="1"/>
      </cdr:nvSpPr>
      <cdr:spPr>
        <a:xfrm xmlns:a="http://schemas.openxmlformats.org/drawingml/2006/main">
          <a:off x="1543031" y="1933587"/>
          <a:ext cx="2952769" cy="27253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Historical long-term production estimates</a:t>
          </a:r>
          <a:endParaRPr lang="en-US" sz="1200" i="0">
            <a:solidFill>
              <a:srgbClr val="333399"/>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0.68312</cdr:x>
      <cdr:y>0.48611</cdr:y>
    </cdr:from>
    <cdr:to>
      <cdr:x>0.84076</cdr:x>
      <cdr:y>0.67361</cdr:y>
    </cdr:to>
    <cdr:sp macro="" textlink="">
      <cdr:nvSpPr>
        <cdr:cNvPr id="5" name="TextBox 1"/>
        <cdr:cNvSpPr txBox="1"/>
      </cdr:nvSpPr>
      <cdr:spPr>
        <a:xfrm xmlns:a="http://schemas.openxmlformats.org/drawingml/2006/main">
          <a:off x="4086240" y="1333509"/>
          <a:ext cx="942955" cy="5143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a:solidFill>
                <a:srgbClr val="808080"/>
              </a:solidFill>
            </a:rPr>
            <a:t>1994 mines privatized</a:t>
          </a:r>
          <a:endParaRPr lang="en-US" sz="1200">
            <a:solidFill>
              <a:srgbClr val="808080"/>
            </a:solidFill>
          </a:endParaRPr>
        </a:p>
      </cdr:txBody>
    </cdr:sp>
  </cdr:relSizeAnchor>
  <cdr:relSizeAnchor xmlns:cdr="http://schemas.openxmlformats.org/drawingml/2006/chartDrawing">
    <cdr:from>
      <cdr:x>0.50683</cdr:x>
      <cdr:y>0.23077</cdr:y>
    </cdr:from>
    <cdr:to>
      <cdr:x>0.66766</cdr:x>
      <cdr:y>0.40438</cdr:y>
    </cdr:to>
    <cdr:sp macro="" textlink="">
      <cdr:nvSpPr>
        <cdr:cNvPr id="6" name="TextBox 1"/>
        <cdr:cNvSpPr txBox="1"/>
      </cdr:nvSpPr>
      <cdr:spPr>
        <a:xfrm xmlns:a="http://schemas.openxmlformats.org/drawingml/2006/main">
          <a:off x="3031698" y="633048"/>
          <a:ext cx="962037" cy="47624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a:solidFill>
                <a:srgbClr val="808080"/>
              </a:solidFill>
            </a:rPr>
            <a:t>1946</a:t>
          </a:r>
          <a:r>
            <a:rPr lang="en-US" sz="1200" i="0" baseline="0">
              <a:solidFill>
                <a:srgbClr val="808080"/>
              </a:solidFill>
            </a:rPr>
            <a:t> m</a:t>
          </a:r>
          <a:r>
            <a:rPr lang="en-US" sz="1200" i="0">
              <a:solidFill>
                <a:srgbClr val="808080"/>
              </a:solidFill>
            </a:rPr>
            <a:t>ines nationalized</a:t>
          </a:r>
          <a:endParaRPr lang="en-US" sz="1200">
            <a:solidFill>
              <a:srgbClr val="808080"/>
            </a:solidFill>
          </a:endParaRPr>
        </a:p>
      </cdr:txBody>
    </cdr:sp>
  </cdr:relSizeAnchor>
  <cdr:relSizeAnchor xmlns:cdr="http://schemas.openxmlformats.org/drawingml/2006/chartDrawing">
    <cdr:from>
      <cdr:x>0.32006</cdr:x>
      <cdr:y>0.49305</cdr:y>
    </cdr:from>
    <cdr:to>
      <cdr:x>0.55255</cdr:x>
      <cdr:y>0.66667</cdr:y>
    </cdr:to>
    <cdr:sp macro="" textlink="">
      <cdr:nvSpPr>
        <cdr:cNvPr id="7" name="TextBox 1"/>
        <cdr:cNvSpPr txBox="1"/>
      </cdr:nvSpPr>
      <cdr:spPr>
        <a:xfrm xmlns:a="http://schemas.openxmlformats.org/drawingml/2006/main">
          <a:off x="1914525" y="1352526"/>
          <a:ext cx="1390682" cy="47627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a:solidFill>
                <a:srgbClr val="808080"/>
              </a:solidFill>
            </a:rPr>
            <a:t>1913</a:t>
          </a:r>
          <a:r>
            <a:rPr lang="en-US" sz="1200" i="0" baseline="0">
              <a:solidFill>
                <a:srgbClr val="808080"/>
              </a:solidFill>
            </a:rPr>
            <a:t> peak on the eve of World War I</a:t>
          </a:r>
          <a:endParaRPr lang="en-US" sz="1200">
            <a:solidFill>
              <a:srgbClr val="80808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0.4803</cdr:x>
      <cdr:y>0.08065</cdr:y>
    </cdr:from>
    <cdr:to>
      <cdr:x>0.80566</cdr:x>
      <cdr:y>0.19177</cdr:y>
    </cdr:to>
    <cdr:sp macro="" textlink="">
      <cdr:nvSpPr>
        <cdr:cNvPr id="5" name="TextBox 1"/>
        <cdr:cNvSpPr txBox="1"/>
      </cdr:nvSpPr>
      <cdr:spPr>
        <a:xfrm xmlns:a="http://schemas.openxmlformats.org/drawingml/2006/main">
          <a:off x="2868436" y="221242"/>
          <a:ext cx="1943107" cy="3048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Current estimate (29Gt)</a:t>
          </a:r>
          <a:endParaRPr lang="en-US" sz="1200" i="0">
            <a:solidFill>
              <a:srgbClr val="808080"/>
            </a:solidFill>
          </a:endParaRPr>
        </a:p>
      </cdr:txBody>
    </cdr:sp>
  </cdr:relSizeAnchor>
  <cdr:relSizeAnchor xmlns:cdr="http://schemas.openxmlformats.org/drawingml/2006/chartDrawing">
    <cdr:from>
      <cdr:x>0.27168</cdr:x>
      <cdr:y>0.21583</cdr:y>
    </cdr:from>
    <cdr:to>
      <cdr:x>0.52791</cdr:x>
      <cdr:y>0.37847</cdr:y>
    </cdr:to>
    <cdr:sp macro="" textlink="">
      <cdr:nvSpPr>
        <cdr:cNvPr id="6" name="TextBox 1"/>
        <cdr:cNvSpPr txBox="1"/>
      </cdr:nvSpPr>
      <cdr:spPr>
        <a:xfrm xmlns:a="http://schemas.openxmlformats.org/drawingml/2006/main">
          <a:off x="1622521" y="592065"/>
          <a:ext cx="1530254" cy="4461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Historical long-term production estimates </a:t>
          </a:r>
          <a:endParaRPr lang="en-US" sz="1200" i="0">
            <a:solidFill>
              <a:srgbClr val="333399"/>
            </a:solidFill>
          </a:endParaRPr>
        </a:p>
      </cdr:txBody>
    </cdr:sp>
  </cdr:relSizeAnchor>
  <cdr:relSizeAnchor xmlns:cdr="http://schemas.openxmlformats.org/drawingml/2006/chartDrawing">
    <cdr:from>
      <cdr:x>0.18022</cdr:x>
      <cdr:y>0.47569</cdr:y>
    </cdr:from>
    <cdr:to>
      <cdr:x>0.47049</cdr:x>
      <cdr:y>0.57986</cdr:y>
    </cdr:to>
    <cdr:sp macro="" textlink="">
      <cdr:nvSpPr>
        <cdr:cNvPr id="7" name="TextBox 1"/>
        <cdr:cNvSpPr txBox="1"/>
      </cdr:nvSpPr>
      <cdr:spPr>
        <a:xfrm xmlns:a="http://schemas.openxmlformats.org/drawingml/2006/main">
          <a:off x="1076325" y="1304925"/>
          <a:ext cx="1733550" cy="2857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0.78469</cdr:x>
      <cdr:y>0.21875</cdr:y>
    </cdr:from>
    <cdr:to>
      <cdr:x>0.9059</cdr:x>
      <cdr:y>0.40278</cdr:y>
    </cdr:to>
    <cdr:sp macro="" textlink="">
      <cdr:nvSpPr>
        <cdr:cNvPr id="8" name="TextBox 1"/>
        <cdr:cNvSpPr txBox="1"/>
      </cdr:nvSpPr>
      <cdr:spPr>
        <a:xfrm xmlns:a="http://schemas.openxmlformats.org/drawingml/2006/main">
          <a:off x="4686300" y="600081"/>
          <a:ext cx="723921" cy="50481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Logistic model</a:t>
          </a:r>
        </a:p>
      </cdr:txBody>
    </cdr:sp>
  </cdr:relSizeAnchor>
</c:userShapes>
</file>

<file path=xl/drawings/drawing7.xml><?xml version="1.0" encoding="utf-8"?>
<c:userShapes xmlns:c="http://schemas.openxmlformats.org/drawingml/2006/chart">
  <cdr:relSizeAnchor xmlns:cdr="http://schemas.openxmlformats.org/drawingml/2006/chartDrawing">
    <cdr:from>
      <cdr:x>0.17</cdr:x>
      <cdr:y>0</cdr:y>
    </cdr:from>
    <cdr:to>
      <cdr:x>0.40092</cdr:x>
      <cdr:y>0.15804</cdr:y>
    </cdr:to>
    <cdr:sp macro="" textlink="">
      <cdr:nvSpPr>
        <cdr:cNvPr id="3" name="TextBox 1"/>
        <cdr:cNvSpPr txBox="1"/>
      </cdr:nvSpPr>
      <cdr:spPr>
        <a:xfrm xmlns:a="http://schemas.openxmlformats.org/drawingml/2006/main">
          <a:off x="1015261" y="0"/>
          <a:ext cx="1379119" cy="43686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1913 peak on the eve of World War I</a:t>
          </a:r>
          <a:endParaRPr lang="en-US" sz="1200" i="0">
            <a:solidFill>
              <a:srgbClr val="808080"/>
            </a:solidFill>
          </a:endParaRPr>
        </a:p>
      </cdr:txBody>
    </cdr:sp>
  </cdr:relSizeAnchor>
  <cdr:relSizeAnchor xmlns:cdr="http://schemas.openxmlformats.org/drawingml/2006/chartDrawing">
    <cdr:from>
      <cdr:x>0.00247</cdr:x>
      <cdr:y>0.27914</cdr:y>
    </cdr:from>
    <cdr:to>
      <cdr:x>0.33814</cdr:x>
      <cdr:y>0.44608</cdr:y>
    </cdr:to>
    <cdr:sp macro="" textlink="">
      <cdr:nvSpPr>
        <cdr:cNvPr id="5" name="TextBox 1"/>
        <cdr:cNvSpPr txBox="1"/>
      </cdr:nvSpPr>
      <cdr:spPr>
        <a:xfrm xmlns:a="http://schemas.openxmlformats.org/drawingml/2006/main">
          <a:off x="14766" y="771598"/>
          <a:ext cx="2004682" cy="46148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1865 William Stanley Jevons book </a:t>
          </a:r>
          <a:r>
            <a:rPr lang="en-US" sz="1200" i="1" baseline="0">
              <a:solidFill>
                <a:srgbClr val="808080"/>
              </a:solidFill>
            </a:rPr>
            <a:t>The Coal Question</a:t>
          </a:r>
          <a:endParaRPr lang="en-US" sz="1200" i="1">
            <a:solidFill>
              <a:srgbClr val="808080"/>
            </a:solidFill>
          </a:endParaRPr>
        </a:p>
      </cdr:txBody>
    </cdr:sp>
  </cdr:relSizeAnchor>
  <cdr:relSizeAnchor xmlns:cdr="http://schemas.openxmlformats.org/drawingml/2006/chartDrawing">
    <cdr:from>
      <cdr:x>0.51278</cdr:x>
      <cdr:y>0.40602</cdr:y>
    </cdr:from>
    <cdr:to>
      <cdr:x>0.69793</cdr:x>
      <cdr:y>0.58402</cdr:y>
    </cdr:to>
    <cdr:sp macro="" textlink="">
      <cdr:nvSpPr>
        <cdr:cNvPr id="6" name="TextBox 1"/>
        <cdr:cNvSpPr txBox="1"/>
      </cdr:nvSpPr>
      <cdr:spPr>
        <a:xfrm xmlns:a="http://schemas.openxmlformats.org/drawingml/2006/main">
          <a:off x="3062398" y="1122327"/>
          <a:ext cx="1105740" cy="4920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1946 mines nationalized</a:t>
          </a:r>
          <a:endParaRPr lang="en-US" sz="1200" i="1">
            <a:solidFill>
              <a:srgbClr val="808080"/>
            </a:solidFill>
          </a:endParaRPr>
        </a:p>
      </cdr:txBody>
    </cdr:sp>
  </cdr:relSizeAnchor>
  <cdr:relSizeAnchor xmlns:cdr="http://schemas.openxmlformats.org/drawingml/2006/chartDrawing">
    <cdr:from>
      <cdr:x>0.18483</cdr:x>
      <cdr:y>0.44074</cdr:y>
    </cdr:from>
    <cdr:to>
      <cdr:x>0.23243</cdr:x>
      <cdr:y>0.57296</cdr:y>
    </cdr:to>
    <cdr:sp macro="" textlink="">
      <cdr:nvSpPr>
        <cdr:cNvPr id="8" name="Straight Arrow Connector 7"/>
        <cdr:cNvSpPr/>
      </cdr:nvSpPr>
      <cdr:spPr>
        <a:xfrm xmlns:a="http://schemas.openxmlformats.org/drawingml/2006/main" rot="16200000" flipH="1">
          <a:off x="1063256" y="1258925"/>
          <a:ext cx="365496" cy="284275"/>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0.38389</cdr:x>
      <cdr:y>0.06226</cdr:y>
    </cdr:from>
    <cdr:to>
      <cdr:x>0.44014</cdr:x>
      <cdr:y>0.0788</cdr:y>
    </cdr:to>
    <cdr:sp macro="" textlink="">
      <cdr:nvSpPr>
        <cdr:cNvPr id="10" name="Straight Arrow Connector 9"/>
        <cdr:cNvSpPr/>
      </cdr:nvSpPr>
      <cdr:spPr>
        <a:xfrm xmlns:a="http://schemas.openxmlformats.org/drawingml/2006/main" rot="16200000" flipH="1">
          <a:off x="2437760" y="26989"/>
          <a:ext cx="45719" cy="335948"/>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0.56922</cdr:x>
      <cdr:y>0.63795</cdr:y>
    </cdr:from>
    <cdr:to>
      <cdr:x>0.75437</cdr:x>
      <cdr:y>0.81595</cdr:y>
    </cdr:to>
    <cdr:sp macro="" textlink="">
      <cdr:nvSpPr>
        <cdr:cNvPr id="11" name="TextBox 1"/>
        <cdr:cNvSpPr txBox="1"/>
      </cdr:nvSpPr>
      <cdr:spPr>
        <a:xfrm xmlns:a="http://schemas.openxmlformats.org/drawingml/2006/main">
          <a:off x="3399465" y="1763437"/>
          <a:ext cx="1105740" cy="4920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1994 mines privatized</a:t>
          </a:r>
          <a:endParaRPr lang="en-US" sz="1200" i="1">
            <a:solidFill>
              <a:srgbClr val="808080"/>
            </a:solidFill>
          </a:endParaRPr>
        </a:p>
      </cdr:txBody>
    </cdr:sp>
  </cdr:relSizeAnchor>
  <cdr:relSizeAnchor xmlns:cdr="http://schemas.openxmlformats.org/drawingml/2006/chartDrawing">
    <cdr:from>
      <cdr:x>0.72265</cdr:x>
      <cdr:y>0.71201</cdr:y>
    </cdr:from>
    <cdr:to>
      <cdr:x>0.7893</cdr:x>
      <cdr:y>0.72854</cdr:y>
    </cdr:to>
    <cdr:sp macro="" textlink="">
      <cdr:nvSpPr>
        <cdr:cNvPr id="12" name="Straight Arrow Connector 11"/>
        <cdr:cNvSpPr/>
      </cdr:nvSpPr>
      <cdr:spPr>
        <a:xfrm xmlns:a="http://schemas.openxmlformats.org/drawingml/2006/main" rot="16200000">
          <a:off x="4491968" y="1791977"/>
          <a:ext cx="45719" cy="398079"/>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0.59036</cdr:x>
      <cdr:y>0.3152</cdr:y>
    </cdr:from>
    <cdr:to>
      <cdr:x>0.59801</cdr:x>
      <cdr:y>0.41937</cdr:y>
    </cdr:to>
    <cdr:sp macro="" textlink="">
      <cdr:nvSpPr>
        <cdr:cNvPr id="14" name="Straight Arrow Connector 13"/>
        <cdr:cNvSpPr/>
      </cdr:nvSpPr>
      <cdr:spPr>
        <a:xfrm xmlns:a="http://schemas.openxmlformats.org/drawingml/2006/main" rot="5400000" flipH="1">
          <a:off x="3404606" y="992402"/>
          <a:ext cx="287966" cy="45719"/>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8.xml><?xml version="1.0" encoding="utf-8"?>
<xdr:wsDr xmlns:xdr="http://schemas.openxmlformats.org/drawingml/2006/spreadsheetDrawing" xmlns:a="http://schemas.openxmlformats.org/drawingml/2006/main">
  <xdr:twoCellAnchor>
    <xdr:from>
      <xdr:col>1</xdr:col>
      <xdr:colOff>28575</xdr:colOff>
      <xdr:row>7</xdr:row>
      <xdr:rowOff>9525</xdr:rowOff>
    </xdr:from>
    <xdr:to>
      <xdr:col>1</xdr:col>
      <xdr:colOff>5991225</xdr:colOff>
      <xdr:row>26</xdr:row>
      <xdr:rowOff>38100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29</xdr:row>
      <xdr:rowOff>0</xdr:rowOff>
    </xdr:from>
    <xdr:to>
      <xdr:col>1</xdr:col>
      <xdr:colOff>5962650</xdr:colOff>
      <xdr:row>48</xdr:row>
      <xdr:rowOff>28575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51</xdr:row>
      <xdr:rowOff>0</xdr:rowOff>
    </xdr:from>
    <xdr:to>
      <xdr:col>1</xdr:col>
      <xdr:colOff>5962650</xdr:colOff>
      <xdr:row>70</xdr:row>
      <xdr:rowOff>28575</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73</xdr:row>
      <xdr:rowOff>0</xdr:rowOff>
    </xdr:from>
    <xdr:to>
      <xdr:col>1</xdr:col>
      <xdr:colOff>5962650</xdr:colOff>
      <xdr:row>92</xdr:row>
      <xdr:rowOff>28575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96</xdr:row>
      <xdr:rowOff>0</xdr:rowOff>
    </xdr:from>
    <xdr:to>
      <xdr:col>1</xdr:col>
      <xdr:colOff>5962650</xdr:colOff>
      <xdr:row>115</xdr:row>
      <xdr:rowOff>28575</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0.07827</cdr:x>
      <cdr:y>0</cdr:y>
    </cdr:from>
    <cdr:to>
      <cdr:x>0.36621</cdr:x>
      <cdr:y>0.1822</cdr:y>
    </cdr:to>
    <cdr:sp macro="" textlink="">
      <cdr:nvSpPr>
        <cdr:cNvPr id="2" name="TextBox 1"/>
        <cdr:cNvSpPr txBox="1"/>
      </cdr:nvSpPr>
      <cdr:spPr>
        <a:xfrm xmlns:a="http://schemas.openxmlformats.org/drawingml/2006/main">
          <a:off x="466726" y="0"/>
          <a:ext cx="1716846" cy="49981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200">
              <a:solidFill>
                <a:srgbClr val="808080"/>
              </a:solidFill>
            </a:rPr>
            <a:t>1917 peak the year the US entered World War I</a:t>
          </a:r>
        </a:p>
      </cdr:txBody>
    </cdr:sp>
  </cdr:relSizeAnchor>
  <cdr:relSizeAnchor xmlns:cdr="http://schemas.openxmlformats.org/drawingml/2006/chartDrawing">
    <cdr:from>
      <cdr:x>0.35185</cdr:x>
      <cdr:y>0.09939</cdr:y>
    </cdr:from>
    <cdr:to>
      <cdr:x>0.40324</cdr:x>
      <cdr:y>0.12343</cdr:y>
    </cdr:to>
    <cdr:sp macro="" textlink="">
      <cdr:nvSpPr>
        <cdr:cNvPr id="4" name="Straight Arrow Connector 3"/>
        <cdr:cNvSpPr/>
      </cdr:nvSpPr>
      <cdr:spPr>
        <a:xfrm xmlns:a="http://schemas.openxmlformats.org/drawingml/2006/main">
          <a:off x="2097930" y="274747"/>
          <a:ext cx="306420" cy="66452"/>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0.53558</cdr:x>
      <cdr:y>0.29038</cdr:y>
    </cdr:from>
    <cdr:to>
      <cdr:x>0.55494</cdr:x>
      <cdr:y>0.36913</cdr:y>
    </cdr:to>
    <cdr:sp macro="" textlink="">
      <cdr:nvSpPr>
        <cdr:cNvPr id="5" name="Straight Arrow Connector 4"/>
        <cdr:cNvSpPr/>
      </cdr:nvSpPr>
      <cdr:spPr>
        <a:xfrm xmlns:a="http://schemas.openxmlformats.org/drawingml/2006/main" flipH="1">
          <a:off x="3193447" y="802684"/>
          <a:ext cx="115437" cy="217684"/>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0.53512</cdr:x>
      <cdr:y>0.14024</cdr:y>
    </cdr:from>
    <cdr:to>
      <cdr:x>0.78155</cdr:x>
      <cdr:y>0.31175</cdr:y>
    </cdr:to>
    <cdr:sp macro="" textlink="">
      <cdr:nvSpPr>
        <cdr:cNvPr id="6" name="TextBox 1"/>
        <cdr:cNvSpPr txBox="1"/>
      </cdr:nvSpPr>
      <cdr:spPr>
        <a:xfrm xmlns:a="http://schemas.openxmlformats.org/drawingml/2006/main">
          <a:off x="3190732" y="387655"/>
          <a:ext cx="1469355" cy="47409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808080"/>
              </a:solidFill>
            </a:rPr>
            <a:t>1944 second peak during World War II</a:t>
          </a:r>
        </a:p>
      </cdr:txBody>
    </cdr:sp>
  </cdr:relSizeAnchor>
</c:userShapes>
</file>

<file path=xl/drawings/drawing10.xml><?xml version="1.0" encoding="utf-8"?>
<c:userShapes xmlns:c="http://schemas.openxmlformats.org/drawingml/2006/chart">
  <cdr:relSizeAnchor xmlns:cdr="http://schemas.openxmlformats.org/drawingml/2006/chartDrawing">
    <cdr:from>
      <cdr:x>0.51879</cdr:x>
      <cdr:y>0.33869</cdr:y>
    </cdr:from>
    <cdr:to>
      <cdr:x>0.67001</cdr:x>
      <cdr:y>0.44391</cdr:y>
    </cdr:to>
    <cdr:sp macro="" textlink="">
      <cdr:nvSpPr>
        <cdr:cNvPr id="6" name="TextBox 1"/>
        <cdr:cNvSpPr txBox="1"/>
      </cdr:nvSpPr>
      <cdr:spPr>
        <a:xfrm xmlns:a="http://schemas.openxmlformats.org/drawingml/2006/main">
          <a:off x="3093344" y="929083"/>
          <a:ext cx="901694" cy="28864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008000"/>
              </a:solidFill>
            </a:rPr>
            <a:t>logit(</a:t>
          </a:r>
          <a:r>
            <a:rPr lang="en-US" sz="1200" i="1">
              <a:solidFill>
                <a:srgbClr val="008000"/>
              </a:solidFill>
            </a:rPr>
            <a:t>q</a:t>
          </a:r>
          <a:r>
            <a:rPr lang="en-US" sz="1200">
              <a:solidFill>
                <a:srgbClr val="008000"/>
              </a:solidFill>
            </a:rPr>
            <a:t>/</a:t>
          </a:r>
          <a:r>
            <a:rPr lang="en-US" sz="1200" i="1">
              <a:solidFill>
                <a:srgbClr val="008000"/>
              </a:solidFill>
            </a:rPr>
            <a:t>Q</a:t>
          </a:r>
          <a:r>
            <a:rPr lang="en-US" sz="1200">
              <a:solidFill>
                <a:srgbClr val="008000"/>
              </a:solidFill>
            </a:rPr>
            <a:t>)</a:t>
          </a:r>
        </a:p>
      </cdr:txBody>
    </cdr:sp>
  </cdr:relSizeAnchor>
  <cdr:relSizeAnchor xmlns:cdr="http://schemas.openxmlformats.org/drawingml/2006/chartDrawing">
    <cdr:from>
      <cdr:x>0.13018</cdr:x>
      <cdr:y>0.12153</cdr:y>
    </cdr:from>
    <cdr:to>
      <cdr:x>0.48642</cdr:x>
      <cdr:y>0.45486</cdr:y>
    </cdr:to>
    <cdr:sp macro="" textlink="">
      <cdr:nvSpPr>
        <cdr:cNvPr id="7" name="TextBox 1"/>
        <cdr:cNvSpPr txBox="1"/>
      </cdr:nvSpPr>
      <cdr:spPr>
        <a:xfrm xmlns:a="http://schemas.openxmlformats.org/drawingml/2006/main">
          <a:off x="776218" y="333375"/>
          <a:ext cx="2124134" cy="91439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Trend 1873 to present                   long-term production 5.0Gt</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1" baseline="0">
              <a:solidFill>
                <a:srgbClr val="808080"/>
              </a:solidFill>
            </a:rPr>
            <a:t>r</a:t>
          </a:r>
          <a:r>
            <a:rPr lang="en-US" sz="1200" i="0" baseline="30000">
              <a:solidFill>
                <a:srgbClr val="808080"/>
              </a:solidFill>
            </a:rPr>
            <a:t>2</a:t>
          </a:r>
          <a:r>
            <a:rPr lang="en-US" sz="1200" i="0" baseline="0">
              <a:solidFill>
                <a:srgbClr val="808080"/>
              </a:solidFill>
            </a:rPr>
            <a:t> = 0.9987</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10%-90% 1881-1953</a:t>
          </a:r>
          <a:endParaRPr lang="en-US" sz="1200" i="0">
            <a:solidFill>
              <a:srgbClr val="808080"/>
            </a:solidFill>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0.37453</cdr:x>
      <cdr:y>0.21315</cdr:y>
    </cdr:from>
    <cdr:to>
      <cdr:x>0.57188</cdr:x>
      <cdr:y>0.41319</cdr:y>
    </cdr:to>
    <cdr:sp macro="" textlink="">
      <cdr:nvSpPr>
        <cdr:cNvPr id="8" name="TextBox 1"/>
        <cdr:cNvSpPr txBox="1"/>
      </cdr:nvSpPr>
      <cdr:spPr>
        <a:xfrm xmlns:a="http://schemas.openxmlformats.org/drawingml/2006/main">
          <a:off x="2233193" y="584701"/>
          <a:ext cx="1176757" cy="54877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1939 beginning of World War II</a:t>
          </a:r>
          <a:endParaRPr lang="en-US" sz="1200" i="0">
            <a:solidFill>
              <a:srgbClr val="808080"/>
            </a:solidFill>
          </a:endParaRPr>
        </a:p>
      </cdr:txBody>
    </cdr:sp>
  </cdr:relSizeAnchor>
  <cdr:relSizeAnchor xmlns:cdr="http://schemas.openxmlformats.org/drawingml/2006/chartDrawing">
    <cdr:from>
      <cdr:x>0.10064</cdr:x>
      <cdr:y>0.16667</cdr:y>
    </cdr:from>
    <cdr:to>
      <cdr:x>0.298</cdr:x>
      <cdr:y>0.40625</cdr:y>
    </cdr:to>
    <cdr:sp macro="" textlink="">
      <cdr:nvSpPr>
        <cdr:cNvPr id="5" name="TextBox 1"/>
        <cdr:cNvSpPr txBox="1"/>
      </cdr:nvSpPr>
      <cdr:spPr>
        <a:xfrm xmlns:a="http://schemas.openxmlformats.org/drawingml/2006/main">
          <a:off x="600066" y="457209"/>
          <a:ext cx="1176788" cy="65721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1873 beginning of the Long Depression</a:t>
          </a:r>
          <a:endParaRPr lang="en-US" sz="1200" i="0">
            <a:solidFill>
              <a:srgbClr val="808080"/>
            </a:solidFill>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0.36902</cdr:x>
      <cdr:y>0.06466</cdr:y>
    </cdr:from>
    <cdr:to>
      <cdr:x>0.70926</cdr:x>
      <cdr:y>0.17014</cdr:y>
    </cdr:to>
    <cdr:sp macro="" textlink="">
      <cdr:nvSpPr>
        <cdr:cNvPr id="7" name="TextBox 1"/>
        <cdr:cNvSpPr txBox="1"/>
      </cdr:nvSpPr>
      <cdr:spPr>
        <a:xfrm xmlns:a="http://schemas.openxmlformats.org/drawingml/2006/main">
          <a:off x="2200352" y="177363"/>
          <a:ext cx="2028732" cy="28935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Current fit (5.0Gt)</a:t>
          </a:r>
          <a:endParaRPr lang="en-US" sz="1200" i="0">
            <a:solidFill>
              <a:srgbClr val="808080"/>
            </a:solidFill>
          </a:endParaRPr>
        </a:p>
      </cdr:txBody>
    </cdr:sp>
  </cdr:relSizeAnchor>
  <cdr:relSizeAnchor xmlns:cdr="http://schemas.openxmlformats.org/drawingml/2006/chartDrawing">
    <cdr:from>
      <cdr:x>0.13419</cdr:x>
      <cdr:y>0.28636</cdr:y>
    </cdr:from>
    <cdr:to>
      <cdr:x>0.31594</cdr:x>
      <cdr:y>0.51742</cdr:y>
    </cdr:to>
    <cdr:sp macro="" textlink="">
      <cdr:nvSpPr>
        <cdr:cNvPr id="8" name="TextBox 1"/>
        <cdr:cNvSpPr txBox="1"/>
      </cdr:nvSpPr>
      <cdr:spPr>
        <a:xfrm xmlns:a="http://schemas.openxmlformats.org/drawingml/2006/main">
          <a:off x="800117" y="785543"/>
          <a:ext cx="1083711" cy="6338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Historical fits for long-term production</a:t>
          </a:r>
          <a:endParaRPr lang="en-US" sz="1200" i="0">
            <a:solidFill>
              <a:srgbClr val="333399"/>
            </a:solidFill>
          </a:endParaRPr>
        </a:p>
      </cdr:txBody>
    </cdr:sp>
  </cdr:relSizeAnchor>
  <cdr:relSizeAnchor xmlns:cdr="http://schemas.openxmlformats.org/drawingml/2006/chartDrawing">
    <cdr:from>
      <cdr:x>0.42492</cdr:x>
      <cdr:y>0.42708</cdr:y>
    </cdr:from>
    <cdr:to>
      <cdr:x>0.71565</cdr:x>
      <cdr:y>0.53125</cdr:y>
    </cdr:to>
    <cdr:sp macro="" textlink="">
      <cdr:nvSpPr>
        <cdr:cNvPr id="9" name="TextBox 1"/>
        <cdr:cNvSpPr txBox="1"/>
      </cdr:nvSpPr>
      <cdr:spPr>
        <a:xfrm xmlns:a="http://schemas.openxmlformats.org/drawingml/2006/main">
          <a:off x="2533650" y="1171575"/>
          <a:ext cx="1733544" cy="2857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0.79393</cdr:x>
      <cdr:y>0.1875</cdr:y>
    </cdr:from>
    <cdr:to>
      <cdr:x>0.91533</cdr:x>
      <cdr:y>0.37153</cdr:y>
    </cdr:to>
    <cdr:sp macro="" textlink="">
      <cdr:nvSpPr>
        <cdr:cNvPr id="10" name="TextBox 1"/>
        <cdr:cNvSpPr txBox="1"/>
      </cdr:nvSpPr>
      <cdr:spPr>
        <a:xfrm xmlns:a="http://schemas.openxmlformats.org/drawingml/2006/main">
          <a:off x="4733925" y="514350"/>
          <a:ext cx="723887" cy="50483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Logistic model</a:t>
          </a:r>
        </a:p>
      </cdr:txBody>
    </cdr:sp>
  </cdr:relSizeAnchor>
</c:userShapes>
</file>

<file path=xl/drawings/drawing13.xml><?xml version="1.0" encoding="utf-8"?>
<c:userShapes xmlns:c="http://schemas.openxmlformats.org/drawingml/2006/chart">
  <cdr:relSizeAnchor xmlns:cdr="http://schemas.openxmlformats.org/drawingml/2006/chartDrawing">
    <cdr:from>
      <cdr:x>0.37592</cdr:x>
      <cdr:y>0.60233</cdr:y>
    </cdr:from>
    <cdr:to>
      <cdr:x>0.86102</cdr:x>
      <cdr:y>0.7118</cdr:y>
    </cdr:to>
    <cdr:sp macro="" textlink="">
      <cdr:nvSpPr>
        <cdr:cNvPr id="8" name="TextBox 1"/>
        <cdr:cNvSpPr txBox="1"/>
      </cdr:nvSpPr>
      <cdr:spPr>
        <a:xfrm xmlns:a="http://schemas.openxmlformats.org/drawingml/2006/main">
          <a:off x="2241495" y="1652321"/>
          <a:ext cx="2892479" cy="300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Historical fits for long-term production</a:t>
          </a:r>
          <a:endParaRPr lang="en-US" sz="1200" i="0">
            <a:solidFill>
              <a:srgbClr val="333399"/>
            </a:solidFill>
          </a:endParaRPr>
        </a:p>
      </cdr:txBody>
    </cdr:sp>
  </cdr:relSizeAnchor>
  <cdr:relSizeAnchor xmlns:cdr="http://schemas.openxmlformats.org/drawingml/2006/chartDrawing">
    <cdr:from>
      <cdr:x>0.29073</cdr:x>
      <cdr:y>0.39236</cdr:y>
    </cdr:from>
    <cdr:to>
      <cdr:x>0.57775</cdr:x>
      <cdr:y>0.50184</cdr:y>
    </cdr:to>
    <cdr:sp macro="" textlink="">
      <cdr:nvSpPr>
        <cdr:cNvPr id="3" name="TextBox 1"/>
        <cdr:cNvSpPr txBox="1"/>
      </cdr:nvSpPr>
      <cdr:spPr>
        <a:xfrm xmlns:a="http://schemas.openxmlformats.org/drawingml/2006/main">
          <a:off x="1733550" y="1076325"/>
          <a:ext cx="1711371" cy="3003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1892 Waste Commission</a:t>
          </a:r>
          <a:endParaRPr lang="en-US" sz="1200" i="0">
            <a:solidFill>
              <a:srgbClr val="333399"/>
            </a:solidFill>
          </a:endParaRPr>
        </a:p>
      </cdr:txBody>
    </cdr:sp>
  </cdr:relSizeAnchor>
  <cdr:relSizeAnchor xmlns:cdr="http://schemas.openxmlformats.org/drawingml/2006/chartDrawing">
    <cdr:from>
      <cdr:x>0.32268</cdr:x>
      <cdr:y>0.25347</cdr:y>
    </cdr:from>
    <cdr:to>
      <cdr:x>0.549</cdr:x>
      <cdr:y>0.36295</cdr:y>
    </cdr:to>
    <cdr:sp macro="" textlink="">
      <cdr:nvSpPr>
        <cdr:cNvPr id="4" name="TextBox 1"/>
        <cdr:cNvSpPr txBox="1"/>
      </cdr:nvSpPr>
      <cdr:spPr>
        <a:xfrm xmlns:a="http://schemas.openxmlformats.org/drawingml/2006/main">
          <a:off x="1924050" y="695325"/>
          <a:ext cx="1349421" cy="3003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1921 Ashmead</a:t>
          </a:r>
          <a:endParaRPr lang="en-US" sz="1200" i="0">
            <a:solidFill>
              <a:srgbClr val="333399"/>
            </a:solidFill>
          </a:endParaRPr>
        </a:p>
      </cdr:txBody>
    </cdr:sp>
  </cdr:relSizeAnchor>
  <cdr:relSizeAnchor xmlns:cdr="http://schemas.openxmlformats.org/drawingml/2006/chartDrawing">
    <cdr:from>
      <cdr:x>0.43131</cdr:x>
      <cdr:y>0.14931</cdr:y>
    </cdr:from>
    <cdr:to>
      <cdr:x>0.65762</cdr:x>
      <cdr:y>0.25878</cdr:y>
    </cdr:to>
    <cdr:sp macro="" textlink="">
      <cdr:nvSpPr>
        <cdr:cNvPr id="5" name="TextBox 1"/>
        <cdr:cNvSpPr txBox="1"/>
      </cdr:nvSpPr>
      <cdr:spPr>
        <a:xfrm xmlns:a="http://schemas.openxmlformats.org/drawingml/2006/main">
          <a:off x="2571750" y="409575"/>
          <a:ext cx="1349421" cy="3003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1944 Ashley</a:t>
          </a:r>
          <a:endParaRPr lang="en-US" sz="1200" i="0">
            <a:solidFill>
              <a:srgbClr val="333399"/>
            </a:solidFill>
          </a:endParaRPr>
        </a:p>
      </cdr:txBody>
    </cdr:sp>
  </cdr:relSizeAnchor>
  <cdr:relSizeAnchor xmlns:cdr="http://schemas.openxmlformats.org/drawingml/2006/chartDrawing">
    <cdr:from>
      <cdr:x>0.52921</cdr:x>
      <cdr:y>0.08414</cdr:y>
    </cdr:from>
    <cdr:to>
      <cdr:x>0.75552</cdr:x>
      <cdr:y>0.19362</cdr:y>
    </cdr:to>
    <cdr:sp macro="" textlink="">
      <cdr:nvSpPr>
        <cdr:cNvPr id="6" name="TextBox 1"/>
        <cdr:cNvSpPr txBox="1"/>
      </cdr:nvSpPr>
      <cdr:spPr>
        <a:xfrm xmlns:a="http://schemas.openxmlformats.org/drawingml/2006/main">
          <a:off x="3155506" y="232587"/>
          <a:ext cx="1349421" cy="30261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1944 Arndt</a:t>
          </a:r>
          <a:endParaRPr lang="en-US" sz="1200" i="0">
            <a:solidFill>
              <a:srgbClr val="333399"/>
            </a:solidFill>
          </a:endParaRPr>
        </a:p>
      </cdr:txBody>
    </cdr:sp>
  </cdr:relSizeAnchor>
  <cdr:relSizeAnchor xmlns:cdr="http://schemas.openxmlformats.org/drawingml/2006/chartDrawing">
    <cdr:from>
      <cdr:x>0.71246</cdr:x>
      <cdr:y>0.41667</cdr:y>
    </cdr:from>
    <cdr:to>
      <cdr:x>0.80299</cdr:x>
      <cdr:y>0.52614</cdr:y>
    </cdr:to>
    <cdr:sp macro="" textlink="">
      <cdr:nvSpPr>
        <cdr:cNvPr id="7" name="TextBox 1"/>
        <cdr:cNvSpPr txBox="1"/>
      </cdr:nvSpPr>
      <cdr:spPr>
        <a:xfrm xmlns:a="http://schemas.openxmlformats.org/drawingml/2006/main">
          <a:off x="4248150" y="1143000"/>
          <a:ext cx="539796" cy="3003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EIA</a:t>
          </a:r>
          <a:endParaRPr lang="en-US" sz="1200" i="0">
            <a:solidFill>
              <a:srgbClr val="333399"/>
            </a:solidFill>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1</xdr:col>
      <xdr:colOff>28575</xdr:colOff>
      <xdr:row>7</xdr:row>
      <xdr:rowOff>9525</xdr:rowOff>
    </xdr:from>
    <xdr:to>
      <xdr:col>1</xdr:col>
      <xdr:colOff>5991225</xdr:colOff>
      <xdr:row>26</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29</xdr:row>
      <xdr:rowOff>0</xdr:rowOff>
    </xdr:from>
    <xdr:to>
      <xdr:col>1</xdr:col>
      <xdr:colOff>5962650</xdr:colOff>
      <xdr:row>48</xdr:row>
      <xdr:rowOff>28575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51</xdr:row>
      <xdr:rowOff>0</xdr:rowOff>
    </xdr:from>
    <xdr:to>
      <xdr:col>1</xdr:col>
      <xdr:colOff>5962650</xdr:colOff>
      <xdr:row>70</xdr:row>
      <xdr:rowOff>28575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73</xdr:row>
      <xdr:rowOff>0</xdr:rowOff>
    </xdr:from>
    <xdr:to>
      <xdr:col>1</xdr:col>
      <xdr:colOff>5962650</xdr:colOff>
      <xdr:row>92</xdr:row>
      <xdr:rowOff>28575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96</xdr:row>
      <xdr:rowOff>0</xdr:rowOff>
    </xdr:from>
    <xdr:to>
      <xdr:col>1</xdr:col>
      <xdr:colOff>5962650</xdr:colOff>
      <xdr:row>115</xdr:row>
      <xdr:rowOff>28575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5.xml><?xml version="1.0" encoding="utf-8"?>
<c:userShapes xmlns:c="http://schemas.openxmlformats.org/drawingml/2006/chart">
  <cdr:relSizeAnchor xmlns:cdr="http://schemas.openxmlformats.org/drawingml/2006/chartDrawing">
    <cdr:from>
      <cdr:x>0.19169</cdr:x>
      <cdr:y>0.20833</cdr:y>
    </cdr:from>
    <cdr:to>
      <cdr:x>0.33746</cdr:x>
      <cdr:y>0.32639</cdr:y>
    </cdr:to>
    <cdr:sp macro="" textlink="">
      <cdr:nvSpPr>
        <cdr:cNvPr id="2" name="TextBox 1"/>
        <cdr:cNvSpPr txBox="1"/>
      </cdr:nvSpPr>
      <cdr:spPr>
        <a:xfrm xmlns:a="http://schemas.openxmlformats.org/drawingml/2006/main">
          <a:off x="1143000" y="571501"/>
          <a:ext cx="869132" cy="3238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200">
              <a:solidFill>
                <a:srgbClr val="808080"/>
              </a:solidFill>
            </a:rPr>
            <a:t>1912 peak</a:t>
          </a:r>
        </a:p>
      </cdr:txBody>
    </cdr:sp>
  </cdr:relSizeAnchor>
  <cdr:relSizeAnchor xmlns:cdr="http://schemas.openxmlformats.org/drawingml/2006/chartDrawing">
    <cdr:from>
      <cdr:x>0.32949</cdr:x>
      <cdr:y>0.28342</cdr:y>
    </cdr:from>
    <cdr:to>
      <cdr:x>0.38088</cdr:x>
      <cdr:y>0.30746</cdr:y>
    </cdr:to>
    <cdr:sp macro="" textlink="">
      <cdr:nvSpPr>
        <cdr:cNvPr id="4" name="Straight Arrow Connector 3"/>
        <cdr:cNvSpPr/>
      </cdr:nvSpPr>
      <cdr:spPr>
        <a:xfrm xmlns:a="http://schemas.openxmlformats.org/drawingml/2006/main">
          <a:off x="1964608" y="777472"/>
          <a:ext cx="306421" cy="65946"/>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0.60309</cdr:x>
      <cdr:y>0.10723</cdr:y>
    </cdr:from>
    <cdr:to>
      <cdr:x>0.63494</cdr:x>
      <cdr:y>0.14929</cdr:y>
    </cdr:to>
    <cdr:sp macro="" textlink="">
      <cdr:nvSpPr>
        <cdr:cNvPr id="5" name="Straight Arrow Connector 4"/>
        <cdr:cNvSpPr/>
      </cdr:nvSpPr>
      <cdr:spPr>
        <a:xfrm xmlns:a="http://schemas.openxmlformats.org/drawingml/2006/main" flipH="1">
          <a:off x="3596041" y="295994"/>
          <a:ext cx="189876" cy="116094"/>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0.61239</cdr:x>
      <cdr:y>0.04714</cdr:y>
    </cdr:from>
    <cdr:to>
      <cdr:x>0.77893</cdr:x>
      <cdr:y>0.14995</cdr:y>
    </cdr:to>
    <cdr:sp macro="" textlink="">
      <cdr:nvSpPr>
        <cdr:cNvPr id="6" name="TextBox 1"/>
        <cdr:cNvSpPr txBox="1"/>
      </cdr:nvSpPr>
      <cdr:spPr>
        <a:xfrm xmlns:a="http://schemas.openxmlformats.org/drawingml/2006/main">
          <a:off x="3651489" y="130113"/>
          <a:ext cx="992984" cy="28379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808080"/>
              </a:solidFill>
            </a:rPr>
            <a:t>1957 peak</a:t>
          </a:r>
        </a:p>
      </cdr:txBody>
    </cdr:sp>
  </cdr:relSizeAnchor>
</c:userShapes>
</file>

<file path=xl/drawings/drawing16.xml><?xml version="1.0" encoding="utf-8"?>
<c:userShapes xmlns:c="http://schemas.openxmlformats.org/drawingml/2006/chart">
  <cdr:relSizeAnchor xmlns:cdr="http://schemas.openxmlformats.org/drawingml/2006/chartDrawing">
    <cdr:from>
      <cdr:x>0.55074</cdr:x>
      <cdr:y>0.40119</cdr:y>
    </cdr:from>
    <cdr:to>
      <cdr:x>0.70196</cdr:x>
      <cdr:y>0.50641</cdr:y>
    </cdr:to>
    <cdr:sp macro="" textlink="">
      <cdr:nvSpPr>
        <cdr:cNvPr id="6" name="TextBox 1"/>
        <cdr:cNvSpPr txBox="1"/>
      </cdr:nvSpPr>
      <cdr:spPr>
        <a:xfrm xmlns:a="http://schemas.openxmlformats.org/drawingml/2006/main">
          <a:off x="3283863" y="1100544"/>
          <a:ext cx="901672" cy="28864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008000"/>
              </a:solidFill>
            </a:rPr>
            <a:t>logit(</a:t>
          </a:r>
          <a:r>
            <a:rPr lang="en-US" sz="1200" i="1">
              <a:solidFill>
                <a:srgbClr val="008000"/>
              </a:solidFill>
            </a:rPr>
            <a:t>q</a:t>
          </a:r>
          <a:r>
            <a:rPr lang="en-US" sz="1200">
              <a:solidFill>
                <a:srgbClr val="008000"/>
              </a:solidFill>
            </a:rPr>
            <a:t>/</a:t>
          </a:r>
          <a:r>
            <a:rPr lang="en-US" sz="1200" i="1">
              <a:solidFill>
                <a:srgbClr val="008000"/>
              </a:solidFill>
            </a:rPr>
            <a:t>Q</a:t>
          </a:r>
          <a:r>
            <a:rPr lang="en-US" sz="1200">
              <a:solidFill>
                <a:srgbClr val="008000"/>
              </a:solidFill>
            </a:rPr>
            <a:t>)</a:t>
          </a:r>
        </a:p>
      </cdr:txBody>
    </cdr:sp>
  </cdr:relSizeAnchor>
  <cdr:relSizeAnchor xmlns:cdr="http://schemas.openxmlformats.org/drawingml/2006/chartDrawing">
    <cdr:from>
      <cdr:x>0.1749</cdr:x>
      <cdr:y>0.10764</cdr:y>
    </cdr:from>
    <cdr:to>
      <cdr:x>0.53114</cdr:x>
      <cdr:y>0.44444</cdr:y>
    </cdr:to>
    <cdr:sp macro="" textlink="">
      <cdr:nvSpPr>
        <cdr:cNvPr id="7" name="TextBox 1"/>
        <cdr:cNvSpPr txBox="1"/>
      </cdr:nvSpPr>
      <cdr:spPr>
        <a:xfrm xmlns:a="http://schemas.openxmlformats.org/drawingml/2006/main">
          <a:off x="1042870" y="295273"/>
          <a:ext cx="2124135" cy="92392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Trend 1873 to present                  </a:t>
          </a:r>
          <a:r>
            <a:rPr lang="en-US" sz="1200" i="0" baseline="0">
              <a:solidFill>
                <a:srgbClr val="808080"/>
              </a:solidFill>
            </a:rPr>
            <a:t>long-term production 7.6Gt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Calibri"/>
              <a:ea typeface="+mn-ea"/>
              <a:cs typeface="+mn-cs"/>
            </a:rPr>
            <a:t>r</a:t>
          </a:r>
          <a:r>
            <a:rPr kumimoji="0" lang="en-US" sz="1200" b="0" i="0" u="none" strike="noStrike" kern="0" cap="none" spc="0" normalizeH="0" baseline="30000" noProof="0">
              <a:ln>
                <a:noFill/>
              </a:ln>
              <a:solidFill>
                <a:srgbClr val="808080"/>
              </a:solidFill>
              <a:effectLst/>
              <a:uLnTx/>
              <a:uFillTx/>
              <a:latin typeface="Calibri"/>
              <a:ea typeface="+mn-ea"/>
              <a:cs typeface="+mn-cs"/>
            </a:rPr>
            <a:t>2</a:t>
          </a:r>
          <a:r>
            <a:rPr kumimoji="0" lang="en-US" sz="1200" b="0" i="0" u="none" strike="noStrike" kern="0" cap="none" spc="0" normalizeH="0" baseline="0" noProof="0">
              <a:ln>
                <a:noFill/>
              </a:ln>
              <a:solidFill>
                <a:srgbClr val="808080"/>
              </a:solidFill>
              <a:effectLst/>
              <a:uLnTx/>
              <a:uFillTx/>
              <a:latin typeface="Calibri"/>
              <a:ea typeface="+mn-ea"/>
              <a:cs typeface="+mn-cs"/>
            </a:rPr>
            <a:t> = 0.9942</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10% to 90% 1877-1985</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a:solidFill>
              <a:srgbClr val="808080"/>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0.28347</cdr:x>
      <cdr:y>0.57773</cdr:y>
    </cdr:from>
    <cdr:to>
      <cdr:x>0.48082</cdr:x>
      <cdr:y>0.77777</cdr:y>
    </cdr:to>
    <cdr:sp macro="" textlink="">
      <cdr:nvSpPr>
        <cdr:cNvPr id="8" name="TextBox 1"/>
        <cdr:cNvSpPr txBox="1"/>
      </cdr:nvSpPr>
      <cdr:spPr>
        <a:xfrm xmlns:a="http://schemas.openxmlformats.org/drawingml/2006/main">
          <a:off x="1690236" y="1584826"/>
          <a:ext cx="1176729" cy="5487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1914 beginning of World War I</a:t>
          </a:r>
          <a:endParaRPr lang="en-US" sz="1200" i="0">
            <a:solidFill>
              <a:srgbClr val="808080"/>
            </a:solidFill>
          </a:endParaRPr>
        </a:p>
      </cdr:txBody>
    </cdr:sp>
  </cdr:relSizeAnchor>
  <cdr:relSizeAnchor xmlns:cdr="http://schemas.openxmlformats.org/drawingml/2006/chartDrawing">
    <cdr:from>
      <cdr:x>0.09744</cdr:x>
      <cdr:y>0.25695</cdr:y>
    </cdr:from>
    <cdr:to>
      <cdr:x>0.2948</cdr:x>
      <cdr:y>0.44445</cdr:y>
    </cdr:to>
    <cdr:sp macro="" textlink="">
      <cdr:nvSpPr>
        <cdr:cNvPr id="5" name="TextBox 1"/>
        <cdr:cNvSpPr txBox="1"/>
      </cdr:nvSpPr>
      <cdr:spPr>
        <a:xfrm xmlns:a="http://schemas.openxmlformats.org/drawingml/2006/main">
          <a:off x="581016" y="704862"/>
          <a:ext cx="1176788" cy="5143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1873 Depression</a:t>
          </a:r>
          <a:endParaRPr lang="en-US" sz="1200" i="0">
            <a:solidFill>
              <a:srgbClr val="808080"/>
            </a:solidFill>
          </a:endParaRPr>
        </a:p>
      </cdr:txBody>
    </cdr:sp>
  </cdr:relSizeAnchor>
  <cdr:relSizeAnchor xmlns:cdr="http://schemas.openxmlformats.org/drawingml/2006/chartDrawing">
    <cdr:from>
      <cdr:x>0.44409</cdr:x>
      <cdr:y>0.25347</cdr:y>
    </cdr:from>
    <cdr:to>
      <cdr:x>0.64144</cdr:x>
      <cdr:y>0.45351</cdr:y>
    </cdr:to>
    <cdr:sp macro="" textlink="">
      <cdr:nvSpPr>
        <cdr:cNvPr id="4" name="TextBox 1"/>
        <cdr:cNvSpPr txBox="1"/>
      </cdr:nvSpPr>
      <cdr:spPr>
        <a:xfrm xmlns:a="http://schemas.openxmlformats.org/drawingml/2006/main">
          <a:off x="2647950" y="695325"/>
          <a:ext cx="1176729" cy="5487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1945 end of World War II</a:t>
          </a:r>
          <a:endParaRPr lang="en-US" sz="1200" i="0">
            <a:solidFill>
              <a:srgbClr val="808080"/>
            </a:solidFill>
          </a:endParaRPr>
        </a:p>
      </cdr:txBody>
    </cdr:sp>
  </cdr:relSizeAnchor>
  <cdr:relSizeAnchor xmlns:cdr="http://schemas.openxmlformats.org/drawingml/2006/chartDrawing">
    <cdr:from>
      <cdr:x>0.60507</cdr:x>
      <cdr:y>0.44437</cdr:y>
    </cdr:from>
    <cdr:to>
      <cdr:x>0.82208</cdr:x>
      <cdr:y>0.80572</cdr:y>
    </cdr:to>
    <cdr:sp macro="" textlink="">
      <cdr:nvSpPr>
        <cdr:cNvPr id="6" name="TextBox 1"/>
        <cdr:cNvSpPr txBox="1"/>
      </cdr:nvSpPr>
      <cdr:spPr>
        <a:xfrm xmlns:a="http://schemas.openxmlformats.org/drawingml/2006/main">
          <a:off x="3607818" y="1226569"/>
          <a:ext cx="1293963" cy="99742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1984 maximum increase in French and Belgian  nuclear power generation</a:t>
          </a:r>
          <a:endParaRPr lang="en-US" sz="1200" i="0">
            <a:solidFill>
              <a:srgbClr val="808080"/>
            </a:solidFill>
          </a:endParaRPr>
        </a:p>
      </cdr:txBody>
    </cdr:sp>
  </cdr:relSizeAnchor>
  <cdr:relSizeAnchor xmlns:cdr="http://schemas.openxmlformats.org/drawingml/2006/chartDrawing">
    <cdr:from>
      <cdr:x>0.38371</cdr:x>
      <cdr:y>0.47222</cdr:y>
    </cdr:from>
    <cdr:to>
      <cdr:x>0.39137</cdr:x>
      <cdr:y>0.5625</cdr:y>
    </cdr:to>
    <cdr:sp macro="" textlink="">
      <cdr:nvSpPr>
        <cdr:cNvPr id="11" name="Straight Arrow Connector 10"/>
        <cdr:cNvSpPr/>
      </cdr:nvSpPr>
      <cdr:spPr>
        <a:xfrm xmlns:a="http://schemas.openxmlformats.org/drawingml/2006/main" rot="5400000" flipH="1" flipV="1">
          <a:off x="2186941" y="1396365"/>
          <a:ext cx="247650" cy="45719"/>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18.xml><?xml version="1.0" encoding="utf-8"?>
<c:userShapes xmlns:c="http://schemas.openxmlformats.org/drawingml/2006/chart">
  <cdr:relSizeAnchor xmlns:cdr="http://schemas.openxmlformats.org/drawingml/2006/chartDrawing">
    <cdr:from>
      <cdr:x>0.23891</cdr:x>
      <cdr:y>0.13584</cdr:y>
    </cdr:from>
    <cdr:to>
      <cdr:x>0.57915</cdr:x>
      <cdr:y>0.24132</cdr:y>
    </cdr:to>
    <cdr:sp macro="" textlink="">
      <cdr:nvSpPr>
        <cdr:cNvPr id="7" name="TextBox 1"/>
        <cdr:cNvSpPr txBox="1"/>
      </cdr:nvSpPr>
      <cdr:spPr>
        <a:xfrm xmlns:a="http://schemas.openxmlformats.org/drawingml/2006/main">
          <a:off x="1424526" y="373556"/>
          <a:ext cx="2028732" cy="29007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Current fit (7.6Gt)</a:t>
          </a:r>
          <a:endParaRPr lang="en-US" sz="1200" i="0">
            <a:solidFill>
              <a:srgbClr val="808080"/>
            </a:solidFill>
          </a:endParaRPr>
        </a:p>
      </cdr:txBody>
    </cdr:sp>
  </cdr:relSizeAnchor>
  <cdr:relSizeAnchor xmlns:cdr="http://schemas.openxmlformats.org/drawingml/2006/chartDrawing">
    <cdr:from>
      <cdr:x>0.09904</cdr:x>
      <cdr:y>0.30373</cdr:y>
    </cdr:from>
    <cdr:to>
      <cdr:x>0.38019</cdr:x>
      <cdr:y>0.46528</cdr:y>
    </cdr:to>
    <cdr:sp macro="" textlink="">
      <cdr:nvSpPr>
        <cdr:cNvPr id="8" name="TextBox 1"/>
        <cdr:cNvSpPr txBox="1"/>
      </cdr:nvSpPr>
      <cdr:spPr>
        <a:xfrm xmlns:a="http://schemas.openxmlformats.org/drawingml/2006/main">
          <a:off x="590556" y="833189"/>
          <a:ext cx="1676399" cy="4431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Historical fits for long-term production </a:t>
          </a:r>
          <a:endParaRPr lang="en-US" sz="1200" i="0">
            <a:solidFill>
              <a:srgbClr val="333399"/>
            </a:solidFill>
          </a:endParaRPr>
        </a:p>
      </cdr:txBody>
    </cdr:sp>
  </cdr:relSizeAnchor>
  <cdr:relSizeAnchor xmlns:cdr="http://schemas.openxmlformats.org/drawingml/2006/chartDrawing">
    <cdr:from>
      <cdr:x>0.47125</cdr:x>
      <cdr:y>0.51389</cdr:y>
    </cdr:from>
    <cdr:to>
      <cdr:x>0.65655</cdr:x>
      <cdr:y>0.69097</cdr:y>
    </cdr:to>
    <cdr:sp macro="" textlink="">
      <cdr:nvSpPr>
        <cdr:cNvPr id="9" name="TextBox 1"/>
        <cdr:cNvSpPr txBox="1"/>
      </cdr:nvSpPr>
      <cdr:spPr>
        <a:xfrm xmlns:a="http://schemas.openxmlformats.org/drawingml/2006/main">
          <a:off x="2809875" y="1409691"/>
          <a:ext cx="1104900" cy="48578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0.78754</cdr:x>
      <cdr:y>0.26389</cdr:y>
    </cdr:from>
    <cdr:to>
      <cdr:x>0.90894</cdr:x>
      <cdr:y>0.44792</cdr:y>
    </cdr:to>
    <cdr:sp macro="" textlink="">
      <cdr:nvSpPr>
        <cdr:cNvPr id="10" name="TextBox 1"/>
        <cdr:cNvSpPr txBox="1"/>
      </cdr:nvSpPr>
      <cdr:spPr>
        <a:xfrm xmlns:a="http://schemas.openxmlformats.org/drawingml/2006/main">
          <a:off x="4695827" y="723900"/>
          <a:ext cx="723865" cy="50483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Logistic fit</a:t>
          </a:r>
        </a:p>
      </cdr:txBody>
    </cdr:sp>
  </cdr:relSizeAnchor>
</c:userShapes>
</file>

<file path=xl/drawings/drawing19.xml><?xml version="1.0" encoding="utf-8"?>
<c:userShapes xmlns:c="http://schemas.openxmlformats.org/drawingml/2006/chart">
  <cdr:relSizeAnchor xmlns:cdr="http://schemas.openxmlformats.org/drawingml/2006/chartDrawing">
    <cdr:from>
      <cdr:x>0.12141</cdr:x>
      <cdr:y>0.58844</cdr:y>
    </cdr:from>
    <cdr:to>
      <cdr:x>0.58147</cdr:x>
      <cdr:y>0.69791</cdr:y>
    </cdr:to>
    <cdr:sp macro="" textlink="">
      <cdr:nvSpPr>
        <cdr:cNvPr id="8" name="TextBox 1"/>
        <cdr:cNvSpPr txBox="1"/>
      </cdr:nvSpPr>
      <cdr:spPr>
        <a:xfrm xmlns:a="http://schemas.openxmlformats.org/drawingml/2006/main">
          <a:off x="723900" y="1614209"/>
          <a:ext cx="2743202" cy="300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Historical fits for long-term production </a:t>
          </a:r>
          <a:endParaRPr lang="en-US" sz="1200" i="0">
            <a:solidFill>
              <a:srgbClr val="333399"/>
            </a:solidFill>
          </a:endParaRPr>
        </a:p>
      </cdr:txBody>
    </cdr:sp>
  </cdr:relSizeAnchor>
  <cdr:relSizeAnchor xmlns:cdr="http://schemas.openxmlformats.org/drawingml/2006/chartDrawing">
    <cdr:from>
      <cdr:x>0.57028</cdr:x>
      <cdr:y>0.11111</cdr:y>
    </cdr:from>
    <cdr:to>
      <cdr:x>0.78435</cdr:x>
      <cdr:y>0.35417</cdr:y>
    </cdr:to>
    <cdr:sp macro="" textlink="">
      <cdr:nvSpPr>
        <cdr:cNvPr id="3" name="TextBox 1"/>
        <cdr:cNvSpPr txBox="1"/>
      </cdr:nvSpPr>
      <cdr:spPr>
        <a:xfrm xmlns:a="http://schemas.openxmlformats.org/drawingml/2006/main">
          <a:off x="3400396" y="304797"/>
          <a:ext cx="1276379" cy="66675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Reserves in international surveys</a:t>
          </a:r>
          <a:endParaRPr lang="en-US" sz="1200" i="0">
            <a:solidFill>
              <a:srgbClr val="333399"/>
            </a:solidFill>
          </a:endParaRPr>
        </a:p>
      </cdr:txBody>
    </cdr:sp>
  </cdr:relSizeAnchor>
</c:userShapes>
</file>

<file path=xl/drawings/drawing20.xml><?xml version="1.0" encoding="utf-8"?>
<xdr:wsDr xmlns:xdr="http://schemas.openxmlformats.org/drawingml/2006/spreadsheetDrawing" xmlns:a="http://schemas.openxmlformats.org/drawingml/2006/main">
  <xdr:twoCellAnchor>
    <xdr:from>
      <xdr:col>1</xdr:col>
      <xdr:colOff>28575</xdr:colOff>
      <xdr:row>7</xdr:row>
      <xdr:rowOff>9525</xdr:rowOff>
    </xdr:from>
    <xdr:to>
      <xdr:col>1</xdr:col>
      <xdr:colOff>5991225</xdr:colOff>
      <xdr:row>26</xdr:row>
      <xdr:rowOff>38100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29</xdr:row>
      <xdr:rowOff>0</xdr:rowOff>
    </xdr:from>
    <xdr:to>
      <xdr:col>1</xdr:col>
      <xdr:colOff>5962650</xdr:colOff>
      <xdr:row>48</xdr:row>
      <xdr:rowOff>28575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51</xdr:row>
      <xdr:rowOff>0</xdr:rowOff>
    </xdr:from>
    <xdr:to>
      <xdr:col>1</xdr:col>
      <xdr:colOff>5962650</xdr:colOff>
      <xdr:row>70</xdr:row>
      <xdr:rowOff>28575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73</xdr:row>
      <xdr:rowOff>0</xdr:rowOff>
    </xdr:from>
    <xdr:to>
      <xdr:col>1</xdr:col>
      <xdr:colOff>5962650</xdr:colOff>
      <xdr:row>92</xdr:row>
      <xdr:rowOff>28575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96</xdr:row>
      <xdr:rowOff>0</xdr:rowOff>
    </xdr:from>
    <xdr:to>
      <xdr:col>1</xdr:col>
      <xdr:colOff>5962650</xdr:colOff>
      <xdr:row>115</xdr:row>
      <xdr:rowOff>28575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1.xml><?xml version="1.0" encoding="utf-8"?>
<c:userShapes xmlns:c="http://schemas.openxmlformats.org/drawingml/2006/chart">
  <cdr:relSizeAnchor xmlns:cdr="http://schemas.openxmlformats.org/drawingml/2006/chartDrawing">
    <cdr:from>
      <cdr:x>0.24122</cdr:x>
      <cdr:y>0.04138</cdr:y>
    </cdr:from>
    <cdr:to>
      <cdr:x>0.38699</cdr:x>
      <cdr:y>0.15944</cdr:y>
    </cdr:to>
    <cdr:sp macro="" textlink="">
      <cdr:nvSpPr>
        <cdr:cNvPr id="2" name="TextBox 1"/>
        <cdr:cNvSpPr txBox="1"/>
      </cdr:nvSpPr>
      <cdr:spPr>
        <a:xfrm xmlns:a="http://schemas.openxmlformats.org/drawingml/2006/main">
          <a:off x="1438330" y="114392"/>
          <a:ext cx="869176" cy="3263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200">
              <a:solidFill>
                <a:srgbClr val="808080"/>
              </a:solidFill>
            </a:rPr>
            <a:t>1943 peak</a:t>
          </a:r>
        </a:p>
      </cdr:txBody>
    </cdr:sp>
  </cdr:relSizeAnchor>
  <cdr:relSizeAnchor xmlns:cdr="http://schemas.openxmlformats.org/drawingml/2006/chartDrawing">
    <cdr:from>
      <cdr:x>0.37377</cdr:x>
      <cdr:y>0.09859</cdr:y>
    </cdr:from>
    <cdr:to>
      <cdr:x>0.42014</cdr:x>
      <cdr:y>0.11968</cdr:y>
    </cdr:to>
    <cdr:sp macro="" textlink="">
      <cdr:nvSpPr>
        <cdr:cNvPr id="4" name="Straight Arrow Connector 3"/>
        <cdr:cNvSpPr/>
      </cdr:nvSpPr>
      <cdr:spPr>
        <a:xfrm xmlns:a="http://schemas.openxmlformats.org/drawingml/2006/main">
          <a:off x="2228675" y="270446"/>
          <a:ext cx="276488" cy="57854"/>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0.57351</cdr:x>
      <cdr:y>0.0508</cdr:y>
    </cdr:from>
    <cdr:to>
      <cdr:x>0.61994</cdr:x>
      <cdr:y>0.06734</cdr:y>
    </cdr:to>
    <cdr:sp macro="" textlink="">
      <cdr:nvSpPr>
        <cdr:cNvPr id="5" name="Straight Arrow Connector 4"/>
        <cdr:cNvSpPr/>
      </cdr:nvSpPr>
      <cdr:spPr>
        <a:xfrm xmlns:a="http://schemas.openxmlformats.org/drawingml/2006/main" flipH="1">
          <a:off x="3419623" y="140425"/>
          <a:ext cx="276889" cy="45719"/>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0.60063</cdr:x>
      <cdr:y>0</cdr:y>
    </cdr:from>
    <cdr:to>
      <cdr:x>0.76717</cdr:x>
      <cdr:y>0.10281</cdr:y>
    </cdr:to>
    <cdr:sp macro="" textlink="">
      <cdr:nvSpPr>
        <cdr:cNvPr id="6" name="TextBox 1"/>
        <cdr:cNvSpPr txBox="1"/>
      </cdr:nvSpPr>
      <cdr:spPr>
        <a:xfrm xmlns:a="http://schemas.openxmlformats.org/drawingml/2006/main">
          <a:off x="3581322" y="0"/>
          <a:ext cx="993020" cy="28419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808080"/>
              </a:solidFill>
            </a:rPr>
            <a:t>1966 peak</a:t>
          </a:r>
        </a:p>
      </cdr:txBody>
    </cdr:sp>
  </cdr:relSizeAnchor>
</c:userShapes>
</file>

<file path=xl/drawings/drawing22.xml><?xml version="1.0" encoding="utf-8"?>
<c:userShapes xmlns:c="http://schemas.openxmlformats.org/drawingml/2006/chart">
  <cdr:relSizeAnchor xmlns:cdr="http://schemas.openxmlformats.org/drawingml/2006/chartDrawing">
    <cdr:from>
      <cdr:x>0.55074</cdr:x>
      <cdr:y>0.40119</cdr:y>
    </cdr:from>
    <cdr:to>
      <cdr:x>0.70196</cdr:x>
      <cdr:y>0.50641</cdr:y>
    </cdr:to>
    <cdr:sp macro="" textlink="">
      <cdr:nvSpPr>
        <cdr:cNvPr id="6" name="TextBox 1"/>
        <cdr:cNvSpPr txBox="1"/>
      </cdr:nvSpPr>
      <cdr:spPr>
        <a:xfrm xmlns:a="http://schemas.openxmlformats.org/drawingml/2006/main">
          <a:off x="3283863" y="1100544"/>
          <a:ext cx="901672" cy="28864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008000"/>
              </a:solidFill>
            </a:rPr>
            <a:t>probit(</a:t>
          </a:r>
          <a:r>
            <a:rPr lang="en-US" sz="1200" i="1">
              <a:solidFill>
                <a:srgbClr val="008000"/>
              </a:solidFill>
            </a:rPr>
            <a:t>q</a:t>
          </a:r>
          <a:r>
            <a:rPr lang="en-US" sz="1200">
              <a:solidFill>
                <a:srgbClr val="008000"/>
              </a:solidFill>
            </a:rPr>
            <a:t>/</a:t>
          </a:r>
          <a:r>
            <a:rPr lang="en-US" sz="1200" i="1">
              <a:solidFill>
                <a:srgbClr val="008000"/>
              </a:solidFill>
            </a:rPr>
            <a:t>Q</a:t>
          </a:r>
          <a:r>
            <a:rPr lang="en-US" sz="1200">
              <a:solidFill>
                <a:srgbClr val="008000"/>
              </a:solidFill>
            </a:rPr>
            <a:t>)</a:t>
          </a:r>
        </a:p>
      </cdr:txBody>
    </cdr:sp>
  </cdr:relSizeAnchor>
  <cdr:relSizeAnchor xmlns:cdr="http://schemas.openxmlformats.org/drawingml/2006/chartDrawing">
    <cdr:from>
      <cdr:x>0.19406</cdr:x>
      <cdr:y>0.13541</cdr:y>
    </cdr:from>
    <cdr:to>
      <cdr:x>0.5503</cdr:x>
      <cdr:y>0.45486</cdr:y>
    </cdr:to>
    <cdr:sp macro="" textlink="">
      <cdr:nvSpPr>
        <cdr:cNvPr id="7" name="TextBox 1"/>
        <cdr:cNvSpPr txBox="1"/>
      </cdr:nvSpPr>
      <cdr:spPr>
        <a:xfrm xmlns:a="http://schemas.openxmlformats.org/drawingml/2006/main">
          <a:off x="1157113" y="371469"/>
          <a:ext cx="2124135" cy="87631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Trend 1908 to present </a:t>
          </a:r>
          <a:endParaRPr lang="en-US" sz="1200" i="0" baseline="0">
            <a:solidFill>
              <a:srgbClr val="808080"/>
            </a:solidFill>
          </a:endParaRP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long-term production 3.7Gt</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Calibri"/>
              <a:ea typeface="+mn-ea"/>
              <a:cs typeface="+mn-cs"/>
            </a:rPr>
            <a:t>r</a:t>
          </a:r>
          <a:r>
            <a:rPr kumimoji="0" lang="en-US" sz="1200" b="0" i="0" u="none" strike="noStrike" kern="0" cap="none" spc="0" normalizeH="0" baseline="30000" noProof="0">
              <a:ln>
                <a:noFill/>
              </a:ln>
              <a:solidFill>
                <a:srgbClr val="808080"/>
              </a:solidFill>
              <a:effectLst/>
              <a:uLnTx/>
              <a:uFillTx/>
              <a:latin typeface="Calibri"/>
              <a:ea typeface="+mn-ea"/>
              <a:cs typeface="+mn-cs"/>
            </a:rPr>
            <a:t>2</a:t>
          </a:r>
          <a:r>
            <a:rPr kumimoji="0" lang="en-US" sz="1200" b="0" i="0" u="none" strike="noStrike" kern="0" cap="none" spc="0" normalizeH="0" baseline="0" noProof="0">
              <a:ln>
                <a:noFill/>
              </a:ln>
              <a:solidFill>
                <a:srgbClr val="808080"/>
              </a:solidFill>
              <a:effectLst/>
              <a:uLnTx/>
              <a:uFillTx/>
              <a:latin typeface="Calibri"/>
              <a:ea typeface="+mn-ea"/>
              <a:cs typeface="+mn-cs"/>
            </a:rPr>
            <a:t> = 0.9977</a:t>
          </a:r>
          <a:endParaRPr lang="en-US" sz="1200" i="0" baseline="0">
            <a:solidFill>
              <a:srgbClr val="808080"/>
            </a:solidFill>
          </a:endParaRP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10%-90% 1919-1989</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a:solidFill>
              <a:srgbClr val="808080"/>
            </a:solidFill>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0.07347</cdr:x>
      <cdr:y>0.48611</cdr:y>
    </cdr:from>
    <cdr:to>
      <cdr:x>0.27083</cdr:x>
      <cdr:y>0.67361</cdr:y>
    </cdr:to>
    <cdr:sp macro="" textlink="">
      <cdr:nvSpPr>
        <cdr:cNvPr id="5" name="TextBox 1"/>
        <cdr:cNvSpPr txBox="1"/>
      </cdr:nvSpPr>
      <cdr:spPr>
        <a:xfrm xmlns:a="http://schemas.openxmlformats.org/drawingml/2006/main">
          <a:off x="438104" y="1333503"/>
          <a:ext cx="1176788" cy="5143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1918 end of World War I</a:t>
          </a:r>
          <a:endParaRPr lang="en-US" sz="1200" i="0">
            <a:solidFill>
              <a:srgbClr val="808080"/>
            </a:solidFill>
          </a:endParaRPr>
        </a:p>
      </cdr:txBody>
    </cdr:sp>
  </cdr:relSizeAnchor>
  <cdr:relSizeAnchor xmlns:cdr="http://schemas.openxmlformats.org/drawingml/2006/chartDrawing">
    <cdr:from>
      <cdr:x>0.26358</cdr:x>
      <cdr:y>0.2118</cdr:y>
    </cdr:from>
    <cdr:to>
      <cdr:x>0.46093</cdr:x>
      <cdr:y>0.41184</cdr:y>
    </cdr:to>
    <cdr:sp macro="" textlink="">
      <cdr:nvSpPr>
        <cdr:cNvPr id="4" name="TextBox 1"/>
        <cdr:cNvSpPr txBox="1"/>
      </cdr:nvSpPr>
      <cdr:spPr>
        <a:xfrm xmlns:a="http://schemas.openxmlformats.org/drawingml/2006/main">
          <a:off x="1571607" y="581022"/>
          <a:ext cx="1176729" cy="5487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1945 end of World War II</a:t>
          </a:r>
          <a:endParaRPr lang="en-US" sz="1200" i="0">
            <a:solidFill>
              <a:srgbClr val="808080"/>
            </a:solidFill>
          </a:endParaRPr>
        </a:p>
      </cdr:txBody>
    </cdr:sp>
  </cdr:relSizeAnchor>
  <cdr:relSizeAnchor xmlns:cdr="http://schemas.openxmlformats.org/drawingml/2006/chartDrawing">
    <cdr:from>
      <cdr:x>0.59229</cdr:x>
      <cdr:y>0.46181</cdr:y>
    </cdr:from>
    <cdr:to>
      <cdr:x>0.8093</cdr:x>
      <cdr:y>0.70494</cdr:y>
    </cdr:to>
    <cdr:sp macro="" textlink="">
      <cdr:nvSpPr>
        <cdr:cNvPr id="6" name="TextBox 1"/>
        <cdr:cNvSpPr txBox="1"/>
      </cdr:nvSpPr>
      <cdr:spPr>
        <a:xfrm xmlns:a="http://schemas.openxmlformats.org/drawingml/2006/main">
          <a:off x="3531621" y="1266825"/>
          <a:ext cx="1293954" cy="6669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1991 beginning of "lost decade" in Japan</a:t>
          </a:r>
          <a:endParaRPr lang="en-US" sz="1200" i="0">
            <a:solidFill>
              <a:srgbClr val="808080"/>
            </a:solidFill>
          </a:endParaRPr>
        </a:p>
      </cdr:txBody>
    </cdr:sp>
  </cdr:relSizeAnchor>
</c:userShapes>
</file>

<file path=xl/drawings/drawing24.xml><?xml version="1.0" encoding="utf-8"?>
<c:userShapes xmlns:c="http://schemas.openxmlformats.org/drawingml/2006/chart">
  <cdr:relSizeAnchor xmlns:cdr="http://schemas.openxmlformats.org/drawingml/2006/chartDrawing">
    <cdr:from>
      <cdr:x>0.16454</cdr:x>
      <cdr:y>0.0593</cdr:y>
    </cdr:from>
    <cdr:to>
      <cdr:x>0.42733</cdr:x>
      <cdr:y>0.16478</cdr:y>
    </cdr:to>
    <cdr:sp macro="" textlink="">
      <cdr:nvSpPr>
        <cdr:cNvPr id="7" name="TextBox 1"/>
        <cdr:cNvSpPr txBox="1"/>
      </cdr:nvSpPr>
      <cdr:spPr>
        <a:xfrm xmlns:a="http://schemas.openxmlformats.org/drawingml/2006/main">
          <a:off x="981075" y="162672"/>
          <a:ext cx="1566972" cy="28935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Current fit (3.7Gt)</a:t>
          </a:r>
          <a:endParaRPr lang="en-US" sz="1200" i="0">
            <a:solidFill>
              <a:srgbClr val="808080"/>
            </a:solidFill>
          </a:endParaRPr>
        </a:p>
      </cdr:txBody>
    </cdr:sp>
  </cdr:relSizeAnchor>
  <cdr:relSizeAnchor xmlns:cdr="http://schemas.openxmlformats.org/drawingml/2006/chartDrawing">
    <cdr:from>
      <cdr:x>0.11821</cdr:x>
      <cdr:y>0.29066</cdr:y>
    </cdr:from>
    <cdr:to>
      <cdr:x>0.37083</cdr:x>
      <cdr:y>0.45833</cdr:y>
    </cdr:to>
    <cdr:sp macro="" textlink="">
      <cdr:nvSpPr>
        <cdr:cNvPr id="8" name="TextBox 1"/>
        <cdr:cNvSpPr txBox="1"/>
      </cdr:nvSpPr>
      <cdr:spPr>
        <a:xfrm xmlns:a="http://schemas.openxmlformats.org/drawingml/2006/main">
          <a:off x="704850" y="797329"/>
          <a:ext cx="1506302" cy="4599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Historical fits for long-term production </a:t>
          </a:r>
          <a:endParaRPr lang="en-US" sz="1200" i="0">
            <a:solidFill>
              <a:srgbClr val="333399"/>
            </a:solidFill>
          </a:endParaRPr>
        </a:p>
      </cdr:txBody>
    </cdr:sp>
  </cdr:relSizeAnchor>
  <cdr:relSizeAnchor xmlns:cdr="http://schemas.openxmlformats.org/drawingml/2006/chartDrawing">
    <cdr:from>
      <cdr:x>0.42574</cdr:x>
      <cdr:y>0.47514</cdr:y>
    </cdr:from>
    <cdr:to>
      <cdr:x>0.61104</cdr:x>
      <cdr:y>0.65222</cdr:y>
    </cdr:to>
    <cdr:sp macro="" textlink="">
      <cdr:nvSpPr>
        <cdr:cNvPr id="9" name="TextBox 1"/>
        <cdr:cNvSpPr txBox="1"/>
      </cdr:nvSpPr>
      <cdr:spPr>
        <a:xfrm xmlns:a="http://schemas.openxmlformats.org/drawingml/2006/main">
          <a:off x="2538539" y="1305099"/>
          <a:ext cx="1104879" cy="48639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0.74281</cdr:x>
      <cdr:y>0.13893</cdr:y>
    </cdr:from>
    <cdr:to>
      <cdr:x>0.89908</cdr:x>
      <cdr:y>0.36458</cdr:y>
    </cdr:to>
    <cdr:sp macro="" textlink="">
      <cdr:nvSpPr>
        <cdr:cNvPr id="10" name="TextBox 1"/>
        <cdr:cNvSpPr txBox="1"/>
      </cdr:nvSpPr>
      <cdr:spPr>
        <a:xfrm xmlns:a="http://schemas.openxmlformats.org/drawingml/2006/main">
          <a:off x="4429126" y="381122"/>
          <a:ext cx="931774" cy="61900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Cumulative normal model</a:t>
          </a:r>
        </a:p>
      </cdr:txBody>
    </cdr:sp>
  </cdr:relSizeAnchor>
</c:userShapes>
</file>

<file path=xl/drawings/drawing25.xml><?xml version="1.0" encoding="utf-8"?>
<c:userShapes xmlns:c="http://schemas.openxmlformats.org/drawingml/2006/chart">
  <cdr:relSizeAnchor xmlns:cdr="http://schemas.openxmlformats.org/drawingml/2006/chartDrawing">
    <cdr:from>
      <cdr:x>0.42492</cdr:x>
      <cdr:y>0.73213</cdr:y>
    </cdr:from>
    <cdr:to>
      <cdr:x>0.86454</cdr:x>
      <cdr:y>0.8416</cdr:y>
    </cdr:to>
    <cdr:sp macro="" textlink="">
      <cdr:nvSpPr>
        <cdr:cNvPr id="8" name="TextBox 1"/>
        <cdr:cNvSpPr txBox="1"/>
      </cdr:nvSpPr>
      <cdr:spPr>
        <a:xfrm xmlns:a="http://schemas.openxmlformats.org/drawingml/2006/main">
          <a:off x="2533651" y="2008388"/>
          <a:ext cx="2621300" cy="300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Historical fits for long-term production </a:t>
          </a:r>
          <a:endParaRPr lang="en-US" sz="1200" i="0">
            <a:solidFill>
              <a:srgbClr val="333399"/>
            </a:solidFill>
          </a:endParaRPr>
        </a:p>
      </cdr:txBody>
    </cdr:sp>
  </cdr:relSizeAnchor>
  <cdr:relSizeAnchor xmlns:cdr="http://schemas.openxmlformats.org/drawingml/2006/chartDrawing">
    <cdr:from>
      <cdr:x>0.48722</cdr:x>
      <cdr:y>0.20833</cdr:y>
    </cdr:from>
    <cdr:to>
      <cdr:x>0.70129</cdr:x>
      <cdr:y>0.45139</cdr:y>
    </cdr:to>
    <cdr:sp macro="" textlink="">
      <cdr:nvSpPr>
        <cdr:cNvPr id="3" name="TextBox 1"/>
        <cdr:cNvSpPr txBox="1"/>
      </cdr:nvSpPr>
      <cdr:spPr>
        <a:xfrm xmlns:a="http://schemas.openxmlformats.org/drawingml/2006/main">
          <a:off x="2905095" y="571500"/>
          <a:ext cx="1276424" cy="66676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Reserves in international surveys</a:t>
          </a:r>
          <a:endParaRPr lang="en-US" sz="1200" i="0">
            <a:solidFill>
              <a:srgbClr val="333399"/>
            </a:solidFill>
          </a:endParaRPr>
        </a:p>
      </cdr:txBody>
    </cdr:sp>
  </cdr:relSizeAnchor>
  <cdr:relSizeAnchor xmlns:cdr="http://schemas.openxmlformats.org/drawingml/2006/chartDrawing">
    <cdr:from>
      <cdr:x>0.62939</cdr:x>
      <cdr:y>0.44445</cdr:y>
    </cdr:from>
    <cdr:to>
      <cdr:x>0.68051</cdr:x>
      <cdr:y>0.65972</cdr:y>
    </cdr:to>
    <cdr:sp macro="" textlink="">
      <cdr:nvSpPr>
        <cdr:cNvPr id="5" name="Straight Arrow Connector 4"/>
        <cdr:cNvSpPr/>
      </cdr:nvSpPr>
      <cdr:spPr>
        <a:xfrm xmlns:a="http://schemas.openxmlformats.org/drawingml/2006/main" rot="16200000" flipH="1">
          <a:off x="3609978" y="1362079"/>
          <a:ext cx="590548" cy="304797"/>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0.32109</cdr:x>
      <cdr:y>0.29861</cdr:y>
    </cdr:from>
    <cdr:to>
      <cdr:x>0.51278</cdr:x>
      <cdr:y>0.32986</cdr:y>
    </cdr:to>
    <cdr:sp macro="" textlink="">
      <cdr:nvSpPr>
        <cdr:cNvPr id="6" name="Straight Arrow Connector 5"/>
        <cdr:cNvSpPr/>
      </cdr:nvSpPr>
      <cdr:spPr>
        <a:xfrm xmlns:a="http://schemas.openxmlformats.org/drawingml/2006/main" rot="16200000" flipV="1">
          <a:off x="2443163" y="290512"/>
          <a:ext cx="85728" cy="1143003"/>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0.49042</cdr:x>
      <cdr:y>0.14583</cdr:y>
    </cdr:from>
    <cdr:to>
      <cdr:x>0.52716</cdr:x>
      <cdr:y>0.2257</cdr:y>
    </cdr:to>
    <cdr:sp macro="" textlink="">
      <cdr:nvSpPr>
        <cdr:cNvPr id="7" name="Straight Arrow Connector 6"/>
        <cdr:cNvSpPr/>
      </cdr:nvSpPr>
      <cdr:spPr>
        <a:xfrm xmlns:a="http://schemas.openxmlformats.org/drawingml/2006/main" rot="16200000" flipV="1">
          <a:off x="2924173" y="400051"/>
          <a:ext cx="219078" cy="219075"/>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26.xml><?xml version="1.0" encoding="utf-8"?>
<xdr:wsDr xmlns:xdr="http://schemas.openxmlformats.org/drawingml/2006/spreadsheetDrawing" xmlns:a="http://schemas.openxmlformats.org/drawingml/2006/main">
  <xdr:twoCellAnchor>
    <xdr:from>
      <xdr:col>1</xdr:col>
      <xdr:colOff>28575</xdr:colOff>
      <xdr:row>7</xdr:row>
      <xdr:rowOff>9525</xdr:rowOff>
    </xdr:from>
    <xdr:to>
      <xdr:col>1</xdr:col>
      <xdr:colOff>5991225</xdr:colOff>
      <xdr:row>26</xdr:row>
      <xdr:rowOff>38100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29</xdr:row>
      <xdr:rowOff>0</xdr:rowOff>
    </xdr:from>
    <xdr:to>
      <xdr:col>1</xdr:col>
      <xdr:colOff>5962650</xdr:colOff>
      <xdr:row>48</xdr:row>
      <xdr:rowOff>28575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51</xdr:row>
      <xdr:rowOff>0</xdr:rowOff>
    </xdr:from>
    <xdr:to>
      <xdr:col>1</xdr:col>
      <xdr:colOff>5962650</xdr:colOff>
      <xdr:row>70</xdr:row>
      <xdr:rowOff>28575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73</xdr:row>
      <xdr:rowOff>0</xdr:rowOff>
    </xdr:from>
    <xdr:to>
      <xdr:col>1</xdr:col>
      <xdr:colOff>5962650</xdr:colOff>
      <xdr:row>92</xdr:row>
      <xdr:rowOff>28575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96</xdr:row>
      <xdr:rowOff>0</xdr:rowOff>
    </xdr:from>
    <xdr:to>
      <xdr:col>1</xdr:col>
      <xdr:colOff>5962650</xdr:colOff>
      <xdr:row>115</xdr:row>
      <xdr:rowOff>28575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7.xml><?xml version="1.0" encoding="utf-8"?>
<c:userShapes xmlns:c="http://schemas.openxmlformats.org/drawingml/2006/chart">
  <cdr:relSizeAnchor xmlns:cdr="http://schemas.openxmlformats.org/drawingml/2006/chartDrawing">
    <cdr:from>
      <cdr:x>0.66735</cdr:x>
      <cdr:y>0.26925</cdr:y>
    </cdr:from>
    <cdr:to>
      <cdr:x>0.81857</cdr:x>
      <cdr:y>0.37447</cdr:y>
    </cdr:to>
    <cdr:sp macro="" textlink="">
      <cdr:nvSpPr>
        <cdr:cNvPr id="6" name="TextBox 1"/>
        <cdr:cNvSpPr txBox="1"/>
      </cdr:nvSpPr>
      <cdr:spPr>
        <a:xfrm xmlns:a="http://schemas.openxmlformats.org/drawingml/2006/main">
          <a:off x="3979195" y="738594"/>
          <a:ext cx="901672" cy="28864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008000"/>
              </a:solidFill>
            </a:rPr>
            <a:t>logit(</a:t>
          </a:r>
          <a:r>
            <a:rPr lang="en-US" sz="1200" i="1">
              <a:solidFill>
                <a:srgbClr val="008000"/>
              </a:solidFill>
            </a:rPr>
            <a:t>q</a:t>
          </a:r>
          <a:r>
            <a:rPr lang="en-US" sz="1200">
              <a:solidFill>
                <a:srgbClr val="008000"/>
              </a:solidFill>
            </a:rPr>
            <a:t>/</a:t>
          </a:r>
          <a:r>
            <a:rPr lang="en-US" sz="1200" i="1">
              <a:solidFill>
                <a:srgbClr val="008000"/>
              </a:solidFill>
            </a:rPr>
            <a:t>Q</a:t>
          </a:r>
          <a:r>
            <a:rPr lang="en-US" sz="1200">
              <a:solidFill>
                <a:srgbClr val="008000"/>
              </a:solidFill>
            </a:rPr>
            <a:t>)</a:t>
          </a:r>
        </a:p>
      </cdr:txBody>
    </cdr:sp>
  </cdr:relSizeAnchor>
  <cdr:relSizeAnchor xmlns:cdr="http://schemas.openxmlformats.org/drawingml/2006/chartDrawing">
    <cdr:from>
      <cdr:x>0.16294</cdr:x>
      <cdr:y>0.07986</cdr:y>
    </cdr:from>
    <cdr:to>
      <cdr:x>0.58307</cdr:x>
      <cdr:y>0.39931</cdr:y>
    </cdr:to>
    <cdr:sp macro="" textlink="">
      <cdr:nvSpPr>
        <cdr:cNvPr id="7" name="TextBox 1"/>
        <cdr:cNvSpPr txBox="1"/>
      </cdr:nvSpPr>
      <cdr:spPr>
        <a:xfrm xmlns:a="http://schemas.openxmlformats.org/drawingml/2006/main">
          <a:off x="971550" y="219072"/>
          <a:ext cx="2505075" cy="87631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Trend 1983 to 2009 </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long-term production estimate 50Gt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Calibri"/>
              <a:ea typeface="+mn-ea"/>
              <a:cs typeface="+mn-cs"/>
            </a:rPr>
            <a:t>r</a:t>
          </a:r>
          <a:r>
            <a:rPr kumimoji="0" lang="en-US" sz="1200" b="0" i="0" u="none" strike="noStrike" kern="0" cap="none" spc="0" normalizeH="0" baseline="30000" noProof="0">
              <a:ln>
                <a:noFill/>
              </a:ln>
              <a:solidFill>
                <a:srgbClr val="808080"/>
              </a:solidFill>
              <a:effectLst/>
              <a:uLnTx/>
              <a:uFillTx/>
              <a:latin typeface="Calibri"/>
              <a:ea typeface="+mn-ea"/>
              <a:cs typeface="+mn-cs"/>
            </a:rPr>
            <a:t>2</a:t>
          </a:r>
          <a:r>
            <a:rPr kumimoji="0" lang="en-US" sz="1200" b="0" i="0" u="none" strike="noStrike" kern="0" cap="none" spc="0" normalizeH="0" baseline="0" noProof="0">
              <a:ln>
                <a:noFill/>
              </a:ln>
              <a:solidFill>
                <a:srgbClr val="808080"/>
              </a:solidFill>
              <a:effectLst/>
              <a:uLnTx/>
              <a:uFillTx/>
              <a:latin typeface="Calibri"/>
              <a:ea typeface="+mn-ea"/>
              <a:cs typeface="+mn-cs"/>
            </a:rPr>
            <a:t> = 0.999969</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10%-90% 1992-2076</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a:solidFill>
              <a:srgbClr val="808080"/>
            </a:solidFill>
          </a:endParaRPr>
        </a:p>
      </cdr:txBody>
    </cdr:sp>
  </cdr:relSizeAnchor>
</c:userShapes>
</file>

<file path=xl/drawings/drawing28.xml><?xml version="1.0" encoding="utf-8"?>
<c:userShapes xmlns:c="http://schemas.openxmlformats.org/drawingml/2006/chart">
  <cdr:relSizeAnchor xmlns:cdr="http://schemas.openxmlformats.org/drawingml/2006/chartDrawing">
    <cdr:from>
      <cdr:x>0.35623</cdr:x>
      <cdr:y>0.07639</cdr:y>
    </cdr:from>
    <cdr:to>
      <cdr:x>0.70127</cdr:x>
      <cdr:y>0.24653</cdr:y>
    </cdr:to>
    <cdr:sp macro="" textlink="">
      <cdr:nvSpPr>
        <cdr:cNvPr id="4" name="TextBox 1"/>
        <cdr:cNvSpPr txBox="1"/>
      </cdr:nvSpPr>
      <cdr:spPr>
        <a:xfrm xmlns:a="http://schemas.openxmlformats.org/drawingml/2006/main">
          <a:off x="2124094" y="209553"/>
          <a:ext cx="2057352" cy="46672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Largest residual from 1983 on is 1 month in 1992</a:t>
          </a:r>
          <a:endParaRPr lang="en-US" sz="1200" i="0">
            <a:solidFill>
              <a:srgbClr val="808080"/>
            </a:solidFill>
          </a:endParaRPr>
        </a:p>
      </cdr:txBody>
    </cdr:sp>
  </cdr:relSizeAnchor>
  <cdr:relSizeAnchor xmlns:cdr="http://schemas.openxmlformats.org/drawingml/2006/chartDrawing">
    <cdr:from>
      <cdr:x>0.51437</cdr:x>
      <cdr:y>0.25</cdr:y>
    </cdr:from>
    <cdr:to>
      <cdr:x>0.52204</cdr:x>
      <cdr:y>0.34376</cdr:y>
    </cdr:to>
    <cdr:sp macro="" textlink="">
      <cdr:nvSpPr>
        <cdr:cNvPr id="6" name="Straight Arrow Connector 5"/>
        <cdr:cNvSpPr/>
      </cdr:nvSpPr>
      <cdr:spPr>
        <a:xfrm xmlns:a="http://schemas.openxmlformats.org/drawingml/2006/main" flipH="1">
          <a:off x="3067031" y="685800"/>
          <a:ext cx="45719" cy="257193"/>
        </a:xfrm>
        <a:prstGeom xmlns:a="http://schemas.openxmlformats.org/drawingml/2006/main" prst="straightConnector1">
          <a:avLst/>
        </a:prstGeom>
        <a:noFill xmlns:a="http://schemas.openxmlformats.org/drawingml/2006/main"/>
        <a:ln xmlns:a="http://schemas.openxmlformats.org/drawingml/2006/main" w="9525" cap="flat" cmpd="sng" algn="ctr">
          <a:solidFill>
            <a:srgbClr val="808080"/>
          </a:solidFill>
          <a:prstDash val="solid"/>
          <a:headEnd type="none" w="med" len="med"/>
          <a:tailEnd type="triangle" w="med" len="med"/>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userShapes>
</file>

<file path=xl/drawings/drawing29.xml><?xml version="1.0" encoding="utf-8"?>
<c:userShapes xmlns:c="http://schemas.openxmlformats.org/drawingml/2006/chart">
  <cdr:relSizeAnchor xmlns:cdr="http://schemas.openxmlformats.org/drawingml/2006/chartDrawing">
    <cdr:from>
      <cdr:x>0.36172</cdr:x>
      <cdr:y>0.59055</cdr:y>
    </cdr:from>
    <cdr:to>
      <cdr:x>0.54702</cdr:x>
      <cdr:y>0.76763</cdr:y>
    </cdr:to>
    <cdr:sp macro="" textlink="">
      <cdr:nvSpPr>
        <cdr:cNvPr id="9" name="TextBox 1"/>
        <cdr:cNvSpPr txBox="1"/>
      </cdr:nvSpPr>
      <cdr:spPr>
        <a:xfrm xmlns:a="http://schemas.openxmlformats.org/drawingml/2006/main">
          <a:off x="2156833" y="1619997"/>
          <a:ext cx="1104879" cy="48576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0.7476</cdr:x>
      <cdr:y>0.48264</cdr:y>
    </cdr:from>
    <cdr:to>
      <cdr:x>0.90907</cdr:x>
      <cdr:y>0.66667</cdr:y>
    </cdr:to>
    <cdr:sp macro="" textlink="">
      <cdr:nvSpPr>
        <cdr:cNvPr id="10" name="TextBox 1"/>
        <cdr:cNvSpPr txBox="1"/>
      </cdr:nvSpPr>
      <cdr:spPr>
        <a:xfrm xmlns:a="http://schemas.openxmlformats.org/drawingml/2006/main">
          <a:off x="4457677" y="1323975"/>
          <a:ext cx="962789" cy="50483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Logistic model</a:t>
          </a:r>
        </a:p>
      </cdr:txBody>
    </cdr:sp>
  </cdr:relSizeAnchor>
  <cdr:relSizeAnchor xmlns:cdr="http://schemas.openxmlformats.org/drawingml/2006/chartDrawing">
    <cdr:from>
      <cdr:x>0.65655</cdr:x>
      <cdr:y>0.20139</cdr:y>
    </cdr:from>
    <cdr:to>
      <cdr:x>0.86262</cdr:x>
      <cdr:y>0.32639</cdr:y>
    </cdr:to>
    <cdr:sp macro="" textlink="">
      <cdr:nvSpPr>
        <cdr:cNvPr id="4" name="TextBox 1"/>
        <cdr:cNvSpPr txBox="1"/>
      </cdr:nvSpPr>
      <cdr:spPr>
        <a:xfrm xmlns:a="http://schemas.openxmlformats.org/drawingml/2006/main">
          <a:off x="3914778" y="552453"/>
          <a:ext cx="1228722" cy="3429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Current  estimate (50Gt)</a:t>
          </a:r>
          <a:endParaRPr lang="en-US" sz="1200" i="0">
            <a:solidFill>
              <a:srgbClr val="808080"/>
            </a:solidFill>
          </a:endParaRPr>
        </a:p>
      </cdr:txBody>
    </cdr:sp>
  </cdr:relSizeAnchor>
  <cdr:relSizeAnchor xmlns:cdr="http://schemas.openxmlformats.org/drawingml/2006/chartDrawing">
    <cdr:from>
      <cdr:x>0.34026</cdr:x>
      <cdr:y>0.15625</cdr:y>
    </cdr:from>
    <cdr:to>
      <cdr:x>0.54069</cdr:x>
      <cdr:y>0.38195</cdr:y>
    </cdr:to>
    <cdr:sp macro="" textlink="">
      <cdr:nvSpPr>
        <cdr:cNvPr id="5" name="TextBox 1"/>
        <cdr:cNvSpPr txBox="1"/>
      </cdr:nvSpPr>
      <cdr:spPr>
        <a:xfrm xmlns:a="http://schemas.openxmlformats.org/drawingml/2006/main">
          <a:off x="2028825" y="428619"/>
          <a:ext cx="1195133" cy="61914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fits for long-term production</a:t>
          </a:r>
        </a:p>
      </cdr:txBody>
    </cdr:sp>
  </cdr:relSizeAnchor>
</c:userShapes>
</file>

<file path=xl/drawings/drawing30.xml><?xml version="1.0" encoding="utf-8"?>
<c:userShapes xmlns:c="http://schemas.openxmlformats.org/drawingml/2006/chart">
  <cdr:relSizeAnchor xmlns:cdr="http://schemas.openxmlformats.org/drawingml/2006/chartDrawing">
    <cdr:from>
      <cdr:x>0.69094</cdr:x>
      <cdr:y>0</cdr:y>
    </cdr:from>
    <cdr:to>
      <cdr:x>0.84186</cdr:x>
      <cdr:y>0.32342</cdr:y>
    </cdr:to>
    <cdr:sp macro="" textlink="">
      <cdr:nvSpPr>
        <cdr:cNvPr id="8" name="TextBox 1"/>
        <cdr:cNvSpPr txBox="1"/>
      </cdr:nvSpPr>
      <cdr:spPr>
        <a:xfrm xmlns:a="http://schemas.openxmlformats.org/drawingml/2006/main">
          <a:off x="4119815" y="0"/>
          <a:ext cx="899883" cy="88720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long-term production estimates</a:t>
          </a:r>
        </a:p>
        <a:p xmlns:a="http://schemas.openxmlformats.org/drawingml/2006/main">
          <a:pPr algn="ctr"/>
          <a:endParaRPr lang="en-US" sz="1200" i="0">
            <a:solidFill>
              <a:srgbClr val="333399"/>
            </a:solidFill>
          </a:endParaRPr>
        </a:p>
      </cdr:txBody>
    </cdr:sp>
  </cdr:relSizeAnchor>
  <cdr:relSizeAnchor xmlns:cdr="http://schemas.openxmlformats.org/drawingml/2006/chartDrawing">
    <cdr:from>
      <cdr:x>0.42332</cdr:x>
      <cdr:y>0.03125</cdr:y>
    </cdr:from>
    <cdr:to>
      <cdr:x>0.65176</cdr:x>
      <cdr:y>0.27431</cdr:y>
    </cdr:to>
    <cdr:sp macro="" textlink="">
      <cdr:nvSpPr>
        <cdr:cNvPr id="3" name="TextBox 1"/>
        <cdr:cNvSpPr txBox="1"/>
      </cdr:nvSpPr>
      <cdr:spPr>
        <a:xfrm xmlns:a="http://schemas.openxmlformats.org/drawingml/2006/main">
          <a:off x="2524124" y="85725"/>
          <a:ext cx="1362108" cy="66676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Reserves in international surveys</a:t>
          </a:r>
          <a:endParaRPr lang="en-US" sz="1200" i="0">
            <a:solidFill>
              <a:srgbClr val="333399"/>
            </a:solidFill>
          </a:endParaRPr>
        </a:p>
      </cdr:txBody>
    </cdr:sp>
  </cdr:relSizeAnchor>
  <cdr:relSizeAnchor xmlns:cdr="http://schemas.openxmlformats.org/drawingml/2006/chartDrawing">
    <cdr:from>
      <cdr:x>0.32268</cdr:x>
      <cdr:y>0.18056</cdr:y>
    </cdr:from>
    <cdr:to>
      <cdr:x>0.45687</cdr:x>
      <cdr:y>0.23681</cdr:y>
    </cdr:to>
    <cdr:sp macro="" textlink="">
      <cdr:nvSpPr>
        <cdr:cNvPr id="14" name="Straight Arrow Connector 13"/>
        <cdr:cNvSpPr/>
      </cdr:nvSpPr>
      <cdr:spPr>
        <a:xfrm xmlns:a="http://schemas.openxmlformats.org/drawingml/2006/main" rot="10800000" flipV="1">
          <a:off x="1924032" y="495300"/>
          <a:ext cx="800117" cy="154305"/>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0.39617</cdr:x>
      <cdr:y>0.26042</cdr:y>
    </cdr:from>
    <cdr:to>
      <cdr:x>0.49201</cdr:x>
      <cdr:y>0.58333</cdr:y>
    </cdr:to>
    <cdr:sp macro="" textlink="">
      <cdr:nvSpPr>
        <cdr:cNvPr id="15" name="Straight Arrow Connector 14"/>
        <cdr:cNvSpPr/>
      </cdr:nvSpPr>
      <cdr:spPr>
        <a:xfrm xmlns:a="http://schemas.openxmlformats.org/drawingml/2006/main" rot="10800000" flipV="1">
          <a:off x="2362229" y="714375"/>
          <a:ext cx="571470" cy="885810"/>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0.57987</cdr:x>
      <cdr:y>0.26042</cdr:y>
    </cdr:from>
    <cdr:to>
      <cdr:x>0.64697</cdr:x>
      <cdr:y>0.52777</cdr:y>
    </cdr:to>
    <cdr:sp macro="" textlink="">
      <cdr:nvSpPr>
        <cdr:cNvPr id="6" name="Straight Arrow Connector 5"/>
        <cdr:cNvSpPr/>
      </cdr:nvSpPr>
      <cdr:spPr>
        <a:xfrm xmlns:a="http://schemas.openxmlformats.org/drawingml/2006/main" rot="10800000" flipH="1" flipV="1">
          <a:off x="3457575" y="714374"/>
          <a:ext cx="400053" cy="733401"/>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31.xml><?xml version="1.0" encoding="utf-8"?>
<xdr:wsDr xmlns:xdr="http://schemas.openxmlformats.org/drawingml/2006/spreadsheetDrawing" xmlns:a="http://schemas.openxmlformats.org/drawingml/2006/main">
  <xdr:twoCellAnchor>
    <xdr:from>
      <xdr:col>1</xdr:col>
      <xdr:colOff>47625</xdr:colOff>
      <xdr:row>31</xdr:row>
      <xdr:rowOff>95250</xdr:rowOff>
    </xdr:from>
    <xdr:to>
      <xdr:col>1</xdr:col>
      <xdr:colOff>5915025</xdr:colOff>
      <xdr:row>50</xdr:row>
      <xdr:rowOff>123825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10</xdr:row>
      <xdr:rowOff>66675</xdr:rowOff>
    </xdr:from>
    <xdr:to>
      <xdr:col>1</xdr:col>
      <xdr:colOff>5962650</xdr:colOff>
      <xdr:row>29</xdr:row>
      <xdr:rowOff>95250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53</xdr:row>
      <xdr:rowOff>0</xdr:rowOff>
    </xdr:from>
    <xdr:to>
      <xdr:col>1</xdr:col>
      <xdr:colOff>6000750</xdr:colOff>
      <xdr:row>72</xdr:row>
      <xdr:rowOff>28575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75</xdr:row>
      <xdr:rowOff>0</xdr:rowOff>
    </xdr:from>
    <xdr:to>
      <xdr:col>1</xdr:col>
      <xdr:colOff>6000750</xdr:colOff>
      <xdr:row>94</xdr:row>
      <xdr:rowOff>28575</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447386</xdr:colOff>
      <xdr:row>97</xdr:row>
      <xdr:rowOff>0</xdr:rowOff>
    </xdr:from>
    <xdr:to>
      <xdr:col>1</xdr:col>
      <xdr:colOff>6000750</xdr:colOff>
      <xdr:row>116</xdr:row>
      <xdr:rowOff>28575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2.xml><?xml version="1.0" encoding="utf-8"?>
<c:userShapes xmlns:c="http://schemas.openxmlformats.org/drawingml/2006/chart">
  <cdr:relSizeAnchor xmlns:cdr="http://schemas.openxmlformats.org/drawingml/2006/chartDrawing">
    <cdr:from>
      <cdr:x>0.25974</cdr:x>
      <cdr:y>0.03472</cdr:y>
    </cdr:from>
    <cdr:to>
      <cdr:x>0.71105</cdr:x>
      <cdr:y>0.34374</cdr:y>
    </cdr:to>
    <cdr:sp macro="" textlink="">
      <cdr:nvSpPr>
        <cdr:cNvPr id="2" name="TextBox 1"/>
        <cdr:cNvSpPr txBox="1"/>
      </cdr:nvSpPr>
      <cdr:spPr>
        <a:xfrm xmlns:a="http://schemas.openxmlformats.org/drawingml/2006/main">
          <a:off x="1524000" y="95250"/>
          <a:ext cx="2647995" cy="84770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Trend 1960 to 2009   </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long-term production estimate 139Gt       </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Calibri"/>
              <a:ea typeface="+mn-ea"/>
              <a:cs typeface="+mn-cs"/>
            </a:rPr>
            <a:t>r</a:t>
          </a:r>
          <a:r>
            <a:rPr kumimoji="0" lang="en-US" sz="1200" b="0" i="0" u="none" strike="noStrike" kern="0" cap="none" spc="0" normalizeH="0" baseline="30000" noProof="0">
              <a:ln>
                <a:noFill/>
              </a:ln>
              <a:solidFill>
                <a:srgbClr val="808080"/>
              </a:solidFill>
              <a:effectLst/>
              <a:uLnTx/>
              <a:uFillTx/>
              <a:latin typeface="Calibri"/>
              <a:ea typeface="+mn-ea"/>
              <a:cs typeface="+mn-cs"/>
            </a:rPr>
            <a:t>2</a:t>
          </a:r>
          <a:r>
            <a:rPr kumimoji="0" lang="en-US" sz="1200" b="0" i="0" u="none" strike="noStrike" kern="0" cap="none" spc="0" normalizeH="0" baseline="0" noProof="0">
              <a:ln>
                <a:noFill/>
              </a:ln>
              <a:solidFill>
                <a:srgbClr val="808080"/>
              </a:solidFill>
              <a:effectLst/>
              <a:uLnTx/>
              <a:uFillTx/>
              <a:latin typeface="Calibri"/>
              <a:ea typeface="+mn-ea"/>
              <a:cs typeface="+mn-cs"/>
            </a:rPr>
            <a:t> = 0.99951    </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10%-90% 1985-2051</a:t>
          </a:r>
        </a:p>
      </cdr:txBody>
    </cdr:sp>
  </cdr:relSizeAnchor>
  <cdr:relSizeAnchor xmlns:cdr="http://schemas.openxmlformats.org/drawingml/2006/chartDrawing">
    <cdr:from>
      <cdr:x>0.22727</cdr:x>
      <cdr:y>0.58308</cdr:y>
    </cdr:from>
    <cdr:to>
      <cdr:x>0.52597</cdr:x>
      <cdr:y>0.76388</cdr:y>
    </cdr:to>
    <cdr:sp macro="" textlink="">
      <cdr:nvSpPr>
        <cdr:cNvPr id="3" name="TextBox 1"/>
        <cdr:cNvSpPr txBox="1"/>
      </cdr:nvSpPr>
      <cdr:spPr>
        <a:xfrm xmlns:a="http://schemas.openxmlformats.org/drawingml/2006/main">
          <a:off x="1333506" y="1599517"/>
          <a:ext cx="1752592" cy="4959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Early trend 1924-1945  </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10%-90% 1986-2054</a:t>
          </a:r>
          <a:endParaRPr lang="en-US" sz="1200" i="0">
            <a:solidFill>
              <a:srgbClr val="808080"/>
            </a:solidFill>
          </a:endParaRPr>
        </a:p>
      </cdr:txBody>
    </cdr:sp>
  </cdr:relSizeAnchor>
  <cdr:relSizeAnchor xmlns:cdr="http://schemas.openxmlformats.org/drawingml/2006/chartDrawing">
    <cdr:from>
      <cdr:x>0.59416</cdr:x>
      <cdr:y>0.32638</cdr:y>
    </cdr:from>
    <cdr:to>
      <cdr:x>0.78247</cdr:x>
      <cdr:y>0.42013</cdr:y>
    </cdr:to>
    <cdr:sp macro="" textlink="">
      <cdr:nvSpPr>
        <cdr:cNvPr id="5" name="TextBox 1"/>
        <cdr:cNvSpPr txBox="1"/>
      </cdr:nvSpPr>
      <cdr:spPr>
        <a:xfrm xmlns:a="http://schemas.openxmlformats.org/drawingml/2006/main">
          <a:off x="3486179" y="895329"/>
          <a:ext cx="1104890"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008000"/>
              </a:solidFill>
            </a:rPr>
            <a:t>logit(</a:t>
          </a:r>
          <a:r>
            <a:rPr lang="en-US" sz="1200" i="1" baseline="0">
              <a:solidFill>
                <a:srgbClr val="008000"/>
              </a:solidFill>
            </a:rPr>
            <a:t>q</a:t>
          </a:r>
          <a:r>
            <a:rPr lang="en-US" sz="1200" i="0" baseline="0">
              <a:solidFill>
                <a:srgbClr val="008000"/>
              </a:solidFill>
            </a:rPr>
            <a:t>/</a:t>
          </a:r>
          <a:r>
            <a:rPr lang="en-US" sz="1200" i="1" baseline="0">
              <a:solidFill>
                <a:srgbClr val="008000"/>
              </a:solidFill>
            </a:rPr>
            <a:t>Q</a:t>
          </a:r>
          <a:r>
            <a:rPr lang="en-US" sz="1200" i="0" baseline="0">
              <a:solidFill>
                <a:srgbClr val="008000"/>
              </a:solidFill>
            </a:rPr>
            <a:t>)</a:t>
          </a:r>
          <a:endParaRPr lang="en-US" sz="1200" i="0">
            <a:solidFill>
              <a:srgbClr val="008000"/>
            </a:solidFill>
          </a:endParaRPr>
        </a:p>
      </cdr:txBody>
    </cdr:sp>
  </cdr:relSizeAnchor>
  <cdr:relSizeAnchor xmlns:cdr="http://schemas.openxmlformats.org/drawingml/2006/chartDrawing">
    <cdr:from>
      <cdr:x>0.08766</cdr:x>
      <cdr:y>0.32986</cdr:y>
    </cdr:from>
    <cdr:to>
      <cdr:x>0.28896</cdr:x>
      <cdr:y>0.4375</cdr:y>
    </cdr:to>
    <cdr:sp macro="" textlink="">
      <cdr:nvSpPr>
        <cdr:cNvPr id="6" name="TextBox 1"/>
        <cdr:cNvSpPr txBox="1"/>
      </cdr:nvSpPr>
      <cdr:spPr>
        <a:xfrm xmlns:a="http://schemas.openxmlformats.org/drawingml/2006/main">
          <a:off x="514350" y="904875"/>
          <a:ext cx="1181111" cy="295275"/>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1946 civil war</a:t>
          </a:r>
          <a:endParaRPr lang="en-US" sz="1200" i="0">
            <a:solidFill>
              <a:srgbClr val="808080"/>
            </a:solidFill>
          </a:endParaRPr>
        </a:p>
      </cdr:txBody>
    </cdr:sp>
  </cdr:relSizeAnchor>
  <cdr:relSizeAnchor xmlns:cdr="http://schemas.openxmlformats.org/drawingml/2006/chartDrawing">
    <cdr:from>
      <cdr:x>0.2711</cdr:x>
      <cdr:y>0.41667</cdr:y>
    </cdr:from>
    <cdr:to>
      <cdr:x>0.3474</cdr:x>
      <cdr:y>0.52431</cdr:y>
    </cdr:to>
    <cdr:sp macro="" textlink="">
      <cdr:nvSpPr>
        <cdr:cNvPr id="7" name="Straight Arrow Connector 6"/>
        <cdr:cNvSpPr/>
      </cdr:nvSpPr>
      <cdr:spPr>
        <a:xfrm xmlns:a="http://schemas.openxmlformats.org/drawingml/2006/main" rot="10800000" flipH="1" flipV="1">
          <a:off x="1590676" y="1143000"/>
          <a:ext cx="447674" cy="295274"/>
        </a:xfrm>
        <a:prstGeom xmlns:a="http://schemas.openxmlformats.org/drawingml/2006/main" prst="straightConnector1">
          <a:avLst/>
        </a:prstGeom>
        <a:noFill xmlns:a="http://schemas.openxmlformats.org/drawingml/2006/main"/>
        <a:ln xmlns:a="http://schemas.openxmlformats.org/drawingml/2006/main" w="9525" cap="flat" cmpd="sng" algn="ctr">
          <a:solidFill>
            <a:srgbClr val="808080"/>
          </a:solidFill>
          <a:prstDash val="solid"/>
          <a:headEnd type="none" w="med" len="med"/>
          <a:tailEnd type="triangle" w="med" len="med"/>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userShapes>
</file>

<file path=xl/drawings/drawing33.xml><?xml version="1.0" encoding="utf-8"?>
<c:userShapes xmlns:c="http://schemas.openxmlformats.org/drawingml/2006/chart">
  <cdr:relSizeAnchor xmlns:cdr="http://schemas.openxmlformats.org/drawingml/2006/chartDrawing">
    <cdr:from>
      <cdr:x>0.30226</cdr:x>
      <cdr:y>0.42882</cdr:y>
    </cdr:from>
    <cdr:to>
      <cdr:x>0.56525</cdr:x>
      <cdr:y>0.60937</cdr:y>
    </cdr:to>
    <cdr:sp macro="" textlink="">
      <cdr:nvSpPr>
        <cdr:cNvPr id="2" name="TextBox 1"/>
        <cdr:cNvSpPr txBox="1"/>
      </cdr:nvSpPr>
      <cdr:spPr>
        <a:xfrm xmlns:a="http://schemas.openxmlformats.org/drawingml/2006/main">
          <a:off x="1773493" y="1188106"/>
          <a:ext cx="1543068" cy="5002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200">
              <a:solidFill>
                <a:srgbClr val="808080"/>
              </a:solidFill>
            </a:rPr>
            <a:t>1960 peak during the  </a:t>
          </a:r>
          <a:r>
            <a:rPr lang="en-US" sz="1200" baseline="0">
              <a:solidFill>
                <a:srgbClr val="808080"/>
              </a:solidFill>
            </a:rPr>
            <a:t> Great Leap Forward</a:t>
          </a:r>
          <a:endParaRPr lang="en-US" sz="1200">
            <a:solidFill>
              <a:srgbClr val="808080"/>
            </a:solidFill>
          </a:endParaRPr>
        </a:p>
      </cdr:txBody>
    </cdr:sp>
  </cdr:relSizeAnchor>
  <cdr:relSizeAnchor xmlns:cdr="http://schemas.openxmlformats.org/drawingml/2006/chartDrawing">
    <cdr:from>
      <cdr:x>0.37663</cdr:x>
      <cdr:y>0.59709</cdr:y>
    </cdr:from>
    <cdr:to>
      <cdr:x>0.40621</cdr:x>
      <cdr:y>0.70834</cdr:y>
    </cdr:to>
    <cdr:sp macro="" textlink="">
      <cdr:nvSpPr>
        <cdr:cNvPr id="4" name="Straight Arrow Connector 3"/>
        <cdr:cNvSpPr/>
      </cdr:nvSpPr>
      <cdr:spPr>
        <a:xfrm xmlns:a="http://schemas.openxmlformats.org/drawingml/2006/main" flipH="1">
          <a:off x="2209839" y="1654319"/>
          <a:ext cx="173576" cy="308223"/>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0.59056</cdr:x>
      <cdr:y>0.58203</cdr:y>
    </cdr:from>
    <cdr:to>
      <cdr:x>0.82271</cdr:x>
      <cdr:y>0.81814</cdr:y>
    </cdr:to>
    <cdr:sp macro="" textlink="">
      <cdr:nvSpPr>
        <cdr:cNvPr id="5" name="TextBox 1"/>
        <cdr:cNvSpPr txBox="1"/>
      </cdr:nvSpPr>
      <cdr:spPr>
        <a:xfrm xmlns:a="http://schemas.openxmlformats.org/drawingml/2006/main">
          <a:off x="3465054" y="1612596"/>
          <a:ext cx="1362101" cy="65416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a:solidFill>
                <a:srgbClr val="808080"/>
              </a:solidFill>
            </a:rPr>
            <a:t>1998 dip</a:t>
          </a:r>
          <a:r>
            <a:rPr lang="en-US" sz="1200" baseline="0">
              <a:solidFill>
                <a:srgbClr val="808080"/>
              </a:solidFill>
            </a:rPr>
            <a:t> during   </a:t>
          </a:r>
          <a:r>
            <a:rPr kumimoji="0" lang="en-US" sz="1200" b="0" i="0" u="none" strike="noStrike" kern="0" cap="none" spc="0" normalizeH="0" baseline="0" noProof="0">
              <a:ln>
                <a:noFill/>
              </a:ln>
              <a:solidFill>
                <a:srgbClr val="808080"/>
              </a:solidFill>
              <a:effectLst/>
              <a:uLnTx/>
              <a:uFillTx/>
              <a:latin typeface="+mn-lt"/>
              <a:ea typeface="+mn-ea"/>
              <a:cs typeface="+mn-cs"/>
            </a:rPr>
            <a:t>safety campaign  </a:t>
          </a:r>
          <a:r>
            <a:rPr lang="en-US" sz="1200" baseline="0">
              <a:solidFill>
                <a:srgbClr val="808080"/>
              </a:solidFill>
            </a:rPr>
            <a:t> mine closings </a:t>
          </a:r>
          <a:endParaRPr lang="en-US" sz="1200">
            <a:solidFill>
              <a:srgbClr val="808080"/>
            </a:solidFill>
          </a:endParaRPr>
        </a:p>
      </cdr:txBody>
    </cdr:sp>
  </cdr:relSizeAnchor>
  <cdr:relSizeAnchor xmlns:cdr="http://schemas.openxmlformats.org/drawingml/2006/chartDrawing">
    <cdr:from>
      <cdr:x>0.69363</cdr:x>
      <cdr:y>0.52857</cdr:y>
    </cdr:from>
    <cdr:to>
      <cdr:x>0.70142</cdr:x>
      <cdr:y>0.59989</cdr:y>
    </cdr:to>
    <cdr:sp macro="" textlink="">
      <cdr:nvSpPr>
        <cdr:cNvPr id="6" name="Straight Arrow Connector 5"/>
        <cdr:cNvSpPr/>
      </cdr:nvSpPr>
      <cdr:spPr>
        <a:xfrm xmlns:a="http://schemas.openxmlformats.org/drawingml/2006/main" flipH="1" flipV="1">
          <a:off x="4069793" y="1449976"/>
          <a:ext cx="45707" cy="195645"/>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0.03075</cdr:x>
      <cdr:y>0.52479</cdr:y>
    </cdr:from>
    <cdr:to>
      <cdr:x>0.29374</cdr:x>
      <cdr:y>0.70534</cdr:y>
    </cdr:to>
    <cdr:sp macro="" textlink="">
      <cdr:nvSpPr>
        <cdr:cNvPr id="7" name="TextBox 1"/>
        <cdr:cNvSpPr txBox="1"/>
      </cdr:nvSpPr>
      <cdr:spPr>
        <a:xfrm xmlns:a="http://schemas.openxmlformats.org/drawingml/2006/main">
          <a:off x="180398" y="1454006"/>
          <a:ext cx="1543068" cy="50023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808080"/>
              </a:solidFill>
            </a:rPr>
            <a:t>1946 low during the   Chinese</a:t>
          </a:r>
          <a:r>
            <a:rPr lang="en-US" sz="1200" baseline="0">
              <a:solidFill>
                <a:srgbClr val="808080"/>
              </a:solidFill>
            </a:rPr>
            <a:t> Revolution</a:t>
          </a:r>
          <a:endParaRPr lang="en-US" sz="1200">
            <a:solidFill>
              <a:srgbClr val="808080"/>
            </a:solidFill>
          </a:endParaRPr>
        </a:p>
      </cdr:txBody>
    </cdr:sp>
  </cdr:relSizeAnchor>
  <cdr:relSizeAnchor xmlns:cdr="http://schemas.openxmlformats.org/drawingml/2006/chartDrawing">
    <cdr:from>
      <cdr:x>0.21989</cdr:x>
      <cdr:y>0.68825</cdr:y>
    </cdr:from>
    <cdr:to>
      <cdr:x>0.26134</cdr:x>
      <cdr:y>0.81835</cdr:y>
    </cdr:to>
    <cdr:sp macro="" textlink="">
      <cdr:nvSpPr>
        <cdr:cNvPr id="8" name="Straight Arrow Connector 7"/>
        <cdr:cNvSpPr/>
      </cdr:nvSpPr>
      <cdr:spPr>
        <a:xfrm xmlns:a="http://schemas.openxmlformats.org/drawingml/2006/main">
          <a:off x="1290205" y="1906876"/>
          <a:ext cx="243176" cy="360465"/>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34.xml><?xml version="1.0" encoding="utf-8"?>
<c:userShapes xmlns:c="http://schemas.openxmlformats.org/drawingml/2006/chart">
  <cdr:relSizeAnchor xmlns:cdr="http://schemas.openxmlformats.org/drawingml/2006/chartDrawing">
    <cdr:from>
      <cdr:x>0.59469</cdr:x>
      <cdr:y>0.13542</cdr:y>
    </cdr:from>
    <cdr:to>
      <cdr:x>0.82698</cdr:x>
      <cdr:y>0.30904</cdr:y>
    </cdr:to>
    <cdr:sp macro="" textlink="">
      <cdr:nvSpPr>
        <cdr:cNvPr id="4" name="TextBox 1"/>
        <cdr:cNvSpPr txBox="1"/>
      </cdr:nvSpPr>
      <cdr:spPr>
        <a:xfrm xmlns:a="http://schemas.openxmlformats.org/drawingml/2006/main">
          <a:off x="3568615" y="371493"/>
          <a:ext cx="1393914" cy="476275"/>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Largest residual is 11 months in 2009</a:t>
          </a:r>
          <a:endParaRPr lang="en-US" sz="1200" i="0">
            <a:solidFill>
              <a:srgbClr val="808080"/>
            </a:solidFill>
          </a:endParaRPr>
        </a:p>
      </cdr:txBody>
    </cdr:sp>
  </cdr:relSizeAnchor>
  <cdr:relSizeAnchor xmlns:cdr="http://schemas.openxmlformats.org/drawingml/2006/chartDrawing">
    <cdr:from>
      <cdr:x>0.81012</cdr:x>
      <cdr:y>0.23003</cdr:y>
    </cdr:from>
    <cdr:to>
      <cdr:x>0.89048</cdr:x>
      <cdr:y>0.29861</cdr:y>
    </cdr:to>
    <cdr:sp macro="" textlink="">
      <cdr:nvSpPr>
        <cdr:cNvPr id="6" name="Straight Arrow Connector 5"/>
        <cdr:cNvSpPr/>
      </cdr:nvSpPr>
      <cdr:spPr>
        <a:xfrm xmlns:a="http://schemas.openxmlformats.org/drawingml/2006/main" rot="16200000" flipH="1">
          <a:off x="5008361" y="483986"/>
          <a:ext cx="188135" cy="482199"/>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0.52222</cdr:x>
      <cdr:y>0.53125</cdr:y>
    </cdr:from>
    <cdr:to>
      <cdr:x>0.87777</cdr:x>
      <cdr:y>0.65278</cdr:y>
    </cdr:to>
    <cdr:sp macro="" textlink="">
      <cdr:nvSpPr>
        <cdr:cNvPr id="5" name="TextBox 1"/>
        <cdr:cNvSpPr txBox="1"/>
      </cdr:nvSpPr>
      <cdr:spPr>
        <a:xfrm xmlns:a="http://schemas.openxmlformats.org/drawingml/2006/main">
          <a:off x="3133725" y="1457325"/>
          <a:ext cx="2133567" cy="333381"/>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People's Republic of China</a:t>
          </a:r>
          <a:endParaRPr lang="en-US" sz="1200" i="0">
            <a:solidFill>
              <a:srgbClr val="808080"/>
            </a:solidFill>
          </a:endParaRPr>
        </a:p>
      </cdr:txBody>
    </cdr:sp>
  </cdr:relSizeAnchor>
  <cdr:relSizeAnchor xmlns:cdr="http://schemas.openxmlformats.org/drawingml/2006/chartDrawing">
    <cdr:from>
      <cdr:x>0.14286</cdr:x>
      <cdr:y>0.28472</cdr:y>
    </cdr:from>
    <cdr:to>
      <cdr:x>0.37515</cdr:x>
      <cdr:y>0.39235</cdr:y>
    </cdr:to>
    <cdr:sp macro="" textlink="">
      <cdr:nvSpPr>
        <cdr:cNvPr id="7" name="TextBox 1"/>
        <cdr:cNvSpPr txBox="1"/>
      </cdr:nvSpPr>
      <cdr:spPr>
        <a:xfrm xmlns:a="http://schemas.openxmlformats.org/drawingml/2006/main">
          <a:off x="857250" y="781050"/>
          <a:ext cx="1393915" cy="295251"/>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Republic of China</a:t>
          </a:r>
          <a:endParaRPr lang="en-US" sz="1200" i="0">
            <a:solidFill>
              <a:srgbClr val="808080"/>
            </a:solidFill>
          </a:endParaRPr>
        </a:p>
      </cdr:txBody>
    </cdr:sp>
  </cdr:relSizeAnchor>
</c:userShapes>
</file>

<file path=xl/drawings/drawing35.xml><?xml version="1.0" encoding="utf-8"?>
<c:userShapes xmlns:c="http://schemas.openxmlformats.org/drawingml/2006/chart">
  <cdr:relSizeAnchor xmlns:cdr="http://schemas.openxmlformats.org/drawingml/2006/chartDrawing">
    <cdr:from>
      <cdr:x>0.76826</cdr:x>
      <cdr:y>0.23931</cdr:y>
    </cdr:from>
    <cdr:to>
      <cdr:x>0.88889</cdr:x>
      <cdr:y>0.39904</cdr:y>
    </cdr:to>
    <cdr:sp macro="" textlink="">
      <cdr:nvSpPr>
        <cdr:cNvPr id="2" name="TextBox 1"/>
        <cdr:cNvSpPr txBox="1"/>
      </cdr:nvSpPr>
      <cdr:spPr>
        <a:xfrm xmlns:a="http://schemas.openxmlformats.org/drawingml/2006/main">
          <a:off x="4610133" y="656465"/>
          <a:ext cx="723871" cy="4381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logistic model</a:t>
          </a:r>
        </a:p>
      </cdr:txBody>
    </cdr:sp>
  </cdr:relSizeAnchor>
  <cdr:relSizeAnchor xmlns:cdr="http://schemas.openxmlformats.org/drawingml/2006/chartDrawing">
    <cdr:from>
      <cdr:x>0.27778</cdr:x>
      <cdr:y>0.30208</cdr:y>
    </cdr:from>
    <cdr:to>
      <cdr:x>0.56667</cdr:x>
      <cdr:y>0.40625</cdr:y>
    </cdr:to>
    <cdr:sp macro="" textlink="">
      <cdr:nvSpPr>
        <cdr:cNvPr id="3" name="TextBox 1"/>
        <cdr:cNvSpPr txBox="1"/>
      </cdr:nvSpPr>
      <cdr:spPr>
        <a:xfrm xmlns:a="http://schemas.openxmlformats.org/drawingml/2006/main">
          <a:off x="1666886" y="828669"/>
          <a:ext cx="1733557" cy="2857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0.39048</cdr:x>
      <cdr:y>0.08897</cdr:y>
    </cdr:from>
    <cdr:to>
      <cdr:x>0.69933</cdr:x>
      <cdr:y>0.20009</cdr:y>
    </cdr:to>
    <cdr:sp macro="" textlink="">
      <cdr:nvSpPr>
        <cdr:cNvPr id="4" name="TextBox 1"/>
        <cdr:cNvSpPr txBox="1"/>
      </cdr:nvSpPr>
      <cdr:spPr>
        <a:xfrm xmlns:a="http://schemas.openxmlformats.org/drawingml/2006/main">
          <a:off x="2343150" y="244063"/>
          <a:ext cx="1853355" cy="3048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Current estimate (139Gt)</a:t>
          </a:r>
          <a:endParaRPr lang="en-US" sz="1200" i="0">
            <a:solidFill>
              <a:srgbClr val="808080"/>
            </a:solidFill>
          </a:endParaRPr>
        </a:p>
      </cdr:txBody>
    </cdr:sp>
  </cdr:relSizeAnchor>
  <cdr:relSizeAnchor xmlns:cdr="http://schemas.openxmlformats.org/drawingml/2006/chartDrawing">
    <cdr:from>
      <cdr:x>0.24762</cdr:x>
      <cdr:y>0</cdr:y>
    </cdr:from>
    <cdr:to>
      <cdr:x>0.69012</cdr:x>
      <cdr:y>0.11112</cdr:y>
    </cdr:to>
    <cdr:sp macro="" textlink="">
      <cdr:nvSpPr>
        <cdr:cNvPr id="5" name="TextBox 1"/>
        <cdr:cNvSpPr txBox="1"/>
      </cdr:nvSpPr>
      <cdr:spPr>
        <a:xfrm xmlns:a="http://schemas.openxmlformats.org/drawingml/2006/main">
          <a:off x="1485901" y="0"/>
          <a:ext cx="2655338" cy="3048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fits for long-term production</a:t>
          </a:r>
        </a:p>
      </cdr:txBody>
    </cdr:sp>
  </cdr:relSizeAnchor>
  <cdr:relSizeAnchor xmlns:cdr="http://schemas.openxmlformats.org/drawingml/2006/chartDrawing">
    <cdr:from>
      <cdr:x>0.48413</cdr:x>
      <cdr:y>0.42708</cdr:y>
    </cdr:from>
    <cdr:to>
      <cdr:x>0.83968</cdr:x>
      <cdr:y>0.54861</cdr:y>
    </cdr:to>
    <cdr:sp macro="" textlink="">
      <cdr:nvSpPr>
        <cdr:cNvPr id="6" name="TextBox 1"/>
        <cdr:cNvSpPr txBox="1"/>
      </cdr:nvSpPr>
      <cdr:spPr>
        <a:xfrm xmlns:a="http://schemas.openxmlformats.org/drawingml/2006/main">
          <a:off x="2905125" y="1171575"/>
          <a:ext cx="2133600" cy="333375"/>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People's Republic of China</a:t>
          </a:r>
          <a:endParaRPr lang="en-US" sz="1200" i="0">
            <a:solidFill>
              <a:srgbClr val="808080"/>
            </a:solidFill>
          </a:endParaRPr>
        </a:p>
      </cdr:txBody>
    </cdr:sp>
  </cdr:relSizeAnchor>
  <cdr:relSizeAnchor xmlns:cdr="http://schemas.openxmlformats.org/drawingml/2006/chartDrawing">
    <cdr:from>
      <cdr:x>0.03651</cdr:x>
      <cdr:y>0.55556</cdr:y>
    </cdr:from>
    <cdr:to>
      <cdr:x>0.2688</cdr:x>
      <cdr:y>0.66319</cdr:y>
    </cdr:to>
    <cdr:sp macro="" textlink="">
      <cdr:nvSpPr>
        <cdr:cNvPr id="7" name="TextBox 1"/>
        <cdr:cNvSpPr txBox="1"/>
      </cdr:nvSpPr>
      <cdr:spPr>
        <a:xfrm xmlns:a="http://schemas.openxmlformats.org/drawingml/2006/main">
          <a:off x="219075" y="1524000"/>
          <a:ext cx="1393914" cy="295275"/>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Republic of China</a:t>
          </a:r>
          <a:endParaRPr lang="en-US" sz="1200" i="0">
            <a:solidFill>
              <a:srgbClr val="808080"/>
            </a:solidFill>
          </a:endParaRPr>
        </a:p>
      </cdr:txBody>
    </cdr:sp>
  </cdr:relSizeAnchor>
  <cdr:relSizeAnchor xmlns:cdr="http://schemas.openxmlformats.org/drawingml/2006/chartDrawing">
    <cdr:from>
      <cdr:x>0.35714</cdr:x>
      <cdr:y>0.62848</cdr:y>
    </cdr:from>
    <cdr:to>
      <cdr:x>0.56825</cdr:x>
      <cdr:y>0.75</cdr:y>
    </cdr:to>
    <cdr:sp macro="" textlink="">
      <cdr:nvSpPr>
        <cdr:cNvPr id="8" name="TextBox 1"/>
        <cdr:cNvSpPr txBox="1"/>
      </cdr:nvSpPr>
      <cdr:spPr>
        <a:xfrm xmlns:a="http://schemas.openxmlformats.org/drawingml/2006/main">
          <a:off x="2143135" y="1724034"/>
          <a:ext cx="1266815" cy="333366"/>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1946 civil war</a:t>
          </a:r>
          <a:endParaRPr lang="en-US" sz="1200" i="0">
            <a:solidFill>
              <a:srgbClr val="808080"/>
            </a:solidFill>
          </a:endParaRPr>
        </a:p>
      </cdr:txBody>
    </cdr:sp>
  </cdr:relSizeAnchor>
  <cdr:relSizeAnchor xmlns:cdr="http://schemas.openxmlformats.org/drawingml/2006/chartDrawing">
    <cdr:from>
      <cdr:x>0.31746</cdr:x>
      <cdr:y>0.61806</cdr:y>
    </cdr:from>
    <cdr:to>
      <cdr:x>0.37937</cdr:x>
      <cdr:y>0.67708</cdr:y>
    </cdr:to>
    <cdr:sp macro="" textlink="">
      <cdr:nvSpPr>
        <cdr:cNvPr id="10" name="Straight Arrow Connector 9"/>
        <cdr:cNvSpPr/>
      </cdr:nvSpPr>
      <cdr:spPr>
        <a:xfrm xmlns:a="http://schemas.openxmlformats.org/drawingml/2006/main" rot="10800000">
          <a:off x="1905001" y="1695451"/>
          <a:ext cx="371476" cy="161925"/>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0.90293</cdr:x>
      <cdr:y>0.79566</cdr:y>
    </cdr:from>
    <cdr:to>
      <cdr:x>0.93781</cdr:x>
      <cdr:y>0.89462</cdr:y>
    </cdr:to>
    <cdr:sp macro="" textlink="">
      <cdr:nvSpPr>
        <cdr:cNvPr id="11" name="Rectangle 10"/>
        <cdr:cNvSpPr/>
      </cdr:nvSpPr>
      <cdr:spPr>
        <a:xfrm xmlns:a="http://schemas.openxmlformats.org/drawingml/2006/main">
          <a:off x="5418282" y="2182643"/>
          <a:ext cx="209262" cy="271490"/>
        </a:xfrm>
        <a:prstGeom xmlns:a="http://schemas.openxmlformats.org/drawingml/2006/main" prst="rect">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0.16825</cdr:x>
      <cdr:y>0.67361</cdr:y>
    </cdr:from>
    <cdr:to>
      <cdr:x>0.33175</cdr:x>
      <cdr:y>0.78125</cdr:y>
    </cdr:to>
    <cdr:sp macro="" textlink="">
      <cdr:nvSpPr>
        <cdr:cNvPr id="12" name="TextBox 1"/>
        <cdr:cNvSpPr txBox="1"/>
      </cdr:nvSpPr>
      <cdr:spPr>
        <a:xfrm xmlns:a="http://schemas.openxmlformats.org/drawingml/2006/main">
          <a:off x="1009649" y="1847850"/>
          <a:ext cx="981075" cy="2952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logistic fit</a:t>
          </a:r>
        </a:p>
      </cdr:txBody>
    </cdr:sp>
  </cdr:relSizeAnchor>
</c:userShapes>
</file>

<file path=xl/drawings/drawing36.xml><?xml version="1.0" encoding="utf-8"?>
<c:userShapes xmlns:c="http://schemas.openxmlformats.org/drawingml/2006/chart">
  <cdr:relSizeAnchor xmlns:cdr="http://schemas.openxmlformats.org/drawingml/2006/chartDrawing">
    <cdr:from>
      <cdr:x>0.67302</cdr:x>
      <cdr:y>0.32987</cdr:y>
    </cdr:from>
    <cdr:to>
      <cdr:x>0.84763</cdr:x>
      <cdr:y>0.62847</cdr:y>
    </cdr:to>
    <cdr:sp macro="" textlink="">
      <cdr:nvSpPr>
        <cdr:cNvPr id="5" name="TextBox 1"/>
        <cdr:cNvSpPr txBox="1"/>
      </cdr:nvSpPr>
      <cdr:spPr>
        <a:xfrm xmlns:a="http://schemas.openxmlformats.org/drawingml/2006/main">
          <a:off x="4038819" y="904899"/>
          <a:ext cx="1047842" cy="81912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long-term production estimates</a:t>
          </a:r>
        </a:p>
      </cdr:txBody>
    </cdr:sp>
  </cdr:relSizeAnchor>
  <cdr:relSizeAnchor xmlns:cdr="http://schemas.openxmlformats.org/drawingml/2006/chartDrawing">
    <cdr:from>
      <cdr:x>0.22221</cdr:x>
      <cdr:y>0.34027</cdr:y>
    </cdr:from>
    <cdr:to>
      <cdr:x>0.41746</cdr:x>
      <cdr:y>0.57639</cdr:y>
    </cdr:to>
    <cdr:sp macro="" textlink="">
      <cdr:nvSpPr>
        <cdr:cNvPr id="6" name="TextBox 1"/>
        <cdr:cNvSpPr txBox="1"/>
      </cdr:nvSpPr>
      <cdr:spPr>
        <a:xfrm xmlns:a="http://schemas.openxmlformats.org/drawingml/2006/main">
          <a:off x="1333447" y="933438"/>
          <a:ext cx="1171646" cy="6477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Foreign survey responses</a:t>
          </a:r>
          <a:endParaRPr lang="en-US" sz="1200" i="1">
            <a:solidFill>
              <a:srgbClr val="333399"/>
            </a:solidFill>
          </a:endParaRPr>
        </a:p>
      </cdr:txBody>
    </cdr:sp>
  </cdr:relSizeAnchor>
  <cdr:relSizeAnchor xmlns:cdr="http://schemas.openxmlformats.org/drawingml/2006/chartDrawing">
    <cdr:from>
      <cdr:x>0.42064</cdr:x>
      <cdr:y>0.21875</cdr:y>
    </cdr:from>
    <cdr:to>
      <cdr:x>0.63334</cdr:x>
      <cdr:y>0.40278</cdr:y>
    </cdr:to>
    <cdr:sp macro="" textlink="">
      <cdr:nvSpPr>
        <cdr:cNvPr id="7" name="TextBox 1"/>
        <cdr:cNvSpPr txBox="1"/>
      </cdr:nvSpPr>
      <cdr:spPr>
        <a:xfrm xmlns:a="http://schemas.openxmlformats.org/drawingml/2006/main">
          <a:off x="2524135" y="600075"/>
          <a:ext cx="1276359" cy="50483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Chinese survey responses</a:t>
          </a:r>
          <a:endParaRPr lang="en-US" sz="1200" i="1">
            <a:solidFill>
              <a:srgbClr val="333399"/>
            </a:solidFill>
          </a:endParaRPr>
        </a:p>
      </cdr:txBody>
    </cdr:sp>
  </cdr:relSizeAnchor>
  <cdr:relSizeAnchor xmlns:cdr="http://schemas.openxmlformats.org/drawingml/2006/chartDrawing">
    <cdr:from>
      <cdr:x>0.15813</cdr:x>
      <cdr:y>0.10027</cdr:y>
    </cdr:from>
    <cdr:to>
      <cdr:x>0.2387</cdr:x>
      <cdr:y>0.34509</cdr:y>
    </cdr:to>
    <cdr:sp macro="" textlink="">
      <cdr:nvSpPr>
        <cdr:cNvPr id="10" name="Straight Arrow Connector 9"/>
        <cdr:cNvSpPr/>
      </cdr:nvSpPr>
      <cdr:spPr>
        <a:xfrm xmlns:a="http://schemas.openxmlformats.org/drawingml/2006/main" rot="16200000" flipV="1">
          <a:off x="948891" y="277812"/>
          <a:ext cx="483467" cy="678297"/>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0.37424</cdr:x>
      <cdr:y>0.50135</cdr:y>
    </cdr:from>
    <cdr:to>
      <cdr:x>0.54981</cdr:x>
      <cdr:y>0.74226</cdr:y>
    </cdr:to>
    <cdr:sp macro="" textlink="">
      <cdr:nvSpPr>
        <cdr:cNvPr id="11" name="Straight Arrow Connector 10"/>
        <cdr:cNvSpPr/>
      </cdr:nvSpPr>
      <cdr:spPr>
        <a:xfrm xmlns:a="http://schemas.openxmlformats.org/drawingml/2006/main" rot="16200000" flipH="1">
          <a:off x="2442204" y="1178934"/>
          <a:ext cx="660865" cy="1053603"/>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0.59824</cdr:x>
      <cdr:y>0.32555</cdr:y>
    </cdr:from>
    <cdr:to>
      <cdr:x>0.68256</cdr:x>
      <cdr:y>0.68403</cdr:y>
    </cdr:to>
    <cdr:sp macro="" textlink="">
      <cdr:nvSpPr>
        <cdr:cNvPr id="12" name="Straight Arrow Connector 11"/>
        <cdr:cNvSpPr/>
      </cdr:nvSpPr>
      <cdr:spPr>
        <a:xfrm xmlns:a="http://schemas.openxmlformats.org/drawingml/2006/main" rot="16200000" flipH="1">
          <a:off x="3351363" y="1131750"/>
          <a:ext cx="983378" cy="505980"/>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0.59704</cdr:x>
      <cdr:y>0.26389</cdr:y>
    </cdr:from>
    <cdr:to>
      <cdr:x>0.65081</cdr:x>
      <cdr:y>0.32425</cdr:y>
    </cdr:to>
    <cdr:sp macro="" textlink="">
      <cdr:nvSpPr>
        <cdr:cNvPr id="13" name="Straight Arrow Connector 12"/>
        <cdr:cNvSpPr/>
      </cdr:nvSpPr>
      <cdr:spPr>
        <a:xfrm xmlns:a="http://schemas.openxmlformats.org/drawingml/2006/main" rot="16200000">
          <a:off x="3661412" y="645352"/>
          <a:ext cx="165580" cy="322681"/>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37.xml><?xml version="1.0" encoding="utf-8"?>
<xdr:wsDr xmlns:xdr="http://schemas.openxmlformats.org/drawingml/2006/spreadsheetDrawing" xmlns:a="http://schemas.openxmlformats.org/drawingml/2006/main">
  <xdr:twoCellAnchor>
    <xdr:from>
      <xdr:col>1</xdr:col>
      <xdr:colOff>47625</xdr:colOff>
      <xdr:row>38</xdr:row>
      <xdr:rowOff>95250</xdr:rowOff>
    </xdr:from>
    <xdr:to>
      <xdr:col>1</xdr:col>
      <xdr:colOff>5915025</xdr:colOff>
      <xdr:row>57</xdr:row>
      <xdr:rowOff>123825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17</xdr:row>
      <xdr:rowOff>66675</xdr:rowOff>
    </xdr:from>
    <xdr:to>
      <xdr:col>1</xdr:col>
      <xdr:colOff>5962650</xdr:colOff>
      <xdr:row>36</xdr:row>
      <xdr:rowOff>95250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60</xdr:row>
      <xdr:rowOff>0</xdr:rowOff>
    </xdr:from>
    <xdr:to>
      <xdr:col>1</xdr:col>
      <xdr:colOff>6000750</xdr:colOff>
      <xdr:row>79</xdr:row>
      <xdr:rowOff>28575</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82</xdr:row>
      <xdr:rowOff>0</xdr:rowOff>
    </xdr:from>
    <xdr:to>
      <xdr:col>1</xdr:col>
      <xdr:colOff>6000750</xdr:colOff>
      <xdr:row>101</xdr:row>
      <xdr:rowOff>28575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104</xdr:row>
      <xdr:rowOff>0</xdr:rowOff>
    </xdr:from>
    <xdr:to>
      <xdr:col>1</xdr:col>
      <xdr:colOff>6000750</xdr:colOff>
      <xdr:row>123</xdr:row>
      <xdr:rowOff>28575</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8.xml><?xml version="1.0" encoding="utf-8"?>
<c:userShapes xmlns:c="http://schemas.openxmlformats.org/drawingml/2006/chart">
  <cdr:relSizeAnchor xmlns:cdr="http://schemas.openxmlformats.org/drawingml/2006/chartDrawing">
    <cdr:from>
      <cdr:x>0.38636</cdr:x>
      <cdr:y>0.05556</cdr:y>
    </cdr:from>
    <cdr:to>
      <cdr:x>0.75649</cdr:x>
      <cdr:y>0.24653</cdr:y>
    </cdr:to>
    <cdr:sp macro="" textlink="">
      <cdr:nvSpPr>
        <cdr:cNvPr id="2" name="TextBox 1"/>
        <cdr:cNvSpPr txBox="1"/>
      </cdr:nvSpPr>
      <cdr:spPr>
        <a:xfrm xmlns:a="http://schemas.openxmlformats.org/drawingml/2006/main">
          <a:off x="2266953" y="152400"/>
          <a:ext cx="2171697" cy="5238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Current trend 1977 to 2009 </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10% -90% 1975-2048</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a:solidFill>
              <a:srgbClr val="808080"/>
            </a:solidFill>
          </a:endParaRPr>
        </a:p>
      </cdr:txBody>
    </cdr:sp>
  </cdr:relSizeAnchor>
  <cdr:relSizeAnchor xmlns:cdr="http://schemas.openxmlformats.org/drawingml/2006/chartDrawing">
    <cdr:from>
      <cdr:x>0.42694</cdr:x>
      <cdr:y>0.5</cdr:y>
    </cdr:from>
    <cdr:to>
      <cdr:x>0.70942</cdr:x>
      <cdr:y>0.68056</cdr:y>
    </cdr:to>
    <cdr:sp macro="" textlink="">
      <cdr:nvSpPr>
        <cdr:cNvPr id="3" name="TextBox 1"/>
        <cdr:cNvSpPr txBox="1"/>
      </cdr:nvSpPr>
      <cdr:spPr>
        <a:xfrm xmlns:a="http://schemas.openxmlformats.org/drawingml/2006/main">
          <a:off x="2505028" y="1371600"/>
          <a:ext cx="1657397" cy="49531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Early trend 1935-1976</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10%-90% 1974-2096</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a:solidFill>
              <a:srgbClr val="808080"/>
            </a:solidFill>
          </a:endParaRPr>
        </a:p>
      </cdr:txBody>
    </cdr:sp>
  </cdr:relSizeAnchor>
  <cdr:relSizeAnchor xmlns:cdr="http://schemas.openxmlformats.org/drawingml/2006/chartDrawing">
    <cdr:from>
      <cdr:x>0.02323</cdr:x>
      <cdr:y>0.2946</cdr:y>
    </cdr:from>
    <cdr:to>
      <cdr:x>0.46591</cdr:x>
      <cdr:y>0.53125</cdr:y>
    </cdr:to>
    <cdr:sp macro="" textlink="">
      <cdr:nvSpPr>
        <cdr:cNvPr id="4" name="TextBox 1"/>
        <cdr:cNvSpPr txBox="1"/>
      </cdr:nvSpPr>
      <cdr:spPr>
        <a:xfrm xmlns:a="http://schemas.openxmlformats.org/drawingml/2006/main">
          <a:off x="136299" y="808153"/>
          <a:ext cx="2597376" cy="64917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Joint estimate 1935 to 2009</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 long-term production estimate 18Gt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weighted </a:t>
          </a:r>
          <a:r>
            <a:rPr kumimoji="0" lang="en-US" sz="1200" b="0" i="1" u="none" strike="noStrike" kern="0" cap="none" spc="0" normalizeH="0" baseline="0" noProof="0">
              <a:ln>
                <a:noFill/>
              </a:ln>
              <a:solidFill>
                <a:srgbClr val="808080"/>
              </a:solidFill>
              <a:effectLst/>
              <a:uLnTx/>
              <a:uFillTx/>
              <a:latin typeface="+mn-lt"/>
              <a:ea typeface="+mn-ea"/>
              <a:cs typeface="+mn-cs"/>
            </a:rPr>
            <a:t>r</a:t>
          </a:r>
          <a:r>
            <a:rPr kumimoji="0" lang="en-US" sz="1200" b="0" i="0" u="none" strike="noStrike" kern="0" cap="none" spc="0" normalizeH="0" baseline="30000" noProof="0">
              <a:ln>
                <a:noFill/>
              </a:ln>
              <a:solidFill>
                <a:srgbClr val="808080"/>
              </a:solidFill>
              <a:effectLst/>
              <a:uLnTx/>
              <a:uFillTx/>
              <a:latin typeface="+mn-lt"/>
              <a:ea typeface="+mn-ea"/>
              <a:cs typeface="+mn-cs"/>
            </a:rPr>
            <a:t>2</a:t>
          </a:r>
          <a:r>
            <a:rPr kumimoji="0" lang="en-US" sz="1200" b="0" i="0" u="none" strike="noStrike" kern="0" cap="none" spc="0" normalizeH="0" baseline="0" noProof="0">
              <a:ln>
                <a:noFill/>
              </a:ln>
              <a:solidFill>
                <a:srgbClr val="808080"/>
              </a:solidFill>
              <a:effectLst/>
              <a:uLnTx/>
              <a:uFillTx/>
              <a:latin typeface="+mn-lt"/>
              <a:ea typeface="+mn-ea"/>
              <a:cs typeface="+mn-cs"/>
            </a:rPr>
            <a:t> = 0.99988</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baseline="0">
            <a:solidFill>
              <a:srgbClr val="808080"/>
            </a:solidFill>
          </a:endParaRP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a:solidFill>
              <a:srgbClr val="808080"/>
            </a:solidFill>
          </a:endParaRPr>
        </a:p>
      </cdr:txBody>
    </cdr:sp>
  </cdr:relSizeAnchor>
  <cdr:relSizeAnchor xmlns:cdr="http://schemas.openxmlformats.org/drawingml/2006/chartDrawing">
    <cdr:from>
      <cdr:x>0.63799</cdr:x>
      <cdr:y>0.25694</cdr:y>
    </cdr:from>
    <cdr:to>
      <cdr:x>0.8263</cdr:x>
      <cdr:y>0.35069</cdr:y>
    </cdr:to>
    <cdr:sp macro="" textlink="">
      <cdr:nvSpPr>
        <cdr:cNvPr id="5" name="TextBox 1"/>
        <cdr:cNvSpPr txBox="1"/>
      </cdr:nvSpPr>
      <cdr:spPr>
        <a:xfrm xmlns:a="http://schemas.openxmlformats.org/drawingml/2006/main">
          <a:off x="3743326" y="704850"/>
          <a:ext cx="1104900"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008000"/>
              </a:solidFill>
            </a:rPr>
            <a:t>probit(</a:t>
          </a:r>
          <a:r>
            <a:rPr lang="en-US" sz="1200" i="1" baseline="0">
              <a:solidFill>
                <a:srgbClr val="008000"/>
              </a:solidFill>
            </a:rPr>
            <a:t>q</a:t>
          </a:r>
          <a:r>
            <a:rPr lang="en-US" sz="1200" i="0" baseline="0">
              <a:solidFill>
                <a:srgbClr val="008000"/>
              </a:solidFill>
            </a:rPr>
            <a:t>/</a:t>
          </a:r>
          <a:r>
            <a:rPr lang="en-US" sz="1200" i="1" baseline="0">
              <a:solidFill>
                <a:srgbClr val="008000"/>
              </a:solidFill>
            </a:rPr>
            <a:t>Q</a:t>
          </a:r>
          <a:r>
            <a:rPr lang="en-US" sz="1200" i="0" baseline="0">
              <a:solidFill>
                <a:srgbClr val="008000"/>
              </a:solidFill>
            </a:rPr>
            <a:t>)</a:t>
          </a:r>
          <a:endParaRPr lang="en-US" sz="1200" i="0">
            <a:solidFill>
              <a:srgbClr val="008000"/>
            </a:solidFill>
          </a:endParaRPr>
        </a:p>
      </cdr:txBody>
    </cdr:sp>
  </cdr:relSizeAnchor>
</c:userShapes>
</file>

<file path=xl/drawings/drawing39.xml><?xml version="1.0" encoding="utf-8"?>
<c:userShapes xmlns:c="http://schemas.openxmlformats.org/drawingml/2006/chart">
  <cdr:relSizeAnchor xmlns:cdr="http://schemas.openxmlformats.org/drawingml/2006/chartDrawing">
    <cdr:from>
      <cdr:x>0.20455</cdr:x>
      <cdr:y>0.21608</cdr:y>
    </cdr:from>
    <cdr:to>
      <cdr:x>0.61638</cdr:x>
      <cdr:y>0.41319</cdr:y>
    </cdr:to>
    <cdr:sp macro="" textlink="">
      <cdr:nvSpPr>
        <cdr:cNvPr id="2" name="TextBox 1"/>
        <cdr:cNvSpPr txBox="1"/>
      </cdr:nvSpPr>
      <cdr:spPr>
        <a:xfrm xmlns:a="http://schemas.openxmlformats.org/drawingml/2006/main">
          <a:off x="1200177" y="592751"/>
          <a:ext cx="2416371" cy="54072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200">
              <a:solidFill>
                <a:srgbClr val="808080"/>
              </a:solidFill>
            </a:rPr>
            <a:t>1980</a:t>
          </a:r>
          <a:r>
            <a:rPr lang="en-US" sz="1200" baseline="0">
              <a:solidFill>
                <a:srgbClr val="808080"/>
              </a:solidFill>
            </a:rPr>
            <a:t> </a:t>
          </a:r>
          <a:r>
            <a:rPr lang="en-US" sz="1200">
              <a:solidFill>
                <a:srgbClr val="808080"/>
              </a:solidFill>
            </a:rPr>
            <a:t>SASOL</a:t>
          </a:r>
          <a:r>
            <a:rPr lang="en-US" sz="1200" baseline="0">
              <a:solidFill>
                <a:srgbClr val="808080"/>
              </a:solidFill>
            </a:rPr>
            <a:t> completes plant to make synthetic gasoline from coal</a:t>
          </a:r>
          <a:endParaRPr lang="en-US" sz="1200">
            <a:solidFill>
              <a:srgbClr val="808080"/>
            </a:solidFill>
          </a:endParaRPr>
        </a:p>
      </cdr:txBody>
    </cdr:sp>
  </cdr:relSizeAnchor>
  <cdr:relSizeAnchor xmlns:cdr="http://schemas.openxmlformats.org/drawingml/2006/chartDrawing">
    <cdr:from>
      <cdr:x>0.59725</cdr:x>
      <cdr:y>0.35919</cdr:y>
    </cdr:from>
    <cdr:to>
      <cdr:x>0.6506</cdr:x>
      <cdr:y>0.45379</cdr:y>
    </cdr:to>
    <cdr:sp macro="" textlink="">
      <cdr:nvSpPr>
        <cdr:cNvPr id="4" name="Straight Arrow Connector 3"/>
        <cdr:cNvSpPr/>
      </cdr:nvSpPr>
      <cdr:spPr>
        <a:xfrm xmlns:a="http://schemas.openxmlformats.org/drawingml/2006/main">
          <a:off x="3504306" y="985330"/>
          <a:ext cx="313021" cy="259514"/>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40.xml><?xml version="1.0" encoding="utf-8"?>
<c:userShapes xmlns:c="http://schemas.openxmlformats.org/drawingml/2006/chart">
  <cdr:relSizeAnchor xmlns:cdr="http://schemas.openxmlformats.org/drawingml/2006/chartDrawing">
    <cdr:from>
      <cdr:x>0.32961</cdr:x>
      <cdr:y>0.0064</cdr:y>
    </cdr:from>
    <cdr:to>
      <cdr:x>0.69365</cdr:x>
      <cdr:y>0.22917</cdr:y>
    </cdr:to>
    <cdr:sp macro="" textlink="">
      <cdr:nvSpPr>
        <cdr:cNvPr id="4" name="TextBox 1"/>
        <cdr:cNvSpPr txBox="1"/>
      </cdr:nvSpPr>
      <cdr:spPr>
        <a:xfrm xmlns:a="http://schemas.openxmlformats.org/drawingml/2006/main">
          <a:off x="1977883" y="17568"/>
          <a:ext cx="2184542" cy="611081"/>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Largest residual from 1935 on is 5 months in 1976, at the boundary between the trends</a:t>
          </a:r>
          <a:endParaRPr lang="en-US" sz="1200" i="0">
            <a:solidFill>
              <a:srgbClr val="808080"/>
            </a:solidFill>
          </a:endParaRPr>
        </a:p>
      </cdr:txBody>
    </cdr:sp>
  </cdr:relSizeAnchor>
  <cdr:relSizeAnchor xmlns:cdr="http://schemas.openxmlformats.org/drawingml/2006/chartDrawing">
    <cdr:from>
      <cdr:x>0.51746</cdr:x>
      <cdr:y>0.23958</cdr:y>
    </cdr:from>
    <cdr:to>
      <cdr:x>0.55714</cdr:x>
      <cdr:y>0.34722</cdr:y>
    </cdr:to>
    <cdr:sp macro="" textlink="">
      <cdr:nvSpPr>
        <cdr:cNvPr id="6" name="Straight Arrow Connector 5"/>
        <cdr:cNvSpPr/>
      </cdr:nvSpPr>
      <cdr:spPr>
        <a:xfrm xmlns:a="http://schemas.openxmlformats.org/drawingml/2006/main" rot="16200000" flipH="1">
          <a:off x="3076571" y="685809"/>
          <a:ext cx="295267" cy="238105"/>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41.xml><?xml version="1.0" encoding="utf-8"?>
<c:userShapes xmlns:c="http://schemas.openxmlformats.org/drawingml/2006/chart">
  <cdr:relSizeAnchor xmlns:cdr="http://schemas.openxmlformats.org/drawingml/2006/chartDrawing">
    <cdr:from>
      <cdr:x>0.55079</cdr:x>
      <cdr:y>0.5382</cdr:y>
    </cdr:from>
    <cdr:to>
      <cdr:x>0.89682</cdr:x>
      <cdr:y>0.64583</cdr:y>
    </cdr:to>
    <cdr:sp macro="" textlink="">
      <cdr:nvSpPr>
        <cdr:cNvPr id="2" name="TextBox 1"/>
        <cdr:cNvSpPr txBox="1"/>
      </cdr:nvSpPr>
      <cdr:spPr>
        <a:xfrm xmlns:a="http://schemas.openxmlformats.org/drawingml/2006/main">
          <a:off x="3305175" y="1476379"/>
          <a:ext cx="2076428" cy="2952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Cumulative normal model</a:t>
          </a:r>
        </a:p>
      </cdr:txBody>
    </cdr:sp>
  </cdr:relSizeAnchor>
  <cdr:relSizeAnchor xmlns:cdr="http://schemas.openxmlformats.org/drawingml/2006/chartDrawing">
    <cdr:from>
      <cdr:x>0.46667</cdr:x>
      <cdr:y>0.72569</cdr:y>
    </cdr:from>
    <cdr:to>
      <cdr:x>0.75556</cdr:x>
      <cdr:y>0.82986</cdr:y>
    </cdr:to>
    <cdr:sp macro="" textlink="">
      <cdr:nvSpPr>
        <cdr:cNvPr id="3" name="TextBox 1"/>
        <cdr:cNvSpPr txBox="1"/>
      </cdr:nvSpPr>
      <cdr:spPr>
        <a:xfrm xmlns:a="http://schemas.openxmlformats.org/drawingml/2006/main">
          <a:off x="2800362" y="1990719"/>
          <a:ext cx="1733557" cy="2857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0.33968</cdr:x>
      <cdr:y>0.42665</cdr:y>
    </cdr:from>
    <cdr:to>
      <cdr:x>0.55909</cdr:x>
      <cdr:y>0.53777</cdr:y>
    </cdr:to>
    <cdr:sp macro="" textlink="">
      <cdr:nvSpPr>
        <cdr:cNvPr id="4" name="TextBox 1"/>
        <cdr:cNvSpPr txBox="1"/>
      </cdr:nvSpPr>
      <cdr:spPr>
        <a:xfrm xmlns:a="http://schemas.openxmlformats.org/drawingml/2006/main">
          <a:off x="2038350" y="1170386"/>
          <a:ext cx="1316600" cy="3048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Current fit (18Gt)</a:t>
          </a:r>
          <a:endParaRPr lang="en-US" sz="1200" i="0">
            <a:solidFill>
              <a:srgbClr val="808080"/>
            </a:solidFill>
          </a:endParaRPr>
        </a:p>
      </cdr:txBody>
    </cdr:sp>
  </cdr:relSizeAnchor>
  <cdr:relSizeAnchor xmlns:cdr="http://schemas.openxmlformats.org/drawingml/2006/chartDrawing">
    <cdr:from>
      <cdr:x>0.16825</cdr:x>
      <cdr:y>0.00347</cdr:y>
    </cdr:from>
    <cdr:to>
      <cdr:x>0.42382</cdr:x>
      <cdr:y>0.1875</cdr:y>
    </cdr:to>
    <cdr:sp macro="" textlink="">
      <cdr:nvSpPr>
        <cdr:cNvPr id="5" name="TextBox 1"/>
        <cdr:cNvSpPr txBox="1"/>
      </cdr:nvSpPr>
      <cdr:spPr>
        <a:xfrm xmlns:a="http://schemas.openxmlformats.org/drawingml/2006/main">
          <a:off x="1009651" y="9512"/>
          <a:ext cx="1533604" cy="50483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fits for long-term production</a:t>
          </a:r>
        </a:p>
      </cdr:txBody>
    </cdr:sp>
  </cdr:relSizeAnchor>
</c:userShapes>
</file>

<file path=xl/drawings/drawing42.xml><?xml version="1.0" encoding="utf-8"?>
<c:userShapes xmlns:c="http://schemas.openxmlformats.org/drawingml/2006/chart">
  <cdr:relSizeAnchor xmlns:cdr="http://schemas.openxmlformats.org/drawingml/2006/chartDrawing">
    <cdr:from>
      <cdr:x>0.07203</cdr:x>
      <cdr:y>0.64984</cdr:y>
    </cdr:from>
    <cdr:to>
      <cdr:x>0.3304</cdr:x>
      <cdr:y>0.83013</cdr:y>
    </cdr:to>
    <cdr:sp macro="" textlink="">
      <cdr:nvSpPr>
        <cdr:cNvPr id="5" name="TextBox 1"/>
        <cdr:cNvSpPr txBox="1"/>
      </cdr:nvSpPr>
      <cdr:spPr>
        <a:xfrm xmlns:a="http://schemas.openxmlformats.org/drawingml/2006/main">
          <a:off x="432244" y="1782647"/>
          <a:ext cx="1550413" cy="4945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long-term production estimates</a:t>
          </a:r>
        </a:p>
      </cdr:txBody>
    </cdr:sp>
  </cdr:relSizeAnchor>
  <cdr:relSizeAnchor xmlns:cdr="http://schemas.openxmlformats.org/drawingml/2006/chartDrawing">
    <cdr:from>
      <cdr:x>0.56753</cdr:x>
      <cdr:y>0.13702</cdr:y>
    </cdr:from>
    <cdr:to>
      <cdr:x>0.81197</cdr:x>
      <cdr:y>0.3726</cdr:y>
    </cdr:to>
    <cdr:sp macro="" textlink="">
      <cdr:nvSpPr>
        <cdr:cNvPr id="6" name="TextBox 1"/>
        <cdr:cNvSpPr txBox="1"/>
      </cdr:nvSpPr>
      <cdr:spPr>
        <a:xfrm xmlns:a="http://schemas.openxmlformats.org/drawingml/2006/main">
          <a:off x="3405591" y="375873"/>
          <a:ext cx="1466823" cy="64624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Reserves in international surveys</a:t>
          </a:r>
          <a:endParaRPr lang="en-US" sz="1200" i="1">
            <a:solidFill>
              <a:srgbClr val="333399"/>
            </a:solidFill>
          </a:endParaRPr>
        </a:p>
      </cdr:txBody>
    </cdr:sp>
  </cdr:relSizeAnchor>
  <cdr:relSizeAnchor xmlns:cdr="http://schemas.openxmlformats.org/drawingml/2006/chartDrawing">
    <cdr:from>
      <cdr:x>0.2094</cdr:x>
      <cdr:y>0.12286</cdr:y>
    </cdr:from>
    <cdr:to>
      <cdr:x>0.25092</cdr:x>
      <cdr:y>0.24172</cdr:y>
    </cdr:to>
    <cdr:sp macro="" textlink="">
      <cdr:nvSpPr>
        <cdr:cNvPr id="7" name="Straight Arrow Connector 6"/>
        <cdr:cNvSpPr/>
      </cdr:nvSpPr>
      <cdr:spPr>
        <a:xfrm xmlns:a="http://schemas.openxmlformats.org/drawingml/2006/main" rot="10800000" flipH="1">
          <a:off x="1256567" y="337037"/>
          <a:ext cx="249115" cy="326049"/>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0.08889</cdr:x>
      <cdr:y>0.45807</cdr:y>
    </cdr:from>
    <cdr:to>
      <cdr:x>0.14286</cdr:x>
      <cdr:y>0.59375</cdr:y>
    </cdr:to>
    <cdr:sp macro="" textlink="">
      <cdr:nvSpPr>
        <cdr:cNvPr id="8" name="Straight Arrow Connector 7"/>
        <cdr:cNvSpPr/>
      </cdr:nvSpPr>
      <cdr:spPr>
        <a:xfrm xmlns:a="http://schemas.openxmlformats.org/drawingml/2006/main" rot="10800000" flipV="1">
          <a:off x="533399" y="1256567"/>
          <a:ext cx="323849" cy="372208"/>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0.51465</cdr:x>
      <cdr:y>0.37126</cdr:y>
    </cdr:from>
    <cdr:to>
      <cdr:x>0.6917</cdr:x>
      <cdr:y>0.51015</cdr:y>
    </cdr:to>
    <cdr:sp macro="" textlink="">
      <cdr:nvSpPr>
        <cdr:cNvPr id="9" name="Straight Arrow Connector 8"/>
        <cdr:cNvSpPr/>
      </cdr:nvSpPr>
      <cdr:spPr>
        <a:xfrm xmlns:a="http://schemas.openxmlformats.org/drawingml/2006/main" rot="10800000" flipV="1">
          <a:off x="3088298" y="1018442"/>
          <a:ext cx="1062403" cy="381010"/>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0.6917</cdr:x>
      <cdr:y>0.36993</cdr:y>
    </cdr:from>
    <cdr:to>
      <cdr:x>0.71001</cdr:x>
      <cdr:y>0.56891</cdr:y>
    </cdr:to>
    <cdr:sp macro="" textlink="">
      <cdr:nvSpPr>
        <cdr:cNvPr id="10" name="Straight Arrow Connector 9"/>
        <cdr:cNvSpPr/>
      </cdr:nvSpPr>
      <cdr:spPr>
        <a:xfrm xmlns:a="http://schemas.openxmlformats.org/drawingml/2006/main" rot="10800000" flipH="1" flipV="1">
          <a:off x="4150702" y="1014779"/>
          <a:ext cx="109891" cy="545845"/>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0.02625</cdr:x>
      <cdr:y>0.22569</cdr:y>
    </cdr:from>
    <cdr:to>
      <cdr:x>0.27069</cdr:x>
      <cdr:y>0.46127</cdr:y>
    </cdr:to>
    <cdr:sp macro="" textlink="">
      <cdr:nvSpPr>
        <cdr:cNvPr id="11" name="TextBox 1"/>
        <cdr:cNvSpPr txBox="1"/>
      </cdr:nvSpPr>
      <cdr:spPr>
        <a:xfrm xmlns:a="http://schemas.openxmlformats.org/drawingml/2006/main">
          <a:off x="157529" y="619125"/>
          <a:ext cx="1466823" cy="64624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Reserves in international surveys</a:t>
          </a:r>
          <a:endParaRPr lang="en-US" sz="1200" i="1">
            <a:solidFill>
              <a:srgbClr val="333399"/>
            </a:solidFill>
          </a:endParaRPr>
        </a:p>
      </cdr:txBody>
    </cdr:sp>
  </cdr:relSizeAnchor>
  <cdr:relSizeAnchor xmlns:cdr="http://schemas.openxmlformats.org/drawingml/2006/chartDrawing">
    <cdr:from>
      <cdr:x>0.31428</cdr:x>
      <cdr:y>0.71314</cdr:y>
    </cdr:from>
    <cdr:to>
      <cdr:x>0.38681</cdr:x>
      <cdr:y>0.72981</cdr:y>
    </cdr:to>
    <cdr:sp macro="" textlink="">
      <cdr:nvSpPr>
        <cdr:cNvPr id="14" name="Straight Arrow Connector 13"/>
        <cdr:cNvSpPr/>
      </cdr:nvSpPr>
      <cdr:spPr>
        <a:xfrm xmlns:a="http://schemas.openxmlformats.org/drawingml/2006/main" flipV="1">
          <a:off x="1885920" y="1956286"/>
          <a:ext cx="435235" cy="45729"/>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43.xml><?xml version="1.0" encoding="utf-8"?>
<xdr:wsDr xmlns:xdr="http://schemas.openxmlformats.org/drawingml/2006/spreadsheetDrawing" xmlns:a="http://schemas.openxmlformats.org/drawingml/2006/main">
  <xdr:twoCellAnchor>
    <xdr:from>
      <xdr:col>1</xdr:col>
      <xdr:colOff>47625</xdr:colOff>
      <xdr:row>38</xdr:row>
      <xdr:rowOff>95250</xdr:rowOff>
    </xdr:from>
    <xdr:to>
      <xdr:col>1</xdr:col>
      <xdr:colOff>5915025</xdr:colOff>
      <xdr:row>57</xdr:row>
      <xdr:rowOff>123825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17</xdr:row>
      <xdr:rowOff>66675</xdr:rowOff>
    </xdr:from>
    <xdr:to>
      <xdr:col>1</xdr:col>
      <xdr:colOff>5962650</xdr:colOff>
      <xdr:row>36</xdr:row>
      <xdr:rowOff>95250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60</xdr:row>
      <xdr:rowOff>0</xdr:rowOff>
    </xdr:from>
    <xdr:to>
      <xdr:col>1</xdr:col>
      <xdr:colOff>6000750</xdr:colOff>
      <xdr:row>79</xdr:row>
      <xdr:rowOff>28575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82</xdr:row>
      <xdr:rowOff>0</xdr:rowOff>
    </xdr:from>
    <xdr:to>
      <xdr:col>1</xdr:col>
      <xdr:colOff>6000750</xdr:colOff>
      <xdr:row>101</xdr:row>
      <xdr:rowOff>28575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104</xdr:row>
      <xdr:rowOff>0</xdr:rowOff>
    </xdr:from>
    <xdr:to>
      <xdr:col>1</xdr:col>
      <xdr:colOff>6000750</xdr:colOff>
      <xdr:row>123</xdr:row>
      <xdr:rowOff>28575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4.xml><?xml version="1.0" encoding="utf-8"?>
<c:userShapes xmlns:c="http://schemas.openxmlformats.org/drawingml/2006/chart">
  <cdr:relSizeAnchor xmlns:cdr="http://schemas.openxmlformats.org/drawingml/2006/chartDrawing">
    <cdr:from>
      <cdr:x>0.44481</cdr:x>
      <cdr:y>0.02778</cdr:y>
    </cdr:from>
    <cdr:to>
      <cdr:x>0.82144</cdr:x>
      <cdr:y>0.20486</cdr:y>
    </cdr:to>
    <cdr:sp macro="" textlink="">
      <cdr:nvSpPr>
        <cdr:cNvPr id="2" name="TextBox 1"/>
        <cdr:cNvSpPr txBox="1"/>
      </cdr:nvSpPr>
      <cdr:spPr>
        <a:xfrm xmlns:a="http://schemas.openxmlformats.org/drawingml/2006/main">
          <a:off x="2609849" y="76200"/>
          <a:ext cx="2209841" cy="4857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Current trend 1993 to present </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10%-90% 1999-2078</a:t>
          </a:r>
          <a:endParaRPr lang="en-US" sz="1200" i="0">
            <a:solidFill>
              <a:srgbClr val="808080"/>
            </a:solidFill>
          </a:endParaRPr>
        </a:p>
      </cdr:txBody>
    </cdr:sp>
  </cdr:relSizeAnchor>
  <cdr:relSizeAnchor xmlns:cdr="http://schemas.openxmlformats.org/drawingml/2006/chartDrawing">
    <cdr:from>
      <cdr:x>0.44156</cdr:x>
      <cdr:y>0.41295</cdr:y>
    </cdr:from>
    <cdr:to>
      <cdr:x>0.74026</cdr:x>
      <cdr:y>0.59375</cdr:y>
    </cdr:to>
    <cdr:sp macro="" textlink="">
      <cdr:nvSpPr>
        <cdr:cNvPr id="3" name="TextBox 1"/>
        <cdr:cNvSpPr txBox="1"/>
      </cdr:nvSpPr>
      <cdr:spPr>
        <a:xfrm xmlns:a="http://schemas.openxmlformats.org/drawingml/2006/main">
          <a:off x="2590806" y="1132792"/>
          <a:ext cx="1752592" cy="4959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Early trend through 1992</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10%-90% 1934-2046</a:t>
          </a:r>
          <a:endParaRPr lang="en-US" sz="1200" i="0">
            <a:solidFill>
              <a:srgbClr val="808080"/>
            </a:solidFill>
          </a:endParaRPr>
        </a:p>
      </cdr:txBody>
    </cdr:sp>
  </cdr:relSizeAnchor>
  <cdr:relSizeAnchor xmlns:cdr="http://schemas.openxmlformats.org/drawingml/2006/chartDrawing">
    <cdr:from>
      <cdr:x>0</cdr:x>
      <cdr:y>0.27724</cdr:y>
    </cdr:from>
    <cdr:to>
      <cdr:x>0.36201</cdr:x>
      <cdr:y>0.51389</cdr:y>
    </cdr:to>
    <cdr:sp macro="" textlink="">
      <cdr:nvSpPr>
        <cdr:cNvPr id="4" name="TextBox 1"/>
        <cdr:cNvSpPr txBox="1"/>
      </cdr:nvSpPr>
      <cdr:spPr>
        <a:xfrm xmlns:a="http://schemas.openxmlformats.org/drawingml/2006/main">
          <a:off x="0" y="760525"/>
          <a:ext cx="2124074" cy="64917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Joint trend 1952 to present long-term production 134Gt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weighted </a:t>
          </a:r>
          <a:r>
            <a:rPr kumimoji="0" lang="en-US" sz="1200" b="0" i="1" u="none" strike="noStrike" kern="0" cap="none" spc="0" normalizeH="0" baseline="0" noProof="0">
              <a:ln>
                <a:noFill/>
              </a:ln>
              <a:solidFill>
                <a:srgbClr val="808080"/>
              </a:solidFill>
              <a:effectLst/>
              <a:uLnTx/>
              <a:uFillTx/>
              <a:latin typeface="+mn-lt"/>
              <a:ea typeface="+mn-ea"/>
              <a:cs typeface="+mn-cs"/>
            </a:rPr>
            <a:t>r</a:t>
          </a:r>
          <a:r>
            <a:rPr kumimoji="0" lang="en-US" sz="1200" b="0" i="0" u="none" strike="noStrike" kern="0" cap="none" spc="0" normalizeH="0" baseline="30000" noProof="0">
              <a:ln>
                <a:noFill/>
              </a:ln>
              <a:solidFill>
                <a:srgbClr val="808080"/>
              </a:solidFill>
              <a:effectLst/>
              <a:uLnTx/>
              <a:uFillTx/>
              <a:latin typeface="+mn-lt"/>
              <a:ea typeface="+mn-ea"/>
              <a:cs typeface="+mn-cs"/>
            </a:rPr>
            <a:t>2</a:t>
          </a:r>
          <a:r>
            <a:rPr kumimoji="0" lang="en-US" sz="1200" b="0" i="0" u="none" strike="noStrike" kern="0" cap="none" spc="0" normalizeH="0" baseline="0" noProof="0">
              <a:ln>
                <a:noFill/>
              </a:ln>
              <a:solidFill>
                <a:srgbClr val="808080"/>
              </a:solidFill>
              <a:effectLst/>
              <a:uLnTx/>
              <a:uFillTx/>
              <a:latin typeface="+mn-lt"/>
              <a:ea typeface="+mn-ea"/>
              <a:cs typeface="+mn-cs"/>
            </a:rPr>
            <a:t> = 0.999908</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rgbClr val="808080"/>
            </a:solidFill>
            <a:effectLst/>
            <a:uLnTx/>
            <a:uFillTx/>
            <a:latin typeface="+mn-lt"/>
            <a:ea typeface="+mn-ea"/>
            <a:cs typeface="+mn-cs"/>
          </a:endParaRP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baseline="0">
            <a:solidFill>
              <a:srgbClr val="808080"/>
            </a:solidFill>
          </a:endParaRP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a:solidFill>
              <a:srgbClr val="808080"/>
            </a:solidFill>
          </a:endParaRPr>
        </a:p>
      </cdr:txBody>
    </cdr:sp>
  </cdr:relSizeAnchor>
  <cdr:relSizeAnchor xmlns:cdr="http://schemas.openxmlformats.org/drawingml/2006/chartDrawing">
    <cdr:from>
      <cdr:x>0.61851</cdr:x>
      <cdr:y>0.23958</cdr:y>
    </cdr:from>
    <cdr:to>
      <cdr:x>0.80682</cdr:x>
      <cdr:y>0.33333</cdr:y>
    </cdr:to>
    <cdr:sp macro="" textlink="">
      <cdr:nvSpPr>
        <cdr:cNvPr id="5" name="TextBox 1"/>
        <cdr:cNvSpPr txBox="1"/>
      </cdr:nvSpPr>
      <cdr:spPr>
        <a:xfrm xmlns:a="http://schemas.openxmlformats.org/drawingml/2006/main">
          <a:off x="3629025" y="657225"/>
          <a:ext cx="1104900"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008000"/>
              </a:solidFill>
            </a:rPr>
            <a:t>logit(</a:t>
          </a:r>
          <a:r>
            <a:rPr lang="en-US" sz="1200" i="1" baseline="0">
              <a:solidFill>
                <a:srgbClr val="008000"/>
              </a:solidFill>
            </a:rPr>
            <a:t>q</a:t>
          </a:r>
          <a:r>
            <a:rPr lang="en-US" sz="1200" i="0" baseline="0">
              <a:solidFill>
                <a:srgbClr val="008000"/>
              </a:solidFill>
            </a:rPr>
            <a:t>/</a:t>
          </a:r>
          <a:r>
            <a:rPr lang="en-US" sz="1200" i="1" baseline="0">
              <a:solidFill>
                <a:srgbClr val="008000"/>
              </a:solidFill>
            </a:rPr>
            <a:t>Q</a:t>
          </a:r>
          <a:r>
            <a:rPr lang="en-US" sz="1200" i="0" baseline="0">
              <a:solidFill>
                <a:srgbClr val="008000"/>
              </a:solidFill>
            </a:rPr>
            <a:t>)</a:t>
          </a:r>
          <a:endParaRPr lang="en-US" sz="1200" i="0">
            <a:solidFill>
              <a:srgbClr val="008000"/>
            </a:solidFill>
          </a:endParaRPr>
        </a:p>
      </cdr:txBody>
    </cdr:sp>
  </cdr:relSizeAnchor>
</c:userShapes>
</file>

<file path=xl/drawings/drawing45.xml><?xml version="1.0" encoding="utf-8"?>
<c:userShapes xmlns:c="http://schemas.openxmlformats.org/drawingml/2006/chart">
  <cdr:relSizeAnchor xmlns:cdr="http://schemas.openxmlformats.org/drawingml/2006/chartDrawing">
    <cdr:from>
      <cdr:x>0.14448</cdr:x>
      <cdr:y>0.29167</cdr:y>
    </cdr:from>
    <cdr:to>
      <cdr:x>0.37825</cdr:x>
      <cdr:y>0.47222</cdr:y>
    </cdr:to>
    <cdr:sp macro="" textlink="">
      <cdr:nvSpPr>
        <cdr:cNvPr id="2" name="TextBox 1"/>
        <cdr:cNvSpPr txBox="1"/>
      </cdr:nvSpPr>
      <cdr:spPr>
        <a:xfrm xmlns:a="http://schemas.openxmlformats.org/drawingml/2006/main">
          <a:off x="847725" y="800107"/>
          <a:ext cx="1371600" cy="49529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200">
              <a:solidFill>
                <a:srgbClr val="808080"/>
              </a:solidFill>
            </a:rPr>
            <a:t>1940 peak during World</a:t>
          </a:r>
          <a:r>
            <a:rPr lang="en-US" sz="1200" baseline="0">
              <a:solidFill>
                <a:srgbClr val="808080"/>
              </a:solidFill>
            </a:rPr>
            <a:t> War II</a:t>
          </a:r>
          <a:endParaRPr lang="en-US" sz="1200">
            <a:solidFill>
              <a:srgbClr val="808080"/>
            </a:solidFill>
          </a:endParaRPr>
        </a:p>
      </cdr:txBody>
    </cdr:sp>
  </cdr:relSizeAnchor>
  <cdr:relSizeAnchor xmlns:cdr="http://schemas.openxmlformats.org/drawingml/2006/chartDrawing">
    <cdr:from>
      <cdr:x>0.34887</cdr:x>
      <cdr:y>0.41127</cdr:y>
    </cdr:from>
    <cdr:to>
      <cdr:x>0.39773</cdr:x>
      <cdr:y>0.47917</cdr:y>
    </cdr:to>
    <cdr:sp macro="" textlink="">
      <cdr:nvSpPr>
        <cdr:cNvPr id="4" name="Straight Arrow Connector 3"/>
        <cdr:cNvSpPr/>
      </cdr:nvSpPr>
      <cdr:spPr>
        <a:xfrm xmlns:a="http://schemas.openxmlformats.org/drawingml/2006/main">
          <a:off x="2046980" y="1128205"/>
          <a:ext cx="286645" cy="186245"/>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0.29058</cdr:x>
      <cdr:y>0.01042</cdr:y>
    </cdr:from>
    <cdr:to>
      <cdr:x>0.63636</cdr:x>
      <cdr:y>0.17708</cdr:y>
    </cdr:to>
    <cdr:sp macro="" textlink="">
      <cdr:nvSpPr>
        <cdr:cNvPr id="5" name="TextBox 1"/>
        <cdr:cNvSpPr txBox="1"/>
      </cdr:nvSpPr>
      <cdr:spPr>
        <a:xfrm xmlns:a="http://schemas.openxmlformats.org/drawingml/2006/main">
          <a:off x="1704975" y="28575"/>
          <a:ext cx="2028825" cy="4572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808080"/>
              </a:solidFill>
            </a:rPr>
            <a:t>1987 peak before the collapse</a:t>
          </a:r>
          <a:r>
            <a:rPr lang="en-US" sz="1200" baseline="0">
              <a:solidFill>
                <a:srgbClr val="808080"/>
              </a:solidFill>
            </a:rPr>
            <a:t> of the Soviet Union</a:t>
          </a:r>
          <a:endParaRPr lang="en-US" sz="1200">
            <a:solidFill>
              <a:srgbClr val="808080"/>
            </a:solidFill>
          </a:endParaRPr>
        </a:p>
      </cdr:txBody>
    </cdr:sp>
  </cdr:relSizeAnchor>
  <cdr:relSizeAnchor xmlns:cdr="http://schemas.openxmlformats.org/drawingml/2006/chartDrawing">
    <cdr:from>
      <cdr:x>0.59903</cdr:x>
      <cdr:y>0.07639</cdr:y>
    </cdr:from>
    <cdr:to>
      <cdr:x>0.67414</cdr:x>
      <cdr:y>0.09376</cdr:y>
    </cdr:to>
    <cdr:sp macro="" textlink="">
      <cdr:nvSpPr>
        <cdr:cNvPr id="6" name="Straight Arrow Connector 5"/>
        <cdr:cNvSpPr/>
      </cdr:nvSpPr>
      <cdr:spPr>
        <a:xfrm xmlns:a="http://schemas.openxmlformats.org/drawingml/2006/main">
          <a:off x="3514726" y="209550"/>
          <a:ext cx="440742" cy="47639"/>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46.xml><?xml version="1.0" encoding="utf-8"?>
<c:userShapes xmlns:c="http://schemas.openxmlformats.org/drawingml/2006/chart">
  <cdr:relSizeAnchor xmlns:cdr="http://schemas.openxmlformats.org/drawingml/2006/chartDrawing">
    <cdr:from>
      <cdr:x>0.21374</cdr:x>
      <cdr:y>0.53125</cdr:y>
    </cdr:from>
    <cdr:to>
      <cdr:x>0.5508</cdr:x>
      <cdr:y>0.76042</cdr:y>
    </cdr:to>
    <cdr:sp macro="" textlink="">
      <cdr:nvSpPr>
        <cdr:cNvPr id="4" name="TextBox 1"/>
        <cdr:cNvSpPr txBox="1"/>
      </cdr:nvSpPr>
      <cdr:spPr>
        <a:xfrm xmlns:a="http://schemas.openxmlformats.org/drawingml/2006/main">
          <a:off x="1282582" y="1457325"/>
          <a:ext cx="2022613" cy="628659"/>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Largest residual is 3 months in 1992, at the boundary between the two trends</a:t>
          </a:r>
          <a:endParaRPr lang="en-US" sz="1200" i="0">
            <a:solidFill>
              <a:srgbClr val="808080"/>
            </a:solidFill>
          </a:endParaRPr>
        </a:p>
      </cdr:txBody>
    </cdr:sp>
  </cdr:relSizeAnchor>
  <cdr:relSizeAnchor xmlns:cdr="http://schemas.openxmlformats.org/drawingml/2006/chartDrawing">
    <cdr:from>
      <cdr:x>0.53174</cdr:x>
      <cdr:y>0.51736</cdr:y>
    </cdr:from>
    <cdr:to>
      <cdr:x>0.59988</cdr:x>
      <cdr:y>0.57639</cdr:y>
    </cdr:to>
    <cdr:sp macro="" textlink="">
      <cdr:nvSpPr>
        <cdr:cNvPr id="6" name="Straight Arrow Connector 5"/>
        <cdr:cNvSpPr/>
      </cdr:nvSpPr>
      <cdr:spPr>
        <a:xfrm xmlns:a="http://schemas.openxmlformats.org/drawingml/2006/main" rot="16200000">
          <a:off x="3314340" y="1295745"/>
          <a:ext cx="161931" cy="408891"/>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47.xml><?xml version="1.0" encoding="utf-8"?>
<c:userShapes xmlns:c="http://schemas.openxmlformats.org/drawingml/2006/chart">
  <cdr:relSizeAnchor xmlns:cdr="http://schemas.openxmlformats.org/drawingml/2006/chartDrawing">
    <cdr:from>
      <cdr:x>0.69523</cdr:x>
      <cdr:y>0.38541</cdr:y>
    </cdr:from>
    <cdr:to>
      <cdr:x>0.87936</cdr:x>
      <cdr:y>0.49999</cdr:y>
    </cdr:to>
    <cdr:sp macro="" textlink="">
      <cdr:nvSpPr>
        <cdr:cNvPr id="2" name="TextBox 1"/>
        <cdr:cNvSpPr txBox="1"/>
      </cdr:nvSpPr>
      <cdr:spPr>
        <a:xfrm xmlns:a="http://schemas.openxmlformats.org/drawingml/2006/main">
          <a:off x="4171925" y="1057269"/>
          <a:ext cx="1104918" cy="31431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Logistic model</a:t>
          </a:r>
        </a:p>
      </cdr:txBody>
    </cdr:sp>
  </cdr:relSizeAnchor>
  <cdr:relSizeAnchor xmlns:cdr="http://schemas.openxmlformats.org/drawingml/2006/chartDrawing">
    <cdr:from>
      <cdr:x>0.27778</cdr:x>
      <cdr:y>0.57291</cdr:y>
    </cdr:from>
    <cdr:to>
      <cdr:x>0.56667</cdr:x>
      <cdr:y>0.67708</cdr:y>
    </cdr:to>
    <cdr:sp macro="" textlink="">
      <cdr:nvSpPr>
        <cdr:cNvPr id="3" name="TextBox 1"/>
        <cdr:cNvSpPr txBox="1"/>
      </cdr:nvSpPr>
      <cdr:spPr>
        <a:xfrm xmlns:a="http://schemas.openxmlformats.org/drawingml/2006/main">
          <a:off x="1666887" y="1571619"/>
          <a:ext cx="1733557" cy="2857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0.30952</cdr:x>
      <cdr:y>0.2526</cdr:y>
    </cdr:from>
    <cdr:to>
      <cdr:x>0.54138</cdr:x>
      <cdr:y>0.36372</cdr:y>
    </cdr:to>
    <cdr:sp macro="" textlink="">
      <cdr:nvSpPr>
        <cdr:cNvPr id="4" name="TextBox 1"/>
        <cdr:cNvSpPr txBox="1"/>
      </cdr:nvSpPr>
      <cdr:spPr>
        <a:xfrm xmlns:a="http://schemas.openxmlformats.org/drawingml/2006/main">
          <a:off x="1857376" y="692923"/>
          <a:ext cx="1391338" cy="3048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Current fit (134Gt)</a:t>
          </a:r>
          <a:endParaRPr lang="en-US" sz="1200" i="0">
            <a:solidFill>
              <a:srgbClr val="808080"/>
            </a:solidFill>
          </a:endParaRPr>
        </a:p>
      </cdr:txBody>
    </cdr:sp>
  </cdr:relSizeAnchor>
  <cdr:relSizeAnchor xmlns:cdr="http://schemas.openxmlformats.org/drawingml/2006/chartDrawing">
    <cdr:from>
      <cdr:x>0.29048</cdr:x>
      <cdr:y>0.05555</cdr:y>
    </cdr:from>
    <cdr:to>
      <cdr:x>0.54604</cdr:x>
      <cdr:y>0.20833</cdr:y>
    </cdr:to>
    <cdr:sp macro="" textlink="">
      <cdr:nvSpPr>
        <cdr:cNvPr id="5" name="TextBox 1"/>
        <cdr:cNvSpPr txBox="1"/>
      </cdr:nvSpPr>
      <cdr:spPr>
        <a:xfrm xmlns:a="http://schemas.openxmlformats.org/drawingml/2006/main">
          <a:off x="1743075" y="152396"/>
          <a:ext cx="1533598" cy="41910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fits for long-term production</a:t>
          </a:r>
        </a:p>
      </cdr:txBody>
    </cdr:sp>
  </cdr:relSizeAnchor>
</c:userShapes>
</file>

<file path=xl/drawings/drawing48.xml><?xml version="1.0" encoding="utf-8"?>
<c:userShapes xmlns:c="http://schemas.openxmlformats.org/drawingml/2006/chart">
  <cdr:relSizeAnchor xmlns:cdr="http://schemas.openxmlformats.org/drawingml/2006/chartDrawing">
    <cdr:from>
      <cdr:x>0.29843</cdr:x>
      <cdr:y>0.65972</cdr:y>
    </cdr:from>
    <cdr:to>
      <cdr:x>0.73492</cdr:x>
      <cdr:y>0.77084</cdr:y>
    </cdr:to>
    <cdr:sp macro="" textlink="">
      <cdr:nvSpPr>
        <cdr:cNvPr id="5" name="TextBox 1"/>
        <cdr:cNvSpPr txBox="1"/>
      </cdr:nvSpPr>
      <cdr:spPr>
        <a:xfrm xmlns:a="http://schemas.openxmlformats.org/drawingml/2006/main">
          <a:off x="1790776" y="1809747"/>
          <a:ext cx="2619299" cy="3048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fits for long-term production</a:t>
          </a:r>
        </a:p>
      </cdr:txBody>
    </cdr:sp>
  </cdr:relSizeAnchor>
  <cdr:relSizeAnchor xmlns:cdr="http://schemas.openxmlformats.org/drawingml/2006/chartDrawing">
    <cdr:from>
      <cdr:x>0.18888</cdr:x>
      <cdr:y>0.19444</cdr:y>
    </cdr:from>
    <cdr:to>
      <cdr:x>0.38413</cdr:x>
      <cdr:y>0.43056</cdr:y>
    </cdr:to>
    <cdr:sp macro="" textlink="">
      <cdr:nvSpPr>
        <cdr:cNvPr id="6" name="TextBox 1"/>
        <cdr:cNvSpPr txBox="1"/>
      </cdr:nvSpPr>
      <cdr:spPr>
        <a:xfrm xmlns:a="http://schemas.openxmlformats.org/drawingml/2006/main">
          <a:off x="1133445" y="533382"/>
          <a:ext cx="1171605" cy="64771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Reserves from international surveys</a:t>
          </a:r>
          <a:endParaRPr lang="en-US" sz="1200" i="1">
            <a:solidFill>
              <a:srgbClr val="333399"/>
            </a:solidFill>
          </a:endParaRPr>
        </a:p>
      </cdr:txBody>
    </cdr:sp>
  </cdr:relSizeAnchor>
  <cdr:relSizeAnchor xmlns:cdr="http://schemas.openxmlformats.org/drawingml/2006/chartDrawing">
    <cdr:from>
      <cdr:x>0.59841</cdr:x>
      <cdr:y>0.19792</cdr:y>
    </cdr:from>
    <cdr:to>
      <cdr:x>0.81111</cdr:x>
      <cdr:y>0.42708</cdr:y>
    </cdr:to>
    <cdr:sp macro="" textlink="">
      <cdr:nvSpPr>
        <cdr:cNvPr id="7" name="TextBox 1"/>
        <cdr:cNvSpPr txBox="1"/>
      </cdr:nvSpPr>
      <cdr:spPr>
        <a:xfrm xmlns:a="http://schemas.openxmlformats.org/drawingml/2006/main">
          <a:off x="3590904" y="542933"/>
          <a:ext cx="1276371" cy="6286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333399"/>
              </a:solidFill>
            </a:rPr>
            <a:t>Reserves from international surveys</a:t>
          </a:r>
          <a:endParaRPr lang="en-US" sz="1200" i="1">
            <a:solidFill>
              <a:srgbClr val="333399"/>
            </a:solidFill>
          </a:endParaRPr>
        </a:p>
      </cdr:txBody>
    </cdr:sp>
  </cdr:relSizeAnchor>
</c:userShapes>
</file>

<file path=xl/drawings/drawing49.xml><?xml version="1.0" encoding="utf-8"?>
<xdr:wsDr xmlns:xdr="http://schemas.openxmlformats.org/drawingml/2006/spreadsheetDrawing" xmlns:a="http://schemas.openxmlformats.org/drawingml/2006/main">
  <xdr:twoCellAnchor>
    <xdr:from>
      <xdr:col>1</xdr:col>
      <xdr:colOff>47625</xdr:colOff>
      <xdr:row>38</xdr:row>
      <xdr:rowOff>95250</xdr:rowOff>
    </xdr:from>
    <xdr:to>
      <xdr:col>1</xdr:col>
      <xdr:colOff>5915025</xdr:colOff>
      <xdr:row>57</xdr:row>
      <xdr:rowOff>123825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17</xdr:row>
      <xdr:rowOff>66675</xdr:rowOff>
    </xdr:from>
    <xdr:to>
      <xdr:col>1</xdr:col>
      <xdr:colOff>5962650</xdr:colOff>
      <xdr:row>36</xdr:row>
      <xdr:rowOff>95250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60</xdr:row>
      <xdr:rowOff>0</xdr:rowOff>
    </xdr:from>
    <xdr:to>
      <xdr:col>1</xdr:col>
      <xdr:colOff>6000750</xdr:colOff>
      <xdr:row>79</xdr:row>
      <xdr:rowOff>28575</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82</xdr:row>
      <xdr:rowOff>0</xdr:rowOff>
    </xdr:from>
    <xdr:to>
      <xdr:col>1</xdr:col>
      <xdr:colOff>6000750</xdr:colOff>
      <xdr:row>101</xdr:row>
      <xdr:rowOff>28575</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104</xdr:row>
      <xdr:rowOff>0</xdr:rowOff>
    </xdr:from>
    <xdr:to>
      <xdr:col>1</xdr:col>
      <xdr:colOff>6000750</xdr:colOff>
      <xdr:row>123</xdr:row>
      <xdr:rowOff>28575</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0.xml><?xml version="1.0" encoding="utf-8"?>
<c:userShapes xmlns:c="http://schemas.openxmlformats.org/drawingml/2006/chart">
  <cdr:relSizeAnchor xmlns:cdr="http://schemas.openxmlformats.org/drawingml/2006/chartDrawing">
    <cdr:from>
      <cdr:x>0.39611</cdr:x>
      <cdr:y>0.31944</cdr:y>
    </cdr:from>
    <cdr:to>
      <cdr:x>0.77274</cdr:x>
      <cdr:y>0.50347</cdr:y>
    </cdr:to>
    <cdr:sp macro="" textlink="">
      <cdr:nvSpPr>
        <cdr:cNvPr id="2" name="TextBox 1"/>
        <cdr:cNvSpPr txBox="1"/>
      </cdr:nvSpPr>
      <cdr:spPr>
        <a:xfrm xmlns:a="http://schemas.openxmlformats.org/drawingml/2006/main">
          <a:off x="2324127" y="876282"/>
          <a:ext cx="2209839" cy="50483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Early trend through 1991          10%-90% 1953-2052</a:t>
          </a:r>
        </a:p>
      </cdr:txBody>
    </cdr:sp>
  </cdr:relSizeAnchor>
  <cdr:relSizeAnchor xmlns:cdr="http://schemas.openxmlformats.org/drawingml/2006/chartDrawing">
    <cdr:from>
      <cdr:x>0.51136</cdr:x>
      <cdr:y>0</cdr:y>
    </cdr:from>
    <cdr:to>
      <cdr:x>0.88311</cdr:x>
      <cdr:y>0.1808</cdr:y>
    </cdr:to>
    <cdr:sp macro="" textlink="">
      <cdr:nvSpPr>
        <cdr:cNvPr id="3" name="TextBox 1"/>
        <cdr:cNvSpPr txBox="1"/>
      </cdr:nvSpPr>
      <cdr:spPr>
        <a:xfrm xmlns:a="http://schemas.openxmlformats.org/drawingml/2006/main">
          <a:off x="3000377" y="0"/>
          <a:ext cx="2181206" cy="4959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Current trend 1992 to present</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10%-90% 1940-2101</a:t>
          </a:r>
          <a:endParaRPr lang="en-US" sz="1200" i="0">
            <a:solidFill>
              <a:srgbClr val="808080"/>
            </a:solidFill>
          </a:endParaRPr>
        </a:p>
      </cdr:txBody>
    </cdr:sp>
  </cdr:relSizeAnchor>
  <cdr:relSizeAnchor xmlns:cdr="http://schemas.openxmlformats.org/drawingml/2006/chartDrawing">
    <cdr:from>
      <cdr:x>0.38799</cdr:x>
      <cdr:y>0.16666</cdr:y>
    </cdr:from>
    <cdr:to>
      <cdr:x>0.5763</cdr:x>
      <cdr:y>0.26041</cdr:y>
    </cdr:to>
    <cdr:sp macro="" textlink="">
      <cdr:nvSpPr>
        <cdr:cNvPr id="5" name="TextBox 1"/>
        <cdr:cNvSpPr txBox="1"/>
      </cdr:nvSpPr>
      <cdr:spPr>
        <a:xfrm xmlns:a="http://schemas.openxmlformats.org/drawingml/2006/main">
          <a:off x="2276491" y="457182"/>
          <a:ext cx="1104890"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008000"/>
              </a:solidFill>
            </a:rPr>
            <a:t>probit(</a:t>
          </a:r>
          <a:r>
            <a:rPr lang="en-US" sz="1200" i="1" baseline="0">
              <a:solidFill>
                <a:srgbClr val="008000"/>
              </a:solidFill>
            </a:rPr>
            <a:t>q</a:t>
          </a:r>
          <a:r>
            <a:rPr lang="en-US" sz="1200" i="0" baseline="0">
              <a:solidFill>
                <a:srgbClr val="008000"/>
              </a:solidFill>
            </a:rPr>
            <a:t>/</a:t>
          </a:r>
          <a:r>
            <a:rPr lang="en-US" sz="1200" i="1" baseline="0">
              <a:solidFill>
                <a:srgbClr val="008000"/>
              </a:solidFill>
            </a:rPr>
            <a:t>Q</a:t>
          </a:r>
          <a:r>
            <a:rPr lang="en-US" sz="1200" i="0" baseline="0">
              <a:solidFill>
                <a:srgbClr val="008000"/>
              </a:solidFill>
            </a:rPr>
            <a:t>)</a:t>
          </a:r>
          <a:endParaRPr lang="en-US" sz="1200" i="0">
            <a:solidFill>
              <a:srgbClr val="008000"/>
            </a:solidFill>
          </a:endParaRPr>
        </a:p>
      </cdr:txBody>
    </cdr:sp>
  </cdr:relSizeAnchor>
  <cdr:relSizeAnchor xmlns:cdr="http://schemas.openxmlformats.org/drawingml/2006/chartDrawing">
    <cdr:from>
      <cdr:x>0.03247</cdr:x>
      <cdr:y>0.17709</cdr:y>
    </cdr:from>
    <cdr:to>
      <cdr:x>0.36527</cdr:x>
      <cdr:y>0.41374</cdr:y>
    </cdr:to>
    <cdr:sp macro="" textlink="">
      <cdr:nvSpPr>
        <cdr:cNvPr id="6" name="TextBox 1"/>
        <cdr:cNvSpPr txBox="1"/>
      </cdr:nvSpPr>
      <cdr:spPr>
        <a:xfrm xmlns:a="http://schemas.openxmlformats.org/drawingml/2006/main">
          <a:off x="190495" y="485781"/>
          <a:ext cx="1952671" cy="64917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Joint trend 1977 to present long-term production 65Gt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rPr>
            <a:t>weighted </a:t>
          </a:r>
          <a:r>
            <a:rPr kumimoji="0" lang="en-US" sz="1200" b="0" i="1" u="none" strike="noStrike" kern="0" cap="none" spc="0" normalizeH="0" baseline="0" noProof="0">
              <a:ln>
                <a:noFill/>
              </a:ln>
              <a:solidFill>
                <a:srgbClr val="808080"/>
              </a:solidFill>
              <a:effectLst/>
              <a:uLnTx/>
              <a:uFillTx/>
              <a:latin typeface="Calibri"/>
            </a:rPr>
            <a:t>r</a:t>
          </a:r>
          <a:r>
            <a:rPr kumimoji="0" lang="en-US" sz="1200" b="0" i="0" u="none" strike="noStrike" kern="0" cap="none" spc="0" normalizeH="0" baseline="30000" noProof="0">
              <a:ln>
                <a:noFill/>
              </a:ln>
              <a:solidFill>
                <a:srgbClr val="808080"/>
              </a:solidFill>
              <a:effectLst/>
              <a:uLnTx/>
              <a:uFillTx/>
              <a:latin typeface="Calibri"/>
            </a:rPr>
            <a:t>2</a:t>
          </a:r>
          <a:r>
            <a:rPr kumimoji="0" lang="en-US" sz="1200" b="0" i="0" u="none" strike="noStrike" kern="0" cap="none" spc="0" normalizeH="0" baseline="0" noProof="0">
              <a:ln>
                <a:noFill/>
              </a:ln>
              <a:solidFill>
                <a:srgbClr val="808080"/>
              </a:solidFill>
              <a:effectLst/>
              <a:uLnTx/>
              <a:uFillTx/>
              <a:latin typeface="Calibri"/>
            </a:rPr>
            <a:t> = 0.9992</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baseline="0">
            <a:solidFill>
              <a:srgbClr val="808080"/>
            </a:solidFill>
          </a:endParaRP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endParaRPr lang="en-US" sz="1200" i="0">
            <a:solidFill>
              <a:srgbClr val="808080"/>
            </a:solidFill>
          </a:endParaRPr>
        </a:p>
      </cdr:txBody>
    </cdr:sp>
  </cdr:relSizeAnchor>
</c:userShapes>
</file>

<file path=xl/drawings/drawing51.xml><?xml version="1.0" encoding="utf-8"?>
<c:userShapes xmlns:c="http://schemas.openxmlformats.org/drawingml/2006/chart">
  <cdr:relSizeAnchor xmlns:cdr="http://schemas.openxmlformats.org/drawingml/2006/chartDrawing">
    <cdr:from>
      <cdr:x>0.20821</cdr:x>
      <cdr:y>0</cdr:y>
    </cdr:from>
    <cdr:to>
      <cdr:x>0.54383</cdr:x>
      <cdr:y>0.18055</cdr:y>
    </cdr:to>
    <cdr:sp macro="" textlink="">
      <cdr:nvSpPr>
        <cdr:cNvPr id="2" name="TextBox 1"/>
        <cdr:cNvSpPr txBox="1"/>
      </cdr:nvSpPr>
      <cdr:spPr>
        <a:xfrm xmlns:a="http://schemas.openxmlformats.org/drawingml/2006/main">
          <a:off x="1221655" y="0"/>
          <a:ext cx="1969220" cy="5002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200">
              <a:solidFill>
                <a:srgbClr val="808080"/>
              </a:solidFill>
            </a:rPr>
            <a:t>1988 peak before the collapse of</a:t>
          </a:r>
          <a:r>
            <a:rPr lang="en-US" sz="1200" baseline="0">
              <a:solidFill>
                <a:srgbClr val="808080"/>
              </a:solidFill>
            </a:rPr>
            <a:t> the Soviet Union</a:t>
          </a:r>
          <a:endParaRPr lang="en-US" sz="1200">
            <a:solidFill>
              <a:srgbClr val="808080"/>
            </a:solidFill>
          </a:endParaRPr>
        </a:p>
      </cdr:txBody>
    </cdr:sp>
  </cdr:relSizeAnchor>
  <cdr:relSizeAnchor xmlns:cdr="http://schemas.openxmlformats.org/drawingml/2006/chartDrawing">
    <cdr:from>
      <cdr:x>0.51321</cdr:x>
      <cdr:y>0.05667</cdr:y>
    </cdr:from>
    <cdr:to>
      <cdr:x>0.61405</cdr:x>
      <cdr:y>0.0749</cdr:y>
    </cdr:to>
    <cdr:sp macro="" textlink="">
      <cdr:nvSpPr>
        <cdr:cNvPr id="4" name="Straight Arrow Connector 3"/>
        <cdr:cNvSpPr/>
      </cdr:nvSpPr>
      <cdr:spPr>
        <a:xfrm xmlns:a="http://schemas.openxmlformats.org/drawingml/2006/main" flipV="1">
          <a:off x="3011199" y="157015"/>
          <a:ext cx="591704" cy="50513"/>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0.58441</cdr:x>
      <cdr:y>0.51171</cdr:y>
    </cdr:from>
    <cdr:to>
      <cdr:x>0.78444</cdr:x>
      <cdr:y>0.69357</cdr:y>
    </cdr:to>
    <cdr:sp macro="" textlink="">
      <cdr:nvSpPr>
        <cdr:cNvPr id="5" name="TextBox 1"/>
        <cdr:cNvSpPr txBox="1"/>
      </cdr:nvSpPr>
      <cdr:spPr>
        <a:xfrm xmlns:a="http://schemas.openxmlformats.org/drawingml/2006/main">
          <a:off x="3428972" y="1417754"/>
          <a:ext cx="1173623" cy="50386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808080"/>
              </a:solidFill>
            </a:rPr>
            <a:t>1998 low</a:t>
          </a:r>
          <a:r>
            <a:rPr lang="en-US" sz="1200" baseline="0">
              <a:solidFill>
                <a:srgbClr val="808080"/>
              </a:solidFill>
            </a:rPr>
            <a:t> before recovery</a:t>
          </a:r>
          <a:endParaRPr lang="en-US" sz="1200">
            <a:solidFill>
              <a:srgbClr val="808080"/>
            </a:solidFill>
          </a:endParaRPr>
        </a:p>
      </cdr:txBody>
    </cdr:sp>
  </cdr:relSizeAnchor>
  <cdr:relSizeAnchor xmlns:cdr="http://schemas.openxmlformats.org/drawingml/2006/chartDrawing">
    <cdr:from>
      <cdr:x>0.69946</cdr:x>
      <cdr:y>0.43171</cdr:y>
    </cdr:from>
    <cdr:to>
      <cdr:x>0.70725</cdr:x>
      <cdr:y>0.51375</cdr:y>
    </cdr:to>
    <cdr:sp macro="" textlink="">
      <cdr:nvSpPr>
        <cdr:cNvPr id="6" name="Straight Arrow Connector 5"/>
        <cdr:cNvSpPr/>
      </cdr:nvSpPr>
      <cdr:spPr>
        <a:xfrm xmlns:a="http://schemas.openxmlformats.org/drawingml/2006/main" flipV="1">
          <a:off x="4104016" y="1196108"/>
          <a:ext cx="45719" cy="227302"/>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52.xml><?xml version="1.0" encoding="utf-8"?>
<c:userShapes xmlns:c="http://schemas.openxmlformats.org/drawingml/2006/chart">
  <cdr:relSizeAnchor xmlns:cdr="http://schemas.openxmlformats.org/drawingml/2006/chartDrawing">
    <cdr:from>
      <cdr:x>0.59534</cdr:x>
      <cdr:y>0.07509</cdr:y>
    </cdr:from>
    <cdr:to>
      <cdr:x>0.82763</cdr:x>
      <cdr:y>0.24871</cdr:y>
    </cdr:to>
    <cdr:sp macro="" textlink="">
      <cdr:nvSpPr>
        <cdr:cNvPr id="4" name="TextBox 1"/>
        <cdr:cNvSpPr txBox="1"/>
      </cdr:nvSpPr>
      <cdr:spPr>
        <a:xfrm xmlns:a="http://schemas.openxmlformats.org/drawingml/2006/main">
          <a:off x="3572505" y="205987"/>
          <a:ext cx="1393914" cy="476274"/>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Largest residual is 5 months in 2009</a:t>
          </a:r>
          <a:endParaRPr lang="en-US" sz="1200" i="0">
            <a:solidFill>
              <a:srgbClr val="808080"/>
            </a:solidFill>
          </a:endParaRPr>
        </a:p>
      </cdr:txBody>
    </cdr:sp>
  </cdr:relSizeAnchor>
  <cdr:relSizeAnchor xmlns:cdr="http://schemas.openxmlformats.org/drawingml/2006/chartDrawing">
    <cdr:from>
      <cdr:x>0.81587</cdr:x>
      <cdr:y>0.17361</cdr:y>
    </cdr:from>
    <cdr:to>
      <cdr:x>0.86097</cdr:x>
      <cdr:y>0.2743</cdr:y>
    </cdr:to>
    <cdr:sp macro="" textlink="">
      <cdr:nvSpPr>
        <cdr:cNvPr id="6" name="Straight Arrow Connector 5"/>
        <cdr:cNvSpPr/>
      </cdr:nvSpPr>
      <cdr:spPr>
        <a:xfrm xmlns:a="http://schemas.openxmlformats.org/drawingml/2006/main" rot="16200000" flipH="1">
          <a:off x="4893055" y="479048"/>
          <a:ext cx="276210" cy="270614"/>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0.56647</cdr:x>
      <cdr:y>0.57943</cdr:y>
    </cdr:from>
    <cdr:to>
      <cdr:x>0.86806</cdr:x>
      <cdr:y>0.8086</cdr:y>
    </cdr:to>
    <cdr:sp macro="" textlink="">
      <cdr:nvSpPr>
        <cdr:cNvPr id="5" name="TextBox 1"/>
        <cdr:cNvSpPr txBox="1"/>
      </cdr:nvSpPr>
      <cdr:spPr>
        <a:xfrm xmlns:a="http://schemas.openxmlformats.org/drawingml/2006/main">
          <a:off x="3399269" y="1605377"/>
          <a:ext cx="1809751" cy="634934"/>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Residual on the boundary between the two trends is 3 months in 1991</a:t>
          </a:r>
          <a:endParaRPr lang="en-US" sz="1200" i="0">
            <a:solidFill>
              <a:srgbClr val="808080"/>
            </a:solidFill>
          </a:endParaRPr>
        </a:p>
      </cdr:txBody>
    </cdr:sp>
  </cdr:relSizeAnchor>
  <cdr:relSizeAnchor xmlns:cdr="http://schemas.openxmlformats.org/drawingml/2006/chartDrawing">
    <cdr:from>
      <cdr:x>0.50866</cdr:x>
      <cdr:y>0.57558</cdr:y>
    </cdr:from>
    <cdr:to>
      <cdr:x>0.58502</cdr:x>
      <cdr:y>0.69539</cdr:y>
    </cdr:to>
    <cdr:sp macro="" textlink="">
      <cdr:nvSpPr>
        <cdr:cNvPr id="8" name="Straight Arrow Connector 7"/>
        <cdr:cNvSpPr/>
      </cdr:nvSpPr>
      <cdr:spPr>
        <a:xfrm xmlns:a="http://schemas.openxmlformats.org/drawingml/2006/main" rot="5400000" flipH="1">
          <a:off x="3115466" y="1531577"/>
          <a:ext cx="331935" cy="458211"/>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53.xml><?xml version="1.0" encoding="utf-8"?>
<c:userShapes xmlns:c="http://schemas.openxmlformats.org/drawingml/2006/chart">
  <cdr:relSizeAnchor xmlns:cdr="http://schemas.openxmlformats.org/drawingml/2006/chartDrawing">
    <cdr:from>
      <cdr:x>0.74603</cdr:x>
      <cdr:y>0.51041</cdr:y>
    </cdr:from>
    <cdr:to>
      <cdr:x>0.89682</cdr:x>
      <cdr:y>0.73612</cdr:y>
    </cdr:to>
    <cdr:sp macro="" textlink="">
      <cdr:nvSpPr>
        <cdr:cNvPr id="2" name="TextBox 1"/>
        <cdr:cNvSpPr txBox="1"/>
      </cdr:nvSpPr>
      <cdr:spPr>
        <a:xfrm xmlns:a="http://schemas.openxmlformats.org/drawingml/2006/main">
          <a:off x="4476750" y="1400157"/>
          <a:ext cx="904843" cy="61916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Cumulative normal model</a:t>
          </a:r>
        </a:p>
      </cdr:txBody>
    </cdr:sp>
  </cdr:relSizeAnchor>
  <cdr:relSizeAnchor xmlns:cdr="http://schemas.openxmlformats.org/drawingml/2006/chartDrawing">
    <cdr:from>
      <cdr:x>0.19841</cdr:x>
      <cdr:y>0.57985</cdr:y>
    </cdr:from>
    <cdr:to>
      <cdr:x>0.4873</cdr:x>
      <cdr:y>0.68402</cdr:y>
    </cdr:to>
    <cdr:sp macro="" textlink="">
      <cdr:nvSpPr>
        <cdr:cNvPr id="3" name="TextBox 1"/>
        <cdr:cNvSpPr txBox="1"/>
      </cdr:nvSpPr>
      <cdr:spPr>
        <a:xfrm xmlns:a="http://schemas.openxmlformats.org/drawingml/2006/main">
          <a:off x="1190614" y="1590657"/>
          <a:ext cx="1733556" cy="2857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0.42857</cdr:x>
      <cdr:y>0.05078</cdr:y>
    </cdr:from>
    <cdr:to>
      <cdr:x>0.63901</cdr:x>
      <cdr:y>0.1619</cdr:y>
    </cdr:to>
    <cdr:sp macro="" textlink="">
      <cdr:nvSpPr>
        <cdr:cNvPr id="4" name="TextBox 1"/>
        <cdr:cNvSpPr txBox="1"/>
      </cdr:nvSpPr>
      <cdr:spPr>
        <a:xfrm xmlns:a="http://schemas.openxmlformats.org/drawingml/2006/main">
          <a:off x="2571750" y="139300"/>
          <a:ext cx="1262788" cy="3048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Current fit (64Gt)</a:t>
          </a:r>
          <a:endParaRPr lang="en-US" sz="1200" i="0">
            <a:solidFill>
              <a:srgbClr val="808080"/>
            </a:solidFill>
          </a:endParaRPr>
        </a:p>
      </cdr:txBody>
    </cdr:sp>
  </cdr:relSizeAnchor>
  <cdr:relSizeAnchor xmlns:cdr="http://schemas.openxmlformats.org/drawingml/2006/chartDrawing">
    <cdr:from>
      <cdr:x>0.4746</cdr:x>
      <cdr:y>0.21875</cdr:y>
    </cdr:from>
    <cdr:to>
      <cdr:x>0.73299</cdr:x>
      <cdr:y>0.38194</cdr:y>
    </cdr:to>
    <cdr:sp macro="" textlink="">
      <cdr:nvSpPr>
        <cdr:cNvPr id="5" name="TextBox 1"/>
        <cdr:cNvSpPr txBox="1"/>
      </cdr:nvSpPr>
      <cdr:spPr>
        <a:xfrm xmlns:a="http://schemas.openxmlformats.org/drawingml/2006/main">
          <a:off x="2847975" y="600086"/>
          <a:ext cx="1550492" cy="44766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fits for long-term production</a:t>
          </a:r>
        </a:p>
      </cdr:txBody>
    </cdr:sp>
  </cdr:relSizeAnchor>
</c:userShapes>
</file>

<file path=xl/drawings/drawing54.xml><?xml version="1.0" encoding="utf-8"?>
<c:userShapes xmlns:c="http://schemas.openxmlformats.org/drawingml/2006/chart">
  <cdr:relSizeAnchor xmlns:cdr="http://schemas.openxmlformats.org/drawingml/2006/chartDrawing">
    <cdr:from>
      <cdr:x>0.18571</cdr:x>
      <cdr:y>0.65972</cdr:y>
    </cdr:from>
    <cdr:to>
      <cdr:x>0.63651</cdr:x>
      <cdr:y>0.77778</cdr:y>
    </cdr:to>
    <cdr:sp macro="" textlink="">
      <cdr:nvSpPr>
        <cdr:cNvPr id="5" name="TextBox 1"/>
        <cdr:cNvSpPr txBox="1"/>
      </cdr:nvSpPr>
      <cdr:spPr>
        <a:xfrm xmlns:a="http://schemas.openxmlformats.org/drawingml/2006/main">
          <a:off x="1114426" y="1809744"/>
          <a:ext cx="2705112" cy="32386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fits for long-term production</a:t>
          </a:r>
        </a:p>
      </cdr:txBody>
    </cdr:sp>
  </cdr:relSizeAnchor>
  <cdr:relSizeAnchor xmlns:cdr="http://schemas.openxmlformats.org/drawingml/2006/chartDrawing">
    <cdr:from>
      <cdr:x>0.36226</cdr:x>
      <cdr:y>0.27163</cdr:y>
    </cdr:from>
    <cdr:to>
      <cdr:x>0.55751</cdr:x>
      <cdr:y>0.50775</cdr:y>
    </cdr:to>
    <cdr:sp macro="" textlink="">
      <cdr:nvSpPr>
        <cdr:cNvPr id="6" name="TextBox 1"/>
        <cdr:cNvSpPr txBox="1"/>
      </cdr:nvSpPr>
      <cdr:spPr>
        <a:xfrm xmlns:a="http://schemas.openxmlformats.org/drawingml/2006/main">
          <a:off x="2173846" y="745133"/>
          <a:ext cx="1171646" cy="6477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Reserves in international surveys</a:t>
          </a:r>
          <a:endParaRPr lang="en-US" sz="1200" i="1">
            <a:solidFill>
              <a:srgbClr val="333399"/>
            </a:solidFill>
          </a:endParaRPr>
        </a:p>
      </cdr:txBody>
    </cdr:sp>
  </cdr:relSizeAnchor>
  <cdr:relSizeAnchor xmlns:cdr="http://schemas.openxmlformats.org/drawingml/2006/chartDrawing">
    <cdr:from>
      <cdr:x>0.61661</cdr:x>
      <cdr:y>0.66106</cdr:y>
    </cdr:from>
    <cdr:to>
      <cdr:x>0.67399</cdr:x>
      <cdr:y>0.70646</cdr:y>
    </cdr:to>
    <cdr:sp macro="" textlink="">
      <cdr:nvSpPr>
        <cdr:cNvPr id="7" name="Straight Arrow Connector 6"/>
        <cdr:cNvSpPr/>
      </cdr:nvSpPr>
      <cdr:spPr>
        <a:xfrm xmlns:a="http://schemas.openxmlformats.org/drawingml/2006/main" flipV="1">
          <a:off x="3700096" y="1813413"/>
          <a:ext cx="344366" cy="124558"/>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0.25702</cdr:x>
      <cdr:y>0.25507</cdr:y>
    </cdr:from>
    <cdr:to>
      <cdr:x>0.38278</cdr:x>
      <cdr:y>0.3539</cdr:y>
    </cdr:to>
    <cdr:sp macro="" textlink="">
      <cdr:nvSpPr>
        <cdr:cNvPr id="8" name="Straight Arrow Connector 7"/>
        <cdr:cNvSpPr/>
      </cdr:nvSpPr>
      <cdr:spPr>
        <a:xfrm xmlns:a="http://schemas.openxmlformats.org/drawingml/2006/main" flipH="1" flipV="1">
          <a:off x="1542318" y="699720"/>
          <a:ext cx="754673" cy="271095"/>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0.54105</cdr:x>
      <cdr:y>0.38904</cdr:y>
    </cdr:from>
    <cdr:to>
      <cdr:x>0.61038</cdr:x>
      <cdr:y>0.44064</cdr:y>
    </cdr:to>
    <cdr:sp macro="" textlink="">
      <cdr:nvSpPr>
        <cdr:cNvPr id="9" name="Straight Arrow Connector 8"/>
        <cdr:cNvSpPr/>
      </cdr:nvSpPr>
      <cdr:spPr>
        <a:xfrm xmlns:a="http://schemas.openxmlformats.org/drawingml/2006/main">
          <a:off x="3246679" y="1067201"/>
          <a:ext cx="416032" cy="141549"/>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0.08913</cdr:x>
      <cdr:y>0.35524</cdr:y>
    </cdr:from>
    <cdr:to>
      <cdr:x>0.38278</cdr:x>
      <cdr:y>0.46474</cdr:y>
    </cdr:to>
    <cdr:sp macro="" textlink="">
      <cdr:nvSpPr>
        <cdr:cNvPr id="10" name="Straight Arrow Connector 9"/>
        <cdr:cNvSpPr/>
      </cdr:nvSpPr>
      <cdr:spPr>
        <a:xfrm xmlns:a="http://schemas.openxmlformats.org/drawingml/2006/main" flipH="1">
          <a:off x="534866" y="974481"/>
          <a:ext cx="1762125" cy="300403"/>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55.xml><?xml version="1.0" encoding="utf-8"?>
<xdr:wsDr xmlns:xdr="http://schemas.openxmlformats.org/drawingml/2006/spreadsheetDrawing" xmlns:a="http://schemas.openxmlformats.org/drawingml/2006/main">
  <xdr:twoCellAnchor>
    <xdr:from>
      <xdr:col>1</xdr:col>
      <xdr:colOff>47625</xdr:colOff>
      <xdr:row>35</xdr:row>
      <xdr:rowOff>95250</xdr:rowOff>
    </xdr:from>
    <xdr:to>
      <xdr:col>1</xdr:col>
      <xdr:colOff>5915025</xdr:colOff>
      <xdr:row>54</xdr:row>
      <xdr:rowOff>123825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14</xdr:row>
      <xdr:rowOff>66675</xdr:rowOff>
    </xdr:from>
    <xdr:to>
      <xdr:col>1</xdr:col>
      <xdr:colOff>5962650</xdr:colOff>
      <xdr:row>33</xdr:row>
      <xdr:rowOff>95250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57</xdr:row>
      <xdr:rowOff>0</xdr:rowOff>
    </xdr:from>
    <xdr:to>
      <xdr:col>1</xdr:col>
      <xdr:colOff>5867400</xdr:colOff>
      <xdr:row>76</xdr:row>
      <xdr:rowOff>28575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79</xdr:row>
      <xdr:rowOff>0</xdr:rowOff>
    </xdr:from>
    <xdr:to>
      <xdr:col>1</xdr:col>
      <xdr:colOff>6000750</xdr:colOff>
      <xdr:row>98</xdr:row>
      <xdr:rowOff>28575</xdr:rowOff>
    </xdr:to>
    <xdr:graphicFrame macro="">
      <xdr:nvGraphicFramePr>
        <xdr:cNvPr id="16" name="Chart 15">
          <a:extLst>
            <a:ext uri="{FF2B5EF4-FFF2-40B4-BE49-F238E27FC236}">
              <a16:creationId xmlns:a16="http://schemas.microsoft.com/office/drawing/2014/main" id="{00000000-0008-0000-0C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101</xdr:row>
      <xdr:rowOff>0</xdr:rowOff>
    </xdr:from>
    <xdr:to>
      <xdr:col>1</xdr:col>
      <xdr:colOff>6000750</xdr:colOff>
      <xdr:row>120</xdr:row>
      <xdr:rowOff>28575</xdr:rowOff>
    </xdr:to>
    <xdr:graphicFrame macro="">
      <xdr:nvGraphicFramePr>
        <xdr:cNvPr id="17" name="Chart 16">
          <a:extLst>
            <a:ext uri="{FF2B5EF4-FFF2-40B4-BE49-F238E27FC236}">
              <a16:creationId xmlns:a16="http://schemas.microsoft.com/office/drawing/2014/main" id="{00000000-0008-0000-0C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6.xml><?xml version="1.0" encoding="utf-8"?>
<c:userShapes xmlns:c="http://schemas.openxmlformats.org/drawingml/2006/chart">
  <cdr:relSizeAnchor xmlns:cdr="http://schemas.openxmlformats.org/drawingml/2006/chartDrawing">
    <cdr:from>
      <cdr:x>0.40909</cdr:x>
      <cdr:y>0.38517</cdr:y>
    </cdr:from>
    <cdr:to>
      <cdr:x>0.84578</cdr:x>
      <cdr:y>0.68055</cdr:y>
    </cdr:to>
    <cdr:sp macro="" textlink="">
      <cdr:nvSpPr>
        <cdr:cNvPr id="3" name="TextBox 1"/>
        <cdr:cNvSpPr txBox="1"/>
      </cdr:nvSpPr>
      <cdr:spPr>
        <a:xfrm xmlns:a="http://schemas.openxmlformats.org/drawingml/2006/main">
          <a:off x="2400300" y="1056598"/>
          <a:ext cx="2562225" cy="81028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Early trend 1918 to 1967</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long-term production estimate 3.0Gt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 </a:t>
          </a:r>
          <a:r>
            <a:rPr kumimoji="0" lang="en-US" sz="1200" b="0" i="1" u="none" strike="noStrike" kern="0" cap="none" spc="0" normalizeH="0" baseline="0" noProof="0">
              <a:ln>
                <a:noFill/>
              </a:ln>
              <a:solidFill>
                <a:srgbClr val="808080"/>
              </a:solidFill>
              <a:effectLst/>
              <a:uLnTx/>
              <a:uFillTx/>
              <a:latin typeface="+mn-lt"/>
              <a:ea typeface="+mn-ea"/>
              <a:cs typeface="+mn-cs"/>
            </a:rPr>
            <a:t>r</a:t>
          </a:r>
          <a:r>
            <a:rPr kumimoji="0" lang="en-US" sz="1200" b="0" i="0" u="none" strike="noStrike" kern="0" cap="none" spc="0" normalizeH="0" baseline="30000" noProof="0">
              <a:ln>
                <a:noFill/>
              </a:ln>
              <a:solidFill>
                <a:srgbClr val="808080"/>
              </a:solidFill>
              <a:effectLst/>
              <a:uLnTx/>
              <a:uFillTx/>
              <a:latin typeface="+mn-lt"/>
              <a:ea typeface="+mn-ea"/>
              <a:cs typeface="+mn-cs"/>
            </a:rPr>
            <a:t>2</a:t>
          </a:r>
          <a:r>
            <a:rPr kumimoji="0" lang="en-US" sz="1200" b="0" i="0" u="none" strike="noStrike" kern="0" cap="none" spc="0" normalizeH="0" baseline="0" noProof="0">
              <a:ln>
                <a:noFill/>
              </a:ln>
              <a:solidFill>
                <a:srgbClr val="808080"/>
              </a:solidFill>
              <a:effectLst/>
              <a:uLnTx/>
              <a:uFillTx/>
              <a:latin typeface="+mn-lt"/>
              <a:ea typeface="+mn-ea"/>
              <a:cs typeface="+mn-cs"/>
            </a:rPr>
            <a:t> = 0.9985</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10%-90% 1886-1967</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rgbClr val="808080"/>
            </a:solidFill>
            <a:effectLst/>
            <a:uLnTx/>
            <a:uFillTx/>
            <a:latin typeface="+mn-lt"/>
            <a:ea typeface="+mn-ea"/>
            <a:cs typeface="+mn-cs"/>
          </a:endParaRPr>
        </a:p>
      </cdr:txBody>
    </cdr:sp>
  </cdr:relSizeAnchor>
  <cdr:relSizeAnchor xmlns:cdr="http://schemas.openxmlformats.org/drawingml/2006/chartDrawing">
    <cdr:from>
      <cdr:x>0.55519</cdr:x>
      <cdr:y>0.13889</cdr:y>
    </cdr:from>
    <cdr:to>
      <cdr:x>0.74351</cdr:x>
      <cdr:y>0.23264</cdr:y>
    </cdr:to>
    <cdr:sp macro="" textlink="">
      <cdr:nvSpPr>
        <cdr:cNvPr id="4" name="TextBox 1"/>
        <cdr:cNvSpPr txBox="1"/>
      </cdr:nvSpPr>
      <cdr:spPr>
        <a:xfrm xmlns:a="http://schemas.openxmlformats.org/drawingml/2006/main">
          <a:off x="3257550" y="381000"/>
          <a:ext cx="1104900"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008000"/>
              </a:solidFill>
            </a:rPr>
            <a:t>probit(</a:t>
          </a:r>
          <a:r>
            <a:rPr lang="en-US" sz="1200" i="1" baseline="0">
              <a:solidFill>
                <a:srgbClr val="008000"/>
              </a:solidFill>
            </a:rPr>
            <a:t>q</a:t>
          </a:r>
          <a:r>
            <a:rPr lang="en-US" sz="1200" i="0" baseline="0">
              <a:solidFill>
                <a:srgbClr val="008000"/>
              </a:solidFill>
            </a:rPr>
            <a:t>/</a:t>
          </a:r>
          <a:r>
            <a:rPr lang="en-US" sz="1200" i="1" baseline="0">
              <a:solidFill>
                <a:srgbClr val="008000"/>
              </a:solidFill>
            </a:rPr>
            <a:t>Q</a:t>
          </a:r>
          <a:r>
            <a:rPr lang="en-US" sz="1200" i="0" baseline="0">
              <a:solidFill>
                <a:srgbClr val="008000"/>
              </a:solidFill>
            </a:rPr>
            <a:t>)</a:t>
          </a:r>
          <a:endParaRPr lang="en-US" sz="1200" i="0">
            <a:solidFill>
              <a:srgbClr val="008000"/>
            </a:solidFill>
          </a:endParaRPr>
        </a:p>
      </cdr:txBody>
    </cdr:sp>
  </cdr:relSizeAnchor>
</c:userShapes>
</file>

<file path=xl/drawings/drawing57.xml><?xml version="1.0" encoding="utf-8"?>
<c:userShapes xmlns:c="http://schemas.openxmlformats.org/drawingml/2006/chart">
  <cdr:relSizeAnchor xmlns:cdr="http://schemas.openxmlformats.org/drawingml/2006/chartDrawing">
    <cdr:from>
      <cdr:x>0.13695</cdr:x>
      <cdr:y>0.47222</cdr:y>
    </cdr:from>
    <cdr:to>
      <cdr:x>0.37072</cdr:x>
      <cdr:y>0.67157</cdr:y>
    </cdr:to>
    <cdr:sp macro="" textlink="">
      <cdr:nvSpPr>
        <cdr:cNvPr id="2" name="TextBox 1"/>
        <cdr:cNvSpPr txBox="1"/>
      </cdr:nvSpPr>
      <cdr:spPr>
        <a:xfrm xmlns:a="http://schemas.openxmlformats.org/drawingml/2006/main">
          <a:off x="803540" y="1295400"/>
          <a:ext cx="1371623" cy="5468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200">
              <a:solidFill>
                <a:srgbClr val="808080"/>
              </a:solidFill>
            </a:rPr>
            <a:t>1918 peak during World</a:t>
          </a:r>
          <a:r>
            <a:rPr lang="en-US" sz="1200" baseline="0">
              <a:solidFill>
                <a:srgbClr val="808080"/>
              </a:solidFill>
            </a:rPr>
            <a:t> War I</a:t>
          </a:r>
          <a:endParaRPr lang="en-US" sz="1200">
            <a:solidFill>
              <a:srgbClr val="808080"/>
            </a:solidFill>
          </a:endParaRPr>
        </a:p>
      </cdr:txBody>
    </cdr:sp>
  </cdr:relSizeAnchor>
  <cdr:relSizeAnchor xmlns:cdr="http://schemas.openxmlformats.org/drawingml/2006/chartDrawing">
    <cdr:from>
      <cdr:x>0.26389</cdr:x>
      <cdr:y>0.6492</cdr:y>
    </cdr:from>
    <cdr:to>
      <cdr:x>0.27703</cdr:x>
      <cdr:y>0.72892</cdr:y>
    </cdr:to>
    <cdr:sp macro="" textlink="">
      <cdr:nvSpPr>
        <cdr:cNvPr id="4" name="Straight Arrow Connector 3"/>
        <cdr:cNvSpPr/>
      </cdr:nvSpPr>
      <cdr:spPr>
        <a:xfrm xmlns:a="http://schemas.openxmlformats.org/drawingml/2006/main">
          <a:off x="1548369" y="1780879"/>
          <a:ext cx="77097" cy="218688"/>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0.46496</cdr:x>
      <cdr:y>0.4345</cdr:y>
    </cdr:from>
    <cdr:to>
      <cdr:x>0.63679</cdr:x>
      <cdr:y>0.66369</cdr:y>
    </cdr:to>
    <cdr:sp macro="" textlink="">
      <cdr:nvSpPr>
        <cdr:cNvPr id="5" name="TextBox 1"/>
        <cdr:cNvSpPr txBox="1"/>
      </cdr:nvSpPr>
      <cdr:spPr>
        <a:xfrm xmlns:a="http://schemas.openxmlformats.org/drawingml/2006/main">
          <a:off x="2728128" y="1191908"/>
          <a:ext cx="1008196" cy="62871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808080"/>
              </a:solidFill>
            </a:rPr>
            <a:t>1970     Clean Air Act extension</a:t>
          </a:r>
        </a:p>
      </cdr:txBody>
    </cdr:sp>
  </cdr:relSizeAnchor>
  <cdr:relSizeAnchor xmlns:cdr="http://schemas.openxmlformats.org/drawingml/2006/chartDrawing">
    <cdr:from>
      <cdr:x>0.57</cdr:x>
      <cdr:y>0.67063</cdr:y>
    </cdr:from>
    <cdr:to>
      <cdr:x>0.58927</cdr:x>
      <cdr:y>0.77261</cdr:y>
    </cdr:to>
    <cdr:sp macro="" textlink="">
      <cdr:nvSpPr>
        <cdr:cNvPr id="6" name="Straight Arrow Connector 5"/>
        <cdr:cNvSpPr/>
      </cdr:nvSpPr>
      <cdr:spPr>
        <a:xfrm xmlns:a="http://schemas.openxmlformats.org/drawingml/2006/main">
          <a:off x="3344439" y="1839672"/>
          <a:ext cx="113065" cy="279752"/>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58.xml><?xml version="1.0" encoding="utf-8"?>
<c:userShapes xmlns:c="http://schemas.openxmlformats.org/drawingml/2006/chart">
  <cdr:relSizeAnchor xmlns:cdr="http://schemas.openxmlformats.org/drawingml/2006/chartDrawing">
    <cdr:from>
      <cdr:x>0.21587</cdr:x>
      <cdr:y>0.15074</cdr:y>
    </cdr:from>
    <cdr:to>
      <cdr:x>0.65422</cdr:x>
      <cdr:y>0.44612</cdr:y>
    </cdr:to>
    <cdr:sp macro="" textlink="">
      <cdr:nvSpPr>
        <cdr:cNvPr id="3" name="TextBox 1"/>
        <cdr:cNvSpPr txBox="1"/>
      </cdr:nvSpPr>
      <cdr:spPr>
        <a:xfrm xmlns:a="http://schemas.openxmlformats.org/drawingml/2006/main">
          <a:off x="1266612" y="413510"/>
          <a:ext cx="2571963" cy="81028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Trend 1978 to 2009</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long-term production estimate 45Gt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mn-lt"/>
              <a:ea typeface="+mn-ea"/>
              <a:cs typeface="+mn-cs"/>
            </a:rPr>
            <a:t>r</a:t>
          </a:r>
          <a:r>
            <a:rPr kumimoji="0" lang="en-US" sz="1200" b="0" i="0" u="none" strike="noStrike" kern="0" cap="none" spc="0" normalizeH="0" baseline="30000" noProof="0">
              <a:ln>
                <a:noFill/>
              </a:ln>
              <a:solidFill>
                <a:srgbClr val="808080"/>
              </a:solidFill>
              <a:effectLst/>
              <a:uLnTx/>
              <a:uFillTx/>
              <a:latin typeface="+mn-lt"/>
              <a:ea typeface="+mn-ea"/>
              <a:cs typeface="+mn-cs"/>
            </a:rPr>
            <a:t>2</a:t>
          </a:r>
          <a:r>
            <a:rPr kumimoji="0" lang="en-US" sz="1200" b="0" i="0" u="none" strike="noStrike" kern="0" cap="none" spc="0" normalizeH="0" baseline="0" noProof="0">
              <a:ln>
                <a:noFill/>
              </a:ln>
              <a:solidFill>
                <a:srgbClr val="808080"/>
              </a:solidFill>
              <a:effectLst/>
              <a:uLnTx/>
              <a:uFillTx/>
              <a:latin typeface="+mn-lt"/>
              <a:ea typeface="+mn-ea"/>
              <a:cs typeface="+mn-cs"/>
            </a:rPr>
            <a:t> = 0.999985</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10%-90% 1981-2054</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rgbClr val="808080"/>
            </a:solidFill>
            <a:effectLst/>
            <a:uLnTx/>
            <a:uFillTx/>
            <a:latin typeface="+mn-lt"/>
            <a:ea typeface="+mn-ea"/>
            <a:cs typeface="+mn-cs"/>
          </a:endParaRPr>
        </a:p>
      </cdr:txBody>
    </cdr:sp>
  </cdr:relSizeAnchor>
  <cdr:relSizeAnchor xmlns:cdr="http://schemas.openxmlformats.org/drawingml/2006/chartDrawing">
    <cdr:from>
      <cdr:x>0.41234</cdr:x>
      <cdr:y>0.52083</cdr:y>
    </cdr:from>
    <cdr:to>
      <cdr:x>0.60065</cdr:x>
      <cdr:y>0.61458</cdr:y>
    </cdr:to>
    <cdr:sp macro="" textlink="">
      <cdr:nvSpPr>
        <cdr:cNvPr id="4" name="TextBox 1"/>
        <cdr:cNvSpPr txBox="1"/>
      </cdr:nvSpPr>
      <cdr:spPr>
        <a:xfrm xmlns:a="http://schemas.openxmlformats.org/drawingml/2006/main">
          <a:off x="2419350" y="1428750"/>
          <a:ext cx="1104900"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008000"/>
              </a:solidFill>
            </a:rPr>
            <a:t>logit(</a:t>
          </a:r>
          <a:r>
            <a:rPr lang="en-US" sz="1200" i="1" baseline="0">
              <a:solidFill>
                <a:srgbClr val="008000"/>
              </a:solidFill>
            </a:rPr>
            <a:t>q</a:t>
          </a:r>
          <a:r>
            <a:rPr lang="en-US" sz="1200" i="0" baseline="0">
              <a:solidFill>
                <a:srgbClr val="008000"/>
              </a:solidFill>
            </a:rPr>
            <a:t>/</a:t>
          </a:r>
          <a:r>
            <a:rPr lang="en-US" sz="1200" i="1" baseline="0">
              <a:solidFill>
                <a:srgbClr val="008000"/>
              </a:solidFill>
            </a:rPr>
            <a:t>Q</a:t>
          </a:r>
          <a:r>
            <a:rPr lang="en-US" sz="1200" i="0" baseline="0">
              <a:solidFill>
                <a:srgbClr val="008000"/>
              </a:solidFill>
            </a:rPr>
            <a:t>)</a:t>
          </a:r>
          <a:endParaRPr lang="en-US" sz="1200" i="0">
            <a:solidFill>
              <a:srgbClr val="008000"/>
            </a:solidFill>
          </a:endParaRPr>
        </a:p>
      </cdr:txBody>
    </cdr:sp>
  </cdr:relSizeAnchor>
</c:userShapes>
</file>

<file path=xl/drawings/drawing59.xml><?xml version="1.0" encoding="utf-8"?>
<c:userShapes xmlns:c="http://schemas.openxmlformats.org/drawingml/2006/chart">
  <cdr:relSizeAnchor xmlns:cdr="http://schemas.openxmlformats.org/drawingml/2006/chartDrawing">
    <cdr:from>
      <cdr:x>0.57302</cdr:x>
      <cdr:y>0.53895</cdr:y>
    </cdr:from>
    <cdr:to>
      <cdr:x>0.84921</cdr:x>
      <cdr:y>0.75695</cdr:y>
    </cdr:to>
    <cdr:sp macro="" textlink="">
      <cdr:nvSpPr>
        <cdr:cNvPr id="4" name="TextBox 1"/>
        <cdr:cNvSpPr txBox="1"/>
      </cdr:nvSpPr>
      <cdr:spPr>
        <a:xfrm xmlns:a="http://schemas.openxmlformats.org/drawingml/2006/main">
          <a:off x="3438537" y="1478442"/>
          <a:ext cx="1657348" cy="598017"/>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Largest residual from 1978 on is 1 month in the 2009 recession</a:t>
          </a:r>
          <a:endParaRPr lang="en-US" sz="1200" i="0">
            <a:solidFill>
              <a:srgbClr val="808080"/>
            </a:solidFill>
          </a:endParaRPr>
        </a:p>
      </cdr:txBody>
    </cdr:sp>
  </cdr:relSizeAnchor>
  <cdr:relSizeAnchor xmlns:cdr="http://schemas.openxmlformats.org/drawingml/2006/chartDrawing">
    <cdr:from>
      <cdr:x>0.83492</cdr:x>
      <cdr:y>0.47222</cdr:y>
    </cdr:from>
    <cdr:to>
      <cdr:x>0.88095</cdr:x>
      <cdr:y>0.5625</cdr:y>
    </cdr:to>
    <cdr:sp macro="" textlink="">
      <cdr:nvSpPr>
        <cdr:cNvPr id="6" name="Straight Arrow Connector 5"/>
        <cdr:cNvSpPr/>
      </cdr:nvSpPr>
      <cdr:spPr>
        <a:xfrm xmlns:a="http://schemas.openxmlformats.org/drawingml/2006/main" rot="16200000">
          <a:off x="5024429" y="1281120"/>
          <a:ext cx="247654" cy="276206"/>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0.64762</cdr:x>
      <cdr:y>0.28472</cdr:y>
    </cdr:from>
    <cdr:to>
      <cdr:x>0.85714</cdr:x>
      <cdr:y>0.38119</cdr:y>
    </cdr:to>
    <cdr:sp macro="" textlink="">
      <cdr:nvSpPr>
        <cdr:cNvPr id="5" name="TextBox 1"/>
        <cdr:cNvSpPr txBox="1"/>
      </cdr:nvSpPr>
      <cdr:spPr>
        <a:xfrm xmlns:a="http://schemas.openxmlformats.org/drawingml/2006/main">
          <a:off x="3886200" y="781050"/>
          <a:ext cx="1257297" cy="264636"/>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Clean-Air Act era</a:t>
          </a:r>
          <a:endParaRPr lang="en-US" sz="1200" i="0">
            <a:solidFill>
              <a:srgbClr val="808080"/>
            </a:solidFill>
          </a:endParaRPr>
        </a:p>
      </cdr:txBody>
    </cdr:sp>
  </cdr:relSizeAnchor>
  <cdr:relSizeAnchor xmlns:cdr="http://schemas.openxmlformats.org/drawingml/2006/chartDrawing">
    <cdr:from>
      <cdr:x>0.2254</cdr:x>
      <cdr:y>0.20486</cdr:y>
    </cdr:from>
    <cdr:to>
      <cdr:x>0.41746</cdr:x>
      <cdr:y>0.30133</cdr:y>
    </cdr:to>
    <cdr:sp macro="" textlink="">
      <cdr:nvSpPr>
        <cdr:cNvPr id="7" name="TextBox 1"/>
        <cdr:cNvSpPr txBox="1"/>
      </cdr:nvSpPr>
      <cdr:spPr>
        <a:xfrm xmlns:a="http://schemas.openxmlformats.org/drawingml/2006/main">
          <a:off x="1352550" y="561975"/>
          <a:ext cx="1152522" cy="264636"/>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Locomotive era</a:t>
          </a:r>
          <a:endParaRPr lang="en-US" sz="1200" i="0">
            <a:solidFill>
              <a:srgbClr val="808080"/>
            </a:solidFill>
          </a:endParaRPr>
        </a:p>
      </cdr:txBody>
    </cdr:sp>
  </cdr:relSizeAnchor>
</c:userShapes>
</file>

<file path=xl/drawings/drawing60.xml><?xml version="1.0" encoding="utf-8"?>
<c:userShapes xmlns:c="http://schemas.openxmlformats.org/drawingml/2006/chart">
  <cdr:relSizeAnchor xmlns:cdr="http://schemas.openxmlformats.org/drawingml/2006/chartDrawing">
    <cdr:from>
      <cdr:x>0.7746</cdr:x>
      <cdr:y>0.39583</cdr:y>
    </cdr:from>
    <cdr:to>
      <cdr:x>0.90317</cdr:x>
      <cdr:y>0.57292</cdr:y>
    </cdr:to>
    <cdr:sp macro="" textlink="">
      <cdr:nvSpPr>
        <cdr:cNvPr id="2" name="TextBox 1"/>
        <cdr:cNvSpPr txBox="1"/>
      </cdr:nvSpPr>
      <cdr:spPr>
        <a:xfrm xmlns:a="http://schemas.openxmlformats.org/drawingml/2006/main">
          <a:off x="4648194" y="1085838"/>
          <a:ext cx="771517" cy="48579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Logistic model</a:t>
          </a:r>
        </a:p>
      </cdr:txBody>
    </cdr:sp>
  </cdr:relSizeAnchor>
  <cdr:relSizeAnchor xmlns:cdr="http://schemas.openxmlformats.org/drawingml/2006/chartDrawing">
    <cdr:from>
      <cdr:x>0.38731</cdr:x>
      <cdr:y>0.65624</cdr:y>
    </cdr:from>
    <cdr:to>
      <cdr:x>0.6762</cdr:x>
      <cdr:y>0.76041</cdr:y>
    </cdr:to>
    <cdr:sp macro="" textlink="">
      <cdr:nvSpPr>
        <cdr:cNvPr id="3" name="TextBox 1"/>
        <cdr:cNvSpPr txBox="1"/>
      </cdr:nvSpPr>
      <cdr:spPr>
        <a:xfrm xmlns:a="http://schemas.openxmlformats.org/drawingml/2006/main">
          <a:off x="2324126" y="1800201"/>
          <a:ext cx="1733556" cy="2857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0.4127</cdr:x>
      <cdr:y>0.0366</cdr:y>
    </cdr:from>
    <cdr:to>
      <cdr:x>0.67024</cdr:x>
      <cdr:y>0.20487</cdr:y>
    </cdr:to>
    <cdr:sp macro="" textlink="">
      <cdr:nvSpPr>
        <cdr:cNvPr id="5" name="TextBox 1"/>
        <cdr:cNvSpPr txBox="1"/>
      </cdr:nvSpPr>
      <cdr:spPr>
        <a:xfrm xmlns:a="http://schemas.openxmlformats.org/drawingml/2006/main">
          <a:off x="2476505" y="100392"/>
          <a:ext cx="1545433" cy="4615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long-term production estimates</a:t>
          </a:r>
        </a:p>
      </cdr:txBody>
    </cdr:sp>
  </cdr:relSizeAnchor>
  <cdr:relSizeAnchor xmlns:cdr="http://schemas.openxmlformats.org/drawingml/2006/chartDrawing">
    <cdr:from>
      <cdr:x>0.38889</cdr:x>
      <cdr:y>0.33957</cdr:y>
    </cdr:from>
    <cdr:to>
      <cdr:x>0.72733</cdr:x>
      <cdr:y>0.4497</cdr:y>
    </cdr:to>
    <cdr:sp macro="" textlink="">
      <cdr:nvSpPr>
        <cdr:cNvPr id="6" name="TextBox 1"/>
        <cdr:cNvSpPr txBox="1"/>
      </cdr:nvSpPr>
      <cdr:spPr>
        <a:xfrm xmlns:a="http://schemas.openxmlformats.org/drawingml/2006/main">
          <a:off x="2333613" y="931502"/>
          <a:ext cx="2030893" cy="3021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Current estimate (45Gt)</a:t>
          </a:r>
          <a:endParaRPr lang="en-US" sz="1200" i="0">
            <a:solidFill>
              <a:srgbClr val="808080"/>
            </a:solidFill>
          </a:endParaRPr>
        </a:p>
      </cdr:txBody>
    </cdr:sp>
  </cdr:relSizeAnchor>
  <cdr:relSizeAnchor xmlns:cdr="http://schemas.openxmlformats.org/drawingml/2006/chartDrawing">
    <cdr:from>
      <cdr:x>0.69657</cdr:x>
      <cdr:y>0.25486</cdr:y>
    </cdr:from>
    <cdr:to>
      <cdr:x>0.78237</cdr:x>
      <cdr:y>0.3888</cdr:y>
    </cdr:to>
    <cdr:sp macro="" textlink="">
      <cdr:nvSpPr>
        <cdr:cNvPr id="8" name="Straight Arrow Connector 7"/>
        <cdr:cNvSpPr/>
      </cdr:nvSpPr>
      <cdr:spPr>
        <a:xfrm xmlns:a="http://schemas.openxmlformats.org/drawingml/2006/main" flipV="1">
          <a:off x="4179946" y="699144"/>
          <a:ext cx="514865" cy="367424"/>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0.0746</cdr:x>
      <cdr:y>0.69792</cdr:y>
    </cdr:from>
    <cdr:to>
      <cdr:x>0.39842</cdr:x>
      <cdr:y>0.8125</cdr:y>
    </cdr:to>
    <cdr:sp macro="" textlink="">
      <cdr:nvSpPr>
        <cdr:cNvPr id="7" name="TextBox 1"/>
        <cdr:cNvSpPr txBox="1"/>
      </cdr:nvSpPr>
      <cdr:spPr>
        <a:xfrm xmlns:a="http://schemas.openxmlformats.org/drawingml/2006/main">
          <a:off x="447676" y="1914534"/>
          <a:ext cx="1943144" cy="31431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Cumulative normal model</a:t>
          </a:r>
        </a:p>
      </cdr:txBody>
    </cdr:sp>
  </cdr:relSizeAnchor>
</c:userShapes>
</file>

<file path=xl/drawings/drawing61.xml><?xml version="1.0" encoding="utf-8"?>
<xdr:wsDr xmlns:xdr="http://schemas.openxmlformats.org/drawingml/2006/spreadsheetDrawing" xmlns:a="http://schemas.openxmlformats.org/drawingml/2006/main">
  <xdr:twoCellAnchor>
    <xdr:from>
      <xdr:col>1</xdr:col>
      <xdr:colOff>47625</xdr:colOff>
      <xdr:row>35</xdr:row>
      <xdr:rowOff>95250</xdr:rowOff>
    </xdr:from>
    <xdr:to>
      <xdr:col>1</xdr:col>
      <xdr:colOff>5915025</xdr:colOff>
      <xdr:row>54</xdr:row>
      <xdr:rowOff>123825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14</xdr:row>
      <xdr:rowOff>66675</xdr:rowOff>
    </xdr:from>
    <xdr:to>
      <xdr:col>1</xdr:col>
      <xdr:colOff>5962650</xdr:colOff>
      <xdr:row>33</xdr:row>
      <xdr:rowOff>95250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57</xdr:row>
      <xdr:rowOff>0</xdr:rowOff>
    </xdr:from>
    <xdr:to>
      <xdr:col>1</xdr:col>
      <xdr:colOff>5867400</xdr:colOff>
      <xdr:row>76</xdr:row>
      <xdr:rowOff>28575</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79</xdr:row>
      <xdr:rowOff>0</xdr:rowOff>
    </xdr:from>
    <xdr:to>
      <xdr:col>1</xdr:col>
      <xdr:colOff>6000750</xdr:colOff>
      <xdr:row>98</xdr:row>
      <xdr:rowOff>28575</xdr:rowOff>
    </xdr:to>
    <xdr:graphicFrame macro="">
      <xdr:nvGraphicFramePr>
        <xdr:cNvPr id="5" name="Chart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101</xdr:row>
      <xdr:rowOff>0</xdr:rowOff>
    </xdr:from>
    <xdr:to>
      <xdr:col>1</xdr:col>
      <xdr:colOff>6000750</xdr:colOff>
      <xdr:row>120</xdr:row>
      <xdr:rowOff>28575</xdr:rowOff>
    </xdr:to>
    <xdr:graphicFrame macro="">
      <xdr:nvGraphicFramePr>
        <xdr:cNvPr id="6" name="Chart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2.xml><?xml version="1.0" encoding="utf-8"?>
<c:userShapes xmlns:c="http://schemas.openxmlformats.org/drawingml/2006/chart">
  <cdr:relSizeAnchor xmlns:cdr="http://schemas.openxmlformats.org/drawingml/2006/chartDrawing">
    <cdr:from>
      <cdr:x>0.4308</cdr:x>
      <cdr:y>0.36781</cdr:y>
    </cdr:from>
    <cdr:to>
      <cdr:x>0.79606</cdr:x>
      <cdr:y>0.66319</cdr:y>
    </cdr:to>
    <cdr:sp macro="" textlink="">
      <cdr:nvSpPr>
        <cdr:cNvPr id="3" name="TextBox 1"/>
        <cdr:cNvSpPr txBox="1"/>
      </cdr:nvSpPr>
      <cdr:spPr>
        <a:xfrm xmlns:a="http://schemas.openxmlformats.org/drawingml/2006/main">
          <a:off x="2527658" y="1008967"/>
          <a:ext cx="2143126" cy="81028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Early trend 1856 to 1931 </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 long-term production 21Gt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mn-lt"/>
              <a:ea typeface="+mn-ea"/>
              <a:cs typeface="+mn-cs"/>
            </a:rPr>
            <a:t>r</a:t>
          </a:r>
          <a:r>
            <a:rPr kumimoji="0" lang="en-US" sz="1200" b="0" i="0" u="none" strike="noStrike" kern="0" cap="none" spc="0" normalizeH="0" baseline="30000" noProof="0">
              <a:ln>
                <a:noFill/>
              </a:ln>
              <a:solidFill>
                <a:srgbClr val="808080"/>
              </a:solidFill>
              <a:effectLst/>
              <a:uLnTx/>
              <a:uFillTx/>
              <a:latin typeface="+mn-lt"/>
              <a:ea typeface="+mn-ea"/>
              <a:cs typeface="+mn-cs"/>
            </a:rPr>
            <a:t>2</a:t>
          </a:r>
          <a:r>
            <a:rPr kumimoji="0" lang="en-US" sz="1200" b="0" i="0" u="none" strike="noStrike" kern="0" cap="none" spc="0" normalizeH="0" baseline="0" noProof="0">
              <a:ln>
                <a:noFill/>
              </a:ln>
              <a:solidFill>
                <a:srgbClr val="808080"/>
              </a:solidFill>
              <a:effectLst/>
              <a:uLnTx/>
              <a:uFillTx/>
              <a:latin typeface="+mn-lt"/>
              <a:ea typeface="+mn-ea"/>
              <a:cs typeface="+mn-cs"/>
            </a:rPr>
            <a:t> = 0.99984</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10%-90% 1899-1952</a:t>
          </a:r>
        </a:p>
      </cdr:txBody>
    </cdr:sp>
  </cdr:relSizeAnchor>
  <cdr:relSizeAnchor xmlns:cdr="http://schemas.openxmlformats.org/drawingml/2006/chartDrawing">
    <cdr:from>
      <cdr:x>0.51623</cdr:x>
      <cdr:y>0.125</cdr:y>
    </cdr:from>
    <cdr:to>
      <cdr:x>0.70455</cdr:x>
      <cdr:y>0.21875</cdr:y>
    </cdr:to>
    <cdr:sp macro="" textlink="">
      <cdr:nvSpPr>
        <cdr:cNvPr id="4" name="TextBox 1"/>
        <cdr:cNvSpPr txBox="1"/>
      </cdr:nvSpPr>
      <cdr:spPr>
        <a:xfrm xmlns:a="http://schemas.openxmlformats.org/drawingml/2006/main">
          <a:off x="3028950" y="342900"/>
          <a:ext cx="1104900"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008000"/>
              </a:solidFill>
            </a:rPr>
            <a:t>logit(</a:t>
          </a:r>
          <a:r>
            <a:rPr lang="en-US" sz="1200" i="1" baseline="0">
              <a:solidFill>
                <a:srgbClr val="008000"/>
              </a:solidFill>
            </a:rPr>
            <a:t>q</a:t>
          </a:r>
          <a:r>
            <a:rPr lang="en-US" sz="1200" i="0" baseline="0">
              <a:solidFill>
                <a:srgbClr val="008000"/>
              </a:solidFill>
            </a:rPr>
            <a:t>/</a:t>
          </a:r>
          <a:r>
            <a:rPr lang="en-US" sz="1200" i="1" baseline="0">
              <a:solidFill>
                <a:srgbClr val="008000"/>
              </a:solidFill>
            </a:rPr>
            <a:t>Q</a:t>
          </a:r>
          <a:r>
            <a:rPr lang="en-US" sz="1200" i="0" baseline="0">
              <a:solidFill>
                <a:srgbClr val="008000"/>
              </a:solidFill>
            </a:rPr>
            <a:t>)</a:t>
          </a:r>
          <a:endParaRPr lang="en-US" sz="1200" i="0">
            <a:solidFill>
              <a:srgbClr val="008000"/>
            </a:solidFill>
          </a:endParaRPr>
        </a:p>
      </cdr:txBody>
    </cdr:sp>
  </cdr:relSizeAnchor>
</c:userShapes>
</file>

<file path=xl/drawings/drawing63.xml><?xml version="1.0" encoding="utf-8"?>
<c:userShapes xmlns:c="http://schemas.openxmlformats.org/drawingml/2006/chart">
  <cdr:relSizeAnchor xmlns:cdr="http://schemas.openxmlformats.org/drawingml/2006/chartDrawing">
    <cdr:from>
      <cdr:x>0.51236</cdr:x>
      <cdr:y>0.01306</cdr:y>
    </cdr:from>
    <cdr:to>
      <cdr:x>0.68419</cdr:x>
      <cdr:y>0.11137</cdr:y>
    </cdr:to>
    <cdr:sp macro="" textlink="">
      <cdr:nvSpPr>
        <cdr:cNvPr id="5" name="TextBox 1"/>
        <cdr:cNvSpPr txBox="1"/>
      </cdr:nvSpPr>
      <cdr:spPr>
        <a:xfrm xmlns:a="http://schemas.openxmlformats.org/drawingml/2006/main">
          <a:off x="3006241" y="36179"/>
          <a:ext cx="1008195" cy="27237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808080"/>
              </a:solidFill>
            </a:rPr>
            <a:t>1990</a:t>
          </a:r>
          <a:r>
            <a:rPr lang="en-US" sz="1200" baseline="0">
              <a:solidFill>
                <a:srgbClr val="808080"/>
              </a:solidFill>
            </a:rPr>
            <a:t> peak</a:t>
          </a:r>
          <a:endParaRPr lang="en-US" sz="1200">
            <a:solidFill>
              <a:srgbClr val="808080"/>
            </a:solidFill>
          </a:endParaRPr>
        </a:p>
      </cdr:txBody>
    </cdr:sp>
  </cdr:relSizeAnchor>
  <cdr:relSizeAnchor xmlns:cdr="http://schemas.openxmlformats.org/drawingml/2006/chartDrawing">
    <cdr:from>
      <cdr:x>0.65833</cdr:x>
      <cdr:y>0.06969</cdr:y>
    </cdr:from>
    <cdr:to>
      <cdr:x>0.70485</cdr:x>
      <cdr:y>0.09205</cdr:y>
    </cdr:to>
    <cdr:sp macro="" textlink="">
      <cdr:nvSpPr>
        <cdr:cNvPr id="6" name="Straight Arrow Connector 5"/>
        <cdr:cNvSpPr/>
      </cdr:nvSpPr>
      <cdr:spPr>
        <a:xfrm xmlns:a="http://schemas.openxmlformats.org/drawingml/2006/main">
          <a:off x="3862678" y="193098"/>
          <a:ext cx="272980" cy="61950"/>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64.xml><?xml version="1.0" encoding="utf-8"?>
<c:userShapes xmlns:c="http://schemas.openxmlformats.org/drawingml/2006/chart">
  <cdr:relSizeAnchor xmlns:cdr="http://schemas.openxmlformats.org/drawingml/2006/chartDrawing">
    <cdr:from>
      <cdr:x>0.23373</cdr:x>
      <cdr:y>0.15074</cdr:y>
    </cdr:from>
    <cdr:to>
      <cdr:x>0.59899</cdr:x>
      <cdr:y>0.44612</cdr:y>
    </cdr:to>
    <cdr:sp macro="" textlink="">
      <cdr:nvSpPr>
        <cdr:cNvPr id="3" name="TextBox 1"/>
        <cdr:cNvSpPr txBox="1"/>
      </cdr:nvSpPr>
      <cdr:spPr>
        <a:xfrm xmlns:a="http://schemas.openxmlformats.org/drawingml/2006/main">
          <a:off x="1371377" y="412108"/>
          <a:ext cx="2143127" cy="80753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Trend 1947 to present </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long-term projection 82Gt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mn-lt"/>
              <a:ea typeface="+mn-ea"/>
              <a:cs typeface="+mn-cs"/>
            </a:rPr>
            <a:t>r</a:t>
          </a:r>
          <a:r>
            <a:rPr kumimoji="0" lang="en-US" sz="1200" b="0" i="0" u="none" strike="noStrike" kern="0" cap="none" spc="0" normalizeH="0" baseline="30000" noProof="0">
              <a:ln>
                <a:noFill/>
              </a:ln>
              <a:solidFill>
                <a:srgbClr val="808080"/>
              </a:solidFill>
              <a:effectLst/>
              <a:uLnTx/>
              <a:uFillTx/>
              <a:latin typeface="+mn-lt"/>
              <a:ea typeface="+mn-ea"/>
              <a:cs typeface="+mn-cs"/>
            </a:rPr>
            <a:t>2</a:t>
          </a:r>
          <a:r>
            <a:rPr kumimoji="0" lang="en-US" sz="1200" b="0" i="0" u="none" strike="noStrike" kern="0" cap="none" spc="0" normalizeH="0" baseline="0" noProof="0">
              <a:ln>
                <a:noFill/>
              </a:ln>
              <a:solidFill>
                <a:srgbClr val="808080"/>
              </a:solidFill>
              <a:effectLst/>
              <a:uLnTx/>
              <a:uFillTx/>
              <a:latin typeface="+mn-lt"/>
              <a:ea typeface="+mn-ea"/>
              <a:cs typeface="+mn-cs"/>
            </a:rPr>
            <a:t> = 0.99972</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10%-90% 1905-2084</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rgbClr val="808080"/>
            </a:solidFill>
            <a:effectLst/>
            <a:uLnTx/>
            <a:uFillTx/>
            <a:latin typeface="+mn-lt"/>
            <a:ea typeface="+mn-ea"/>
            <a:cs typeface="+mn-cs"/>
          </a:endParaRPr>
        </a:p>
      </cdr:txBody>
    </cdr:sp>
  </cdr:relSizeAnchor>
  <cdr:relSizeAnchor xmlns:cdr="http://schemas.openxmlformats.org/drawingml/2006/chartDrawing">
    <cdr:from>
      <cdr:x>0.4724</cdr:x>
      <cdr:y>0.46528</cdr:y>
    </cdr:from>
    <cdr:to>
      <cdr:x>0.66071</cdr:x>
      <cdr:y>0.55903</cdr:y>
    </cdr:to>
    <cdr:sp macro="" textlink="">
      <cdr:nvSpPr>
        <cdr:cNvPr id="4" name="TextBox 1"/>
        <cdr:cNvSpPr txBox="1"/>
      </cdr:nvSpPr>
      <cdr:spPr>
        <a:xfrm xmlns:a="http://schemas.openxmlformats.org/drawingml/2006/main">
          <a:off x="2771775" y="1276350"/>
          <a:ext cx="1104900"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008000"/>
              </a:solidFill>
            </a:rPr>
            <a:t>logit(</a:t>
          </a:r>
          <a:r>
            <a:rPr lang="en-US" sz="1200" i="1" baseline="0">
              <a:solidFill>
                <a:srgbClr val="008000"/>
              </a:solidFill>
            </a:rPr>
            <a:t>q</a:t>
          </a:r>
          <a:r>
            <a:rPr lang="en-US" sz="1200" i="0" baseline="0">
              <a:solidFill>
                <a:srgbClr val="008000"/>
              </a:solidFill>
            </a:rPr>
            <a:t>/</a:t>
          </a:r>
          <a:r>
            <a:rPr lang="en-US" sz="1200" i="1" baseline="0">
              <a:solidFill>
                <a:srgbClr val="008000"/>
              </a:solidFill>
            </a:rPr>
            <a:t>Q</a:t>
          </a:r>
          <a:r>
            <a:rPr lang="en-US" sz="1200" i="0" baseline="0">
              <a:solidFill>
                <a:srgbClr val="008000"/>
              </a:solidFill>
            </a:rPr>
            <a:t>)</a:t>
          </a:r>
          <a:endParaRPr lang="en-US" sz="1200" i="0">
            <a:solidFill>
              <a:srgbClr val="008000"/>
            </a:solidFill>
          </a:endParaRPr>
        </a:p>
      </cdr:txBody>
    </cdr:sp>
  </cdr:relSizeAnchor>
</c:userShapes>
</file>

<file path=xl/drawings/drawing65.xml><?xml version="1.0" encoding="utf-8"?>
<c:userShapes xmlns:c="http://schemas.openxmlformats.org/drawingml/2006/chart">
  <cdr:relSizeAnchor xmlns:cdr="http://schemas.openxmlformats.org/drawingml/2006/chartDrawing">
    <cdr:from>
      <cdr:x>0.52698</cdr:x>
      <cdr:y>0.61458</cdr:y>
    </cdr:from>
    <cdr:to>
      <cdr:x>0.82063</cdr:x>
      <cdr:y>0.78472</cdr:y>
    </cdr:to>
    <cdr:sp macro="" textlink="">
      <cdr:nvSpPr>
        <cdr:cNvPr id="2" name="TextBox 1"/>
        <cdr:cNvSpPr txBox="1"/>
      </cdr:nvSpPr>
      <cdr:spPr>
        <a:xfrm xmlns:a="http://schemas.openxmlformats.org/drawingml/2006/main">
          <a:off x="3162299" y="1685913"/>
          <a:ext cx="1762125" cy="4667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US" sz="1200">
              <a:solidFill>
                <a:srgbClr val="808080"/>
              </a:solidFill>
            </a:rPr>
            <a:t>Production</a:t>
          </a:r>
          <a:r>
            <a:rPr lang="en-US" sz="1200" baseline="0">
              <a:solidFill>
                <a:srgbClr val="808080"/>
              </a:solidFill>
            </a:rPr>
            <a:t> slipping, now 8 months behind trend </a:t>
          </a:r>
          <a:endParaRPr lang="en-US" sz="1200">
            <a:solidFill>
              <a:srgbClr val="808080"/>
            </a:solidFill>
          </a:endParaRPr>
        </a:p>
      </cdr:txBody>
    </cdr:sp>
  </cdr:relSizeAnchor>
  <cdr:relSizeAnchor xmlns:cdr="http://schemas.openxmlformats.org/drawingml/2006/chartDrawing">
    <cdr:from>
      <cdr:x>0.81429</cdr:x>
      <cdr:y>0.61806</cdr:y>
    </cdr:from>
    <cdr:to>
      <cdr:x>0.85238</cdr:x>
      <cdr:y>0.70486</cdr:y>
    </cdr:to>
    <cdr:sp macro="" textlink="">
      <cdr:nvSpPr>
        <cdr:cNvPr id="4" name="Straight Arrow Connector 3"/>
        <cdr:cNvSpPr/>
      </cdr:nvSpPr>
      <cdr:spPr>
        <a:xfrm xmlns:a="http://schemas.openxmlformats.org/drawingml/2006/main" rot="5400000" flipH="1" flipV="1">
          <a:off x="4881564" y="1700212"/>
          <a:ext cx="238124" cy="228600"/>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66.xml><?xml version="1.0" encoding="utf-8"?>
<c:userShapes xmlns:c="http://schemas.openxmlformats.org/drawingml/2006/chart">
  <cdr:relSizeAnchor xmlns:cdr="http://schemas.openxmlformats.org/drawingml/2006/chartDrawing">
    <cdr:from>
      <cdr:x>0.78571</cdr:x>
      <cdr:y>0.31032</cdr:y>
    </cdr:from>
    <cdr:to>
      <cdr:x>0.9057</cdr:x>
      <cdr:y>0.46528</cdr:y>
    </cdr:to>
    <cdr:sp macro="" textlink="">
      <cdr:nvSpPr>
        <cdr:cNvPr id="2" name="TextBox 1"/>
        <cdr:cNvSpPr txBox="1"/>
      </cdr:nvSpPr>
      <cdr:spPr>
        <a:xfrm xmlns:a="http://schemas.openxmlformats.org/drawingml/2006/main">
          <a:off x="4714875" y="851282"/>
          <a:ext cx="720026" cy="42506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Logistic model</a:t>
          </a:r>
        </a:p>
      </cdr:txBody>
    </cdr:sp>
  </cdr:relSizeAnchor>
  <cdr:relSizeAnchor xmlns:cdr="http://schemas.openxmlformats.org/drawingml/2006/chartDrawing">
    <cdr:from>
      <cdr:x>0.27926</cdr:x>
      <cdr:y>0.53342</cdr:y>
    </cdr:from>
    <cdr:to>
      <cdr:x>0.56815</cdr:x>
      <cdr:y>0.63759</cdr:y>
    </cdr:to>
    <cdr:sp macro="" textlink="">
      <cdr:nvSpPr>
        <cdr:cNvPr id="3" name="TextBox 1"/>
        <cdr:cNvSpPr txBox="1"/>
      </cdr:nvSpPr>
      <cdr:spPr>
        <a:xfrm xmlns:a="http://schemas.openxmlformats.org/drawingml/2006/main">
          <a:off x="1675794" y="1463272"/>
          <a:ext cx="1733557" cy="2857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0.05642</cdr:x>
      <cdr:y>0.66674</cdr:y>
    </cdr:from>
    <cdr:to>
      <cdr:x>0.23579</cdr:x>
      <cdr:y>0.78132</cdr:y>
    </cdr:to>
    <cdr:sp macro="" textlink="">
      <cdr:nvSpPr>
        <cdr:cNvPr id="4" name="TextBox 1"/>
        <cdr:cNvSpPr txBox="1"/>
      </cdr:nvSpPr>
      <cdr:spPr>
        <a:xfrm xmlns:a="http://schemas.openxmlformats.org/drawingml/2006/main">
          <a:off x="338558" y="1845299"/>
          <a:ext cx="1076355" cy="31711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Logistic fit</a:t>
          </a:r>
        </a:p>
      </cdr:txBody>
    </cdr:sp>
  </cdr:relSizeAnchor>
  <cdr:relSizeAnchor xmlns:cdr="http://schemas.openxmlformats.org/drawingml/2006/chartDrawing">
    <cdr:from>
      <cdr:x>0.41429</cdr:x>
      <cdr:y>0.05903</cdr:y>
    </cdr:from>
    <cdr:to>
      <cdr:x>0.67196</cdr:x>
      <cdr:y>0.23264</cdr:y>
    </cdr:to>
    <cdr:sp macro="" textlink="">
      <cdr:nvSpPr>
        <cdr:cNvPr id="5" name="TextBox 1"/>
        <cdr:cNvSpPr txBox="1"/>
      </cdr:nvSpPr>
      <cdr:spPr>
        <a:xfrm xmlns:a="http://schemas.openxmlformats.org/drawingml/2006/main">
          <a:off x="2486026" y="161925"/>
          <a:ext cx="1546218" cy="4762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fits for long-term production</a:t>
          </a:r>
        </a:p>
      </cdr:txBody>
    </cdr:sp>
  </cdr:relSizeAnchor>
  <cdr:relSizeAnchor xmlns:cdr="http://schemas.openxmlformats.org/drawingml/2006/chartDrawing">
    <cdr:from>
      <cdr:x>0.54444</cdr:x>
      <cdr:y>0.24864</cdr:y>
    </cdr:from>
    <cdr:to>
      <cdr:x>0.78271</cdr:x>
      <cdr:y>0.35878</cdr:y>
    </cdr:to>
    <cdr:sp macro="" textlink="">
      <cdr:nvSpPr>
        <cdr:cNvPr id="6" name="TextBox 1"/>
        <cdr:cNvSpPr txBox="1"/>
      </cdr:nvSpPr>
      <cdr:spPr>
        <a:xfrm xmlns:a="http://schemas.openxmlformats.org/drawingml/2006/main">
          <a:off x="3267074" y="682060"/>
          <a:ext cx="1429771" cy="30213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Current fit (82Gt)</a:t>
          </a:r>
          <a:endParaRPr lang="en-US" sz="1200" i="0">
            <a:solidFill>
              <a:srgbClr val="808080"/>
            </a:solidFill>
          </a:endParaRPr>
        </a:p>
      </cdr:txBody>
    </cdr:sp>
  </cdr:relSizeAnchor>
</c:userShapes>
</file>

<file path=xl/drawings/drawing67.xml><?xml version="1.0" encoding="utf-8"?>
<xdr:wsDr xmlns:xdr="http://schemas.openxmlformats.org/drawingml/2006/spreadsheetDrawing" xmlns:a="http://schemas.openxmlformats.org/drawingml/2006/main">
  <xdr:twoCellAnchor>
    <xdr:from>
      <xdr:col>1</xdr:col>
      <xdr:colOff>47625</xdr:colOff>
      <xdr:row>35</xdr:row>
      <xdr:rowOff>95250</xdr:rowOff>
    </xdr:from>
    <xdr:to>
      <xdr:col>1</xdr:col>
      <xdr:colOff>5915025</xdr:colOff>
      <xdr:row>54</xdr:row>
      <xdr:rowOff>123825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14</xdr:row>
      <xdr:rowOff>66675</xdr:rowOff>
    </xdr:from>
    <xdr:to>
      <xdr:col>1</xdr:col>
      <xdr:colOff>5962650</xdr:colOff>
      <xdr:row>33</xdr:row>
      <xdr:rowOff>95250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57</xdr:row>
      <xdr:rowOff>0</xdr:rowOff>
    </xdr:from>
    <xdr:to>
      <xdr:col>1</xdr:col>
      <xdr:colOff>5867400</xdr:colOff>
      <xdr:row>76</xdr:row>
      <xdr:rowOff>28575</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79</xdr:row>
      <xdr:rowOff>0</xdr:rowOff>
    </xdr:from>
    <xdr:to>
      <xdr:col>1</xdr:col>
      <xdr:colOff>6000750</xdr:colOff>
      <xdr:row>98</xdr:row>
      <xdr:rowOff>28575</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101</xdr:row>
      <xdr:rowOff>0</xdr:rowOff>
    </xdr:from>
    <xdr:to>
      <xdr:col>1</xdr:col>
      <xdr:colOff>6000750</xdr:colOff>
      <xdr:row>120</xdr:row>
      <xdr:rowOff>28575</xdr:rowOff>
    </xdr:to>
    <xdr:graphicFrame macro="">
      <xdr:nvGraphicFramePr>
        <xdr:cNvPr id="6" name="Chart 5">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123</xdr:row>
      <xdr:rowOff>0</xdr:rowOff>
    </xdr:from>
    <xdr:to>
      <xdr:col>1</xdr:col>
      <xdr:colOff>6000750</xdr:colOff>
      <xdr:row>142</xdr:row>
      <xdr:rowOff>28575</xdr:rowOff>
    </xdr:to>
    <xdr:graphicFrame macro="">
      <xdr:nvGraphicFramePr>
        <xdr:cNvPr id="7" name="Chart 6">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8.xml><?xml version="1.0" encoding="utf-8"?>
<c:userShapes xmlns:c="http://schemas.openxmlformats.org/drawingml/2006/chart">
  <cdr:relSizeAnchor xmlns:cdr="http://schemas.openxmlformats.org/drawingml/2006/chartDrawing">
    <cdr:from>
      <cdr:x>0.19216</cdr:x>
      <cdr:y>0.11434</cdr:y>
    </cdr:from>
    <cdr:to>
      <cdr:x>0.55742</cdr:x>
      <cdr:y>0.40972</cdr:y>
    </cdr:to>
    <cdr:sp macro="" textlink="">
      <cdr:nvSpPr>
        <cdr:cNvPr id="3" name="TextBox 1"/>
        <cdr:cNvSpPr txBox="1"/>
      </cdr:nvSpPr>
      <cdr:spPr>
        <a:xfrm xmlns:a="http://schemas.openxmlformats.org/drawingml/2006/main">
          <a:off x="1127461" y="313648"/>
          <a:ext cx="2143126" cy="81028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Early trend 1877 to 1969 </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long-term production 1.0Gt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mn-lt"/>
              <a:ea typeface="+mn-ea"/>
              <a:cs typeface="+mn-cs"/>
            </a:rPr>
            <a:t>r</a:t>
          </a:r>
          <a:r>
            <a:rPr kumimoji="0" lang="en-US" sz="1200" b="0" i="0" u="none" strike="noStrike" kern="0" cap="none" spc="0" normalizeH="0" baseline="30000" noProof="0">
              <a:ln>
                <a:noFill/>
              </a:ln>
              <a:solidFill>
                <a:srgbClr val="808080"/>
              </a:solidFill>
              <a:effectLst/>
              <a:uLnTx/>
              <a:uFillTx/>
              <a:latin typeface="+mn-lt"/>
              <a:ea typeface="+mn-ea"/>
              <a:cs typeface="+mn-cs"/>
            </a:rPr>
            <a:t>2</a:t>
          </a:r>
          <a:r>
            <a:rPr kumimoji="0" lang="en-US" sz="1200" b="0" i="0" u="none" strike="noStrike" kern="0" cap="none" spc="0" normalizeH="0" baseline="0" noProof="0">
              <a:ln>
                <a:noFill/>
              </a:ln>
              <a:solidFill>
                <a:srgbClr val="808080"/>
              </a:solidFill>
              <a:effectLst/>
              <a:uLnTx/>
              <a:uFillTx/>
              <a:latin typeface="+mn-lt"/>
              <a:ea typeface="+mn-ea"/>
              <a:cs typeface="+mn-cs"/>
            </a:rPr>
            <a:t> = 0.99913</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10%-90% 1904-1970</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rgbClr val="808080"/>
            </a:solidFill>
            <a:effectLst/>
            <a:uLnTx/>
            <a:uFillTx/>
            <a:latin typeface="+mn-lt"/>
            <a:ea typeface="+mn-ea"/>
            <a:cs typeface="+mn-cs"/>
          </a:endParaRPr>
        </a:p>
      </cdr:txBody>
    </cdr:sp>
  </cdr:relSizeAnchor>
  <cdr:relSizeAnchor xmlns:cdr="http://schemas.openxmlformats.org/drawingml/2006/chartDrawing">
    <cdr:from>
      <cdr:x>0.6039</cdr:x>
      <cdr:y>0.3125</cdr:y>
    </cdr:from>
    <cdr:to>
      <cdr:x>0.79221</cdr:x>
      <cdr:y>0.40625</cdr:y>
    </cdr:to>
    <cdr:sp macro="" textlink="">
      <cdr:nvSpPr>
        <cdr:cNvPr id="4" name="TextBox 1"/>
        <cdr:cNvSpPr txBox="1"/>
      </cdr:nvSpPr>
      <cdr:spPr>
        <a:xfrm xmlns:a="http://schemas.openxmlformats.org/drawingml/2006/main">
          <a:off x="3543300" y="857250"/>
          <a:ext cx="1104900"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008000"/>
              </a:solidFill>
            </a:rPr>
            <a:t>probit(</a:t>
          </a:r>
          <a:r>
            <a:rPr lang="en-US" sz="1200" i="1" baseline="0">
              <a:solidFill>
                <a:srgbClr val="008000"/>
              </a:solidFill>
            </a:rPr>
            <a:t>q</a:t>
          </a:r>
          <a:r>
            <a:rPr lang="en-US" sz="1200" i="0" baseline="0">
              <a:solidFill>
                <a:srgbClr val="008000"/>
              </a:solidFill>
            </a:rPr>
            <a:t>/</a:t>
          </a:r>
          <a:r>
            <a:rPr lang="en-US" sz="1200" i="1" baseline="0">
              <a:solidFill>
                <a:srgbClr val="008000"/>
              </a:solidFill>
            </a:rPr>
            <a:t>Q</a:t>
          </a:r>
          <a:r>
            <a:rPr lang="en-US" sz="1200" i="0" baseline="0">
              <a:solidFill>
                <a:srgbClr val="008000"/>
              </a:solidFill>
            </a:rPr>
            <a:t>)</a:t>
          </a:r>
          <a:endParaRPr lang="en-US" sz="1200" i="0">
            <a:solidFill>
              <a:srgbClr val="008000"/>
            </a:solidFill>
          </a:endParaRPr>
        </a:p>
      </cdr:txBody>
    </cdr:sp>
  </cdr:relSizeAnchor>
</c:userShapes>
</file>

<file path=xl/drawings/drawing69.xml><?xml version="1.0" encoding="utf-8"?>
<c:userShapes xmlns:c="http://schemas.openxmlformats.org/drawingml/2006/chart">
  <cdr:relSizeAnchor xmlns:cdr="http://schemas.openxmlformats.org/drawingml/2006/chartDrawing">
    <cdr:from>
      <cdr:x>0.37825</cdr:x>
      <cdr:y>0.42361</cdr:y>
    </cdr:from>
    <cdr:to>
      <cdr:x>0.54708</cdr:x>
      <cdr:y>0.52431</cdr:y>
    </cdr:to>
    <cdr:sp macro="" textlink="">
      <cdr:nvSpPr>
        <cdr:cNvPr id="2" name="TextBox 1"/>
        <cdr:cNvSpPr txBox="1"/>
      </cdr:nvSpPr>
      <cdr:spPr>
        <a:xfrm xmlns:a="http://schemas.openxmlformats.org/drawingml/2006/main">
          <a:off x="2219325" y="1162050"/>
          <a:ext cx="990600" cy="2762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rPr>
            <a:t>1950 peak</a:t>
          </a:r>
        </a:p>
      </cdr:txBody>
    </cdr:sp>
  </cdr:relSizeAnchor>
  <cdr:relSizeAnchor xmlns:cdr="http://schemas.openxmlformats.org/drawingml/2006/chartDrawing">
    <cdr:from>
      <cdr:x>0.46299</cdr:x>
      <cdr:y>0.52778</cdr:y>
    </cdr:from>
    <cdr:to>
      <cdr:x>0.47078</cdr:x>
      <cdr:y>0.63889</cdr:y>
    </cdr:to>
    <cdr:sp macro="" textlink="">
      <cdr:nvSpPr>
        <cdr:cNvPr id="4" name="Straight Arrow Connector 3"/>
        <cdr:cNvSpPr/>
      </cdr:nvSpPr>
      <cdr:spPr>
        <a:xfrm xmlns:a="http://schemas.openxmlformats.org/drawingml/2006/main" rot="16200000" flipH="1">
          <a:off x="2586990" y="1577342"/>
          <a:ext cx="304799" cy="45719"/>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70.xml><?xml version="1.0" encoding="utf-8"?>
<c:userShapes xmlns:c="http://schemas.openxmlformats.org/drawingml/2006/chart">
  <cdr:relSizeAnchor xmlns:cdr="http://schemas.openxmlformats.org/drawingml/2006/chartDrawing">
    <cdr:from>
      <cdr:x>0.30694</cdr:x>
      <cdr:y>0.17331</cdr:y>
    </cdr:from>
    <cdr:to>
      <cdr:x>0.6722</cdr:x>
      <cdr:y>0.46869</cdr:y>
    </cdr:to>
    <cdr:sp macro="" textlink="">
      <cdr:nvSpPr>
        <cdr:cNvPr id="3" name="TextBox 1"/>
        <cdr:cNvSpPr txBox="1"/>
      </cdr:nvSpPr>
      <cdr:spPr>
        <a:xfrm xmlns:a="http://schemas.openxmlformats.org/drawingml/2006/main">
          <a:off x="1800912" y="475430"/>
          <a:ext cx="2143127" cy="81028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Trend 1983 to present </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long-term production 4.4Gt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mn-lt"/>
              <a:ea typeface="+mn-ea"/>
              <a:cs typeface="+mn-cs"/>
            </a:rPr>
            <a:t>r</a:t>
          </a:r>
          <a:r>
            <a:rPr kumimoji="0" lang="en-US" sz="1200" b="0" i="0" u="none" strike="noStrike" kern="0" cap="none" spc="0" normalizeH="0" baseline="30000" noProof="0">
              <a:ln>
                <a:noFill/>
              </a:ln>
              <a:solidFill>
                <a:srgbClr val="808080"/>
              </a:solidFill>
              <a:effectLst/>
              <a:uLnTx/>
              <a:uFillTx/>
              <a:latin typeface="+mn-lt"/>
              <a:ea typeface="+mn-ea"/>
              <a:cs typeface="+mn-cs"/>
            </a:rPr>
            <a:t>2</a:t>
          </a:r>
          <a:r>
            <a:rPr kumimoji="0" lang="en-US" sz="1200" b="0" i="0" u="none" strike="noStrike" kern="0" cap="none" spc="0" normalizeH="0" baseline="0" noProof="0">
              <a:ln>
                <a:noFill/>
              </a:ln>
              <a:solidFill>
                <a:srgbClr val="808080"/>
              </a:solidFill>
              <a:effectLst/>
              <a:uLnTx/>
              <a:uFillTx/>
              <a:latin typeface="+mn-lt"/>
              <a:ea typeface="+mn-ea"/>
              <a:cs typeface="+mn-cs"/>
            </a:rPr>
            <a:t> = 0.99988</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mn-lt"/>
              <a:ea typeface="+mn-ea"/>
              <a:cs typeface="+mn-cs"/>
            </a:rPr>
            <a:t>10%-90% 1962-2030</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rgbClr val="808080"/>
            </a:solidFill>
            <a:effectLst/>
            <a:uLnTx/>
            <a:uFillTx/>
            <a:latin typeface="+mn-lt"/>
            <a:ea typeface="+mn-ea"/>
            <a:cs typeface="+mn-cs"/>
          </a:endParaRPr>
        </a:p>
      </cdr:txBody>
    </cdr:sp>
  </cdr:relSizeAnchor>
  <cdr:relSizeAnchor xmlns:cdr="http://schemas.openxmlformats.org/drawingml/2006/chartDrawing">
    <cdr:from>
      <cdr:x>0.65584</cdr:x>
      <cdr:y>0.41319</cdr:y>
    </cdr:from>
    <cdr:to>
      <cdr:x>0.84416</cdr:x>
      <cdr:y>0.50694</cdr:y>
    </cdr:to>
    <cdr:sp macro="" textlink="">
      <cdr:nvSpPr>
        <cdr:cNvPr id="4" name="TextBox 1"/>
        <cdr:cNvSpPr txBox="1"/>
      </cdr:nvSpPr>
      <cdr:spPr>
        <a:xfrm xmlns:a="http://schemas.openxmlformats.org/drawingml/2006/main">
          <a:off x="3848100" y="1133475"/>
          <a:ext cx="1104900"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008000"/>
              </a:solidFill>
            </a:rPr>
            <a:t>logit(</a:t>
          </a:r>
          <a:r>
            <a:rPr lang="en-US" sz="1200" i="1" baseline="0">
              <a:solidFill>
                <a:srgbClr val="008000"/>
              </a:solidFill>
            </a:rPr>
            <a:t>q</a:t>
          </a:r>
          <a:r>
            <a:rPr lang="en-US" sz="1200" i="0" baseline="0">
              <a:solidFill>
                <a:srgbClr val="008000"/>
              </a:solidFill>
            </a:rPr>
            <a:t>/</a:t>
          </a:r>
          <a:r>
            <a:rPr lang="en-US" sz="1200" i="1" baseline="0">
              <a:solidFill>
                <a:srgbClr val="008000"/>
              </a:solidFill>
            </a:rPr>
            <a:t>Q</a:t>
          </a:r>
          <a:r>
            <a:rPr lang="en-US" sz="1200" i="0" baseline="0">
              <a:solidFill>
                <a:srgbClr val="008000"/>
              </a:solidFill>
            </a:rPr>
            <a:t>)</a:t>
          </a:r>
          <a:endParaRPr lang="en-US" sz="1200" i="0">
            <a:solidFill>
              <a:srgbClr val="008000"/>
            </a:solidFill>
          </a:endParaRPr>
        </a:p>
      </cdr:txBody>
    </cdr:sp>
  </cdr:relSizeAnchor>
</c:userShapes>
</file>

<file path=xl/drawings/drawing71.xml><?xml version="1.0" encoding="utf-8"?>
<c:userShapes xmlns:c="http://schemas.openxmlformats.org/drawingml/2006/chart">
  <cdr:relSizeAnchor xmlns:cdr="http://schemas.openxmlformats.org/drawingml/2006/chartDrawing">
    <cdr:from>
      <cdr:x>0.69048</cdr:x>
      <cdr:y>0.05978</cdr:y>
    </cdr:from>
    <cdr:to>
      <cdr:x>0.90159</cdr:x>
      <cdr:y>0.30208</cdr:y>
    </cdr:to>
    <cdr:sp macro="" textlink="">
      <cdr:nvSpPr>
        <cdr:cNvPr id="4" name="TextBox 1"/>
        <cdr:cNvSpPr txBox="1"/>
      </cdr:nvSpPr>
      <cdr:spPr>
        <a:xfrm xmlns:a="http://schemas.openxmlformats.org/drawingml/2006/main">
          <a:off x="4143398" y="163988"/>
          <a:ext cx="1266802" cy="664678"/>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Largest residual from 1983 on is  2 months in 1999</a:t>
          </a:r>
          <a:endParaRPr lang="en-US" sz="1200" i="0">
            <a:solidFill>
              <a:srgbClr val="808080"/>
            </a:solidFill>
          </a:endParaRPr>
        </a:p>
      </cdr:txBody>
    </cdr:sp>
  </cdr:relSizeAnchor>
  <cdr:relSizeAnchor xmlns:cdr="http://schemas.openxmlformats.org/drawingml/2006/chartDrawing">
    <cdr:from>
      <cdr:x>0.7873</cdr:x>
      <cdr:y>0.29861</cdr:y>
    </cdr:from>
    <cdr:to>
      <cdr:x>0.79524</cdr:x>
      <cdr:y>0.40625</cdr:y>
    </cdr:to>
    <cdr:sp macro="" textlink="">
      <cdr:nvSpPr>
        <cdr:cNvPr id="6" name="Straight Arrow Connector 5"/>
        <cdr:cNvSpPr/>
      </cdr:nvSpPr>
      <cdr:spPr>
        <a:xfrm xmlns:a="http://schemas.openxmlformats.org/drawingml/2006/main" rot="16200000" flipH="1" flipV="1">
          <a:off x="4600574" y="942975"/>
          <a:ext cx="295276" cy="47625"/>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72.xml><?xml version="1.0" encoding="utf-8"?>
<c:userShapes xmlns:c="http://schemas.openxmlformats.org/drawingml/2006/chart">
  <cdr:relSizeAnchor xmlns:cdr="http://schemas.openxmlformats.org/drawingml/2006/chartDrawing">
    <cdr:from>
      <cdr:x>0.7997</cdr:x>
      <cdr:y>0.5816</cdr:y>
    </cdr:from>
    <cdr:to>
      <cdr:x>0.91751</cdr:x>
      <cdr:y>0.74653</cdr:y>
    </cdr:to>
    <cdr:sp macro="" textlink="">
      <cdr:nvSpPr>
        <cdr:cNvPr id="2" name="TextBox 1"/>
        <cdr:cNvSpPr txBox="1"/>
      </cdr:nvSpPr>
      <cdr:spPr>
        <a:xfrm xmlns:a="http://schemas.openxmlformats.org/drawingml/2006/main">
          <a:off x="4798800" y="1595445"/>
          <a:ext cx="706948" cy="45243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Logistic model</a:t>
          </a:r>
        </a:p>
      </cdr:txBody>
    </cdr:sp>
  </cdr:relSizeAnchor>
  <cdr:relSizeAnchor xmlns:cdr="http://schemas.openxmlformats.org/drawingml/2006/chartDrawing">
    <cdr:from>
      <cdr:x>0.37916</cdr:x>
      <cdr:y>0.63767</cdr:y>
    </cdr:from>
    <cdr:to>
      <cdr:x>0.66805</cdr:x>
      <cdr:y>0.74184</cdr:y>
    </cdr:to>
    <cdr:sp macro="" textlink="">
      <cdr:nvSpPr>
        <cdr:cNvPr id="3" name="TextBox 1"/>
        <cdr:cNvSpPr txBox="1"/>
      </cdr:nvSpPr>
      <cdr:spPr>
        <a:xfrm xmlns:a="http://schemas.openxmlformats.org/drawingml/2006/main">
          <a:off x="2275255" y="1766754"/>
          <a:ext cx="1733557" cy="28861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0.10668</cdr:x>
      <cdr:y>0.6324</cdr:y>
    </cdr:from>
    <cdr:to>
      <cdr:x>0.28605</cdr:x>
      <cdr:y>0.79167</cdr:y>
    </cdr:to>
    <cdr:sp macro="" textlink="">
      <cdr:nvSpPr>
        <cdr:cNvPr id="4" name="TextBox 1"/>
        <cdr:cNvSpPr txBox="1"/>
      </cdr:nvSpPr>
      <cdr:spPr>
        <a:xfrm xmlns:a="http://schemas.openxmlformats.org/drawingml/2006/main">
          <a:off x="640170" y="1734794"/>
          <a:ext cx="1076354" cy="43690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Cumulative normal model</a:t>
          </a:r>
        </a:p>
      </cdr:txBody>
    </cdr:sp>
  </cdr:relSizeAnchor>
  <cdr:relSizeAnchor xmlns:cdr="http://schemas.openxmlformats.org/drawingml/2006/chartDrawing">
    <cdr:from>
      <cdr:x>0.52857</cdr:x>
      <cdr:y>0.43624</cdr:y>
    </cdr:from>
    <cdr:to>
      <cdr:x>0.72992</cdr:x>
      <cdr:y>0.54134</cdr:y>
    </cdr:to>
    <cdr:sp macro="" textlink="">
      <cdr:nvSpPr>
        <cdr:cNvPr id="5" name="TextBox 1"/>
        <cdr:cNvSpPr txBox="1"/>
      </cdr:nvSpPr>
      <cdr:spPr>
        <a:xfrm xmlns:a="http://schemas.openxmlformats.org/drawingml/2006/main">
          <a:off x="3171825" y="1196694"/>
          <a:ext cx="1208242" cy="28831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i="0" baseline="0">
              <a:solidFill>
                <a:srgbClr val="808080"/>
              </a:solidFill>
            </a:rPr>
            <a:t>Current fit (4Gt)</a:t>
          </a:r>
        </a:p>
      </cdr:txBody>
    </cdr:sp>
  </cdr:relSizeAnchor>
  <cdr:relSizeAnchor xmlns:cdr="http://schemas.openxmlformats.org/drawingml/2006/chartDrawing">
    <cdr:from>
      <cdr:x>0.45556</cdr:x>
      <cdr:y>0.07423</cdr:y>
    </cdr:from>
    <cdr:to>
      <cdr:x>0.70984</cdr:x>
      <cdr:y>0.30211</cdr:y>
    </cdr:to>
    <cdr:sp macro="" textlink="">
      <cdr:nvSpPr>
        <cdr:cNvPr id="6" name="TextBox 1"/>
        <cdr:cNvSpPr txBox="1"/>
      </cdr:nvSpPr>
      <cdr:spPr>
        <a:xfrm xmlns:a="http://schemas.openxmlformats.org/drawingml/2006/main">
          <a:off x="2733674" y="203628"/>
          <a:ext cx="1525879" cy="62512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mn-lt"/>
              <a:ea typeface="+mn-ea"/>
              <a:cs typeface="+mn-cs"/>
            </a:rPr>
            <a:t>Historical fits for long-term production</a:t>
          </a:r>
        </a:p>
      </cdr:txBody>
    </cdr:sp>
  </cdr:relSizeAnchor>
</c:userShapes>
</file>

<file path=xl/drawings/drawing73.xml><?xml version="1.0" encoding="utf-8"?>
<c:userShapes xmlns:c="http://schemas.openxmlformats.org/drawingml/2006/chart">
  <cdr:relSizeAnchor xmlns:cdr="http://schemas.openxmlformats.org/drawingml/2006/chartDrawing">
    <cdr:from>
      <cdr:x>0.63175</cdr:x>
      <cdr:y>0.65624</cdr:y>
    </cdr:from>
    <cdr:to>
      <cdr:x>0.88571</cdr:x>
      <cdr:y>0.82986</cdr:y>
    </cdr:to>
    <cdr:sp macro="" textlink="">
      <cdr:nvSpPr>
        <cdr:cNvPr id="2" name="TextBox 1"/>
        <cdr:cNvSpPr txBox="1"/>
      </cdr:nvSpPr>
      <cdr:spPr>
        <a:xfrm xmlns:a="http://schemas.openxmlformats.org/drawingml/2006/main">
          <a:off x="3790950" y="1800198"/>
          <a:ext cx="1524000" cy="47627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Calibri"/>
              <a:ea typeface="+mn-ea"/>
              <a:cs typeface="+mn-cs"/>
            </a:rPr>
            <a:t>Historical fits for long-term production</a:t>
          </a:r>
        </a:p>
      </cdr:txBody>
    </cdr:sp>
  </cdr:relSizeAnchor>
  <cdr:relSizeAnchor xmlns:cdr="http://schemas.openxmlformats.org/drawingml/2006/chartDrawing">
    <cdr:from>
      <cdr:x>0.15567</cdr:x>
      <cdr:y>0.40807</cdr:y>
    </cdr:from>
    <cdr:to>
      <cdr:x>0.38095</cdr:x>
      <cdr:y>0.67708</cdr:y>
    </cdr:to>
    <cdr:sp macro="" textlink="">
      <cdr:nvSpPr>
        <cdr:cNvPr id="3" name="TextBox 1"/>
        <cdr:cNvSpPr txBox="1"/>
      </cdr:nvSpPr>
      <cdr:spPr>
        <a:xfrm xmlns:a="http://schemas.openxmlformats.org/drawingml/2006/main">
          <a:off x="934107" y="1119421"/>
          <a:ext cx="1351894" cy="7379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Reserves from international surveys</a:t>
          </a:r>
          <a:endParaRPr lang="en-US" sz="1200" i="0">
            <a:solidFill>
              <a:srgbClr val="333399"/>
            </a:solidFill>
          </a:endParaRPr>
        </a:p>
      </cdr:txBody>
    </cdr:sp>
  </cdr:relSizeAnchor>
  <cdr:relSizeAnchor xmlns:cdr="http://schemas.openxmlformats.org/drawingml/2006/chartDrawing">
    <cdr:from>
      <cdr:x>0.14603</cdr:x>
      <cdr:y>0.11458</cdr:y>
    </cdr:from>
    <cdr:to>
      <cdr:x>0.20317</cdr:x>
      <cdr:y>0.37153</cdr:y>
    </cdr:to>
    <cdr:sp macro="" textlink="">
      <cdr:nvSpPr>
        <cdr:cNvPr id="5" name="Straight Arrow Connector 4"/>
        <cdr:cNvSpPr/>
      </cdr:nvSpPr>
      <cdr:spPr>
        <a:xfrm xmlns:a="http://schemas.openxmlformats.org/drawingml/2006/main" rot="16200000" flipV="1">
          <a:off x="695326" y="495300"/>
          <a:ext cx="704848" cy="342904"/>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0.3619</cdr:x>
      <cdr:y>0.55556</cdr:y>
    </cdr:from>
    <cdr:to>
      <cdr:x>0.55238</cdr:x>
      <cdr:y>0.625</cdr:y>
    </cdr:to>
    <cdr:sp macro="" textlink="">
      <cdr:nvSpPr>
        <cdr:cNvPr id="6" name="Straight Arrow Connector 5"/>
        <cdr:cNvSpPr/>
      </cdr:nvSpPr>
      <cdr:spPr>
        <a:xfrm xmlns:a="http://schemas.openxmlformats.org/drawingml/2006/main" rot="16200000" flipH="1">
          <a:off x="2647951" y="1047751"/>
          <a:ext cx="190499" cy="1142999"/>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0.34921</cdr:x>
      <cdr:y>0.36806</cdr:y>
    </cdr:from>
    <cdr:to>
      <cdr:x>0.37302</cdr:x>
      <cdr:y>0.41319</cdr:y>
    </cdr:to>
    <cdr:sp macro="" textlink="">
      <cdr:nvSpPr>
        <cdr:cNvPr id="7" name="Straight Arrow Connector 6"/>
        <cdr:cNvSpPr/>
      </cdr:nvSpPr>
      <cdr:spPr>
        <a:xfrm xmlns:a="http://schemas.openxmlformats.org/drawingml/2006/main" rot="16200000">
          <a:off x="2105025" y="1000126"/>
          <a:ext cx="123824" cy="142873"/>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74.xml><?xml version="1.0" encoding="utf-8"?>
<xdr:wsDr xmlns:xdr="http://schemas.openxmlformats.org/drawingml/2006/spreadsheetDrawing" xmlns:a="http://schemas.openxmlformats.org/drawingml/2006/main">
  <xdr:twoCellAnchor>
    <xdr:from>
      <xdr:col>1</xdr:col>
      <xdr:colOff>28575</xdr:colOff>
      <xdr:row>10</xdr:row>
      <xdr:rowOff>9525</xdr:rowOff>
    </xdr:from>
    <xdr:to>
      <xdr:col>1</xdr:col>
      <xdr:colOff>5991225</xdr:colOff>
      <xdr:row>29</xdr:row>
      <xdr:rowOff>38100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1</xdr:col>
      <xdr:colOff>5962650</xdr:colOff>
      <xdr:row>51</xdr:row>
      <xdr:rowOff>28575</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54</xdr:row>
      <xdr:rowOff>0</xdr:rowOff>
    </xdr:from>
    <xdr:to>
      <xdr:col>1</xdr:col>
      <xdr:colOff>5962650</xdr:colOff>
      <xdr:row>73</xdr:row>
      <xdr:rowOff>28575</xdr:rowOff>
    </xdr:to>
    <xdr:graphicFrame macro="">
      <xdr:nvGraphicFramePr>
        <xdr:cNvPr id="4" name="Chart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76</xdr:row>
      <xdr:rowOff>0</xdr:rowOff>
    </xdr:from>
    <xdr:to>
      <xdr:col>1</xdr:col>
      <xdr:colOff>5962650</xdr:colOff>
      <xdr:row>95</xdr:row>
      <xdr:rowOff>28575</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5.xml><?xml version="1.0" encoding="utf-8"?>
<c:userShapes xmlns:c="http://schemas.openxmlformats.org/drawingml/2006/chart">
  <cdr:relSizeAnchor xmlns:cdr="http://schemas.openxmlformats.org/drawingml/2006/chartDrawing">
    <cdr:from>
      <cdr:x>0.60026</cdr:x>
      <cdr:y>0.35953</cdr:y>
    </cdr:from>
    <cdr:to>
      <cdr:x>0.75148</cdr:x>
      <cdr:y>0.46475</cdr:y>
    </cdr:to>
    <cdr:sp macro="" textlink="">
      <cdr:nvSpPr>
        <cdr:cNvPr id="6" name="TextBox 1"/>
        <cdr:cNvSpPr txBox="1"/>
      </cdr:nvSpPr>
      <cdr:spPr>
        <a:xfrm xmlns:a="http://schemas.openxmlformats.org/drawingml/2006/main">
          <a:off x="3579143" y="986254"/>
          <a:ext cx="901672" cy="28863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008000"/>
              </a:solidFill>
            </a:rPr>
            <a:t>logit(</a:t>
          </a:r>
          <a:r>
            <a:rPr lang="en-US" sz="1200" i="1">
              <a:solidFill>
                <a:srgbClr val="008000"/>
              </a:solidFill>
            </a:rPr>
            <a:t>q</a:t>
          </a:r>
          <a:r>
            <a:rPr lang="en-US" sz="1200">
              <a:solidFill>
                <a:srgbClr val="008000"/>
              </a:solidFill>
            </a:rPr>
            <a:t>/</a:t>
          </a:r>
          <a:r>
            <a:rPr lang="en-US" sz="1200" i="1">
              <a:solidFill>
                <a:srgbClr val="008000"/>
              </a:solidFill>
            </a:rPr>
            <a:t>Q</a:t>
          </a:r>
          <a:r>
            <a:rPr lang="en-US" sz="1200">
              <a:solidFill>
                <a:srgbClr val="008000"/>
              </a:solidFill>
            </a:rPr>
            <a:t>)</a:t>
          </a:r>
        </a:p>
      </cdr:txBody>
    </cdr:sp>
  </cdr:relSizeAnchor>
  <cdr:relSizeAnchor xmlns:cdr="http://schemas.openxmlformats.org/drawingml/2006/chartDrawing">
    <cdr:from>
      <cdr:x>0.16454</cdr:x>
      <cdr:y>0.10417</cdr:y>
    </cdr:from>
    <cdr:to>
      <cdr:x>0.63419</cdr:x>
      <cdr:y>0.4375</cdr:y>
    </cdr:to>
    <cdr:sp macro="" textlink="">
      <cdr:nvSpPr>
        <cdr:cNvPr id="7" name="TextBox 1"/>
        <cdr:cNvSpPr txBox="1"/>
      </cdr:nvSpPr>
      <cdr:spPr>
        <a:xfrm xmlns:a="http://schemas.openxmlformats.org/drawingml/2006/main">
          <a:off x="981076" y="285759"/>
          <a:ext cx="2800350" cy="91439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Trend 1985 to present </a:t>
          </a:r>
        </a:p>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reserves + cumulative production 78.0Gt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Calibri"/>
              <a:ea typeface="+mn-ea"/>
              <a:cs typeface="+mn-cs"/>
            </a:rPr>
            <a:t>r</a:t>
          </a:r>
          <a:r>
            <a:rPr kumimoji="0" lang="en-US" sz="1200" b="0" i="0" u="none" strike="noStrike" kern="0" cap="none" spc="0" normalizeH="0" baseline="30000" noProof="0">
              <a:ln>
                <a:noFill/>
              </a:ln>
              <a:solidFill>
                <a:srgbClr val="808080"/>
              </a:solidFill>
              <a:effectLst/>
              <a:uLnTx/>
              <a:uFillTx/>
              <a:latin typeface="Calibri"/>
              <a:ea typeface="+mn-ea"/>
              <a:cs typeface="+mn-cs"/>
            </a:rPr>
            <a:t>2</a:t>
          </a:r>
          <a:r>
            <a:rPr kumimoji="0" lang="en-US" sz="1200" b="0" i="0" u="none" strike="noStrike" kern="0" cap="none" spc="0" normalizeH="0" baseline="0" noProof="0">
              <a:ln>
                <a:noFill/>
              </a:ln>
              <a:solidFill>
                <a:srgbClr val="808080"/>
              </a:solidFill>
              <a:effectLst/>
              <a:uLnTx/>
              <a:uFillTx/>
              <a:latin typeface="Calibri"/>
              <a:ea typeface="+mn-ea"/>
              <a:cs typeface="+mn-cs"/>
            </a:rPr>
            <a:t> = 0.9974</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10%-90% 1997-2072</a:t>
          </a:r>
          <a:endParaRPr lang="en-US" sz="1200" i="0">
            <a:solidFill>
              <a:srgbClr val="808080"/>
            </a:solidFill>
          </a:endParaRPr>
        </a:p>
      </cdr:txBody>
    </cdr:sp>
  </cdr:relSizeAnchor>
</c:userShapes>
</file>

<file path=xl/drawings/drawing76.xml><?xml version="1.0" encoding="utf-8"?>
<c:userShapes xmlns:c="http://schemas.openxmlformats.org/drawingml/2006/chart">
  <cdr:relSizeAnchor xmlns:cdr="http://schemas.openxmlformats.org/drawingml/2006/chartDrawing">
    <cdr:from>
      <cdr:x>0.59338</cdr:x>
      <cdr:y>0.10204</cdr:y>
    </cdr:from>
    <cdr:to>
      <cdr:x>0.8179</cdr:x>
      <cdr:y>0.33333</cdr:y>
    </cdr:to>
    <cdr:sp macro="" textlink="">
      <cdr:nvSpPr>
        <cdr:cNvPr id="8" name="TextBox 1"/>
        <cdr:cNvSpPr txBox="1"/>
      </cdr:nvSpPr>
      <cdr:spPr>
        <a:xfrm xmlns:a="http://schemas.openxmlformats.org/drawingml/2006/main">
          <a:off x="3538094" y="279916"/>
          <a:ext cx="1338734" cy="6344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Largest residual from 1983 on is  11 months in 2009</a:t>
          </a:r>
          <a:endParaRPr lang="en-US" sz="1200" i="0">
            <a:solidFill>
              <a:srgbClr val="808080"/>
            </a:solidFill>
          </a:endParaRPr>
        </a:p>
      </cdr:txBody>
    </cdr:sp>
  </cdr:relSizeAnchor>
  <cdr:relSizeAnchor xmlns:cdr="http://schemas.openxmlformats.org/drawingml/2006/chartDrawing">
    <cdr:from>
      <cdr:x>0.79393</cdr:x>
      <cdr:y>0.22222</cdr:y>
    </cdr:from>
    <cdr:to>
      <cdr:x>0.88179</cdr:x>
      <cdr:y>0.29514</cdr:y>
    </cdr:to>
    <cdr:sp macro="" textlink="">
      <cdr:nvSpPr>
        <cdr:cNvPr id="6" name="Straight Arrow Connector 5"/>
        <cdr:cNvSpPr/>
      </cdr:nvSpPr>
      <cdr:spPr>
        <a:xfrm xmlns:a="http://schemas.openxmlformats.org/drawingml/2006/main">
          <a:off x="4733920" y="609594"/>
          <a:ext cx="523878" cy="200034"/>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77.xml><?xml version="1.0" encoding="utf-8"?>
<c:userShapes xmlns:c="http://schemas.openxmlformats.org/drawingml/2006/chart">
  <cdr:relSizeAnchor xmlns:cdr="http://schemas.openxmlformats.org/drawingml/2006/chartDrawing">
    <cdr:from>
      <cdr:x>0.38657</cdr:x>
      <cdr:y>0.72569</cdr:y>
    </cdr:from>
    <cdr:to>
      <cdr:x>0.6773</cdr:x>
      <cdr:y>0.82986</cdr:y>
    </cdr:to>
    <cdr:sp macro="" textlink="">
      <cdr:nvSpPr>
        <cdr:cNvPr id="9" name="TextBox 1"/>
        <cdr:cNvSpPr txBox="1"/>
      </cdr:nvSpPr>
      <cdr:spPr>
        <a:xfrm xmlns:a="http://schemas.openxmlformats.org/drawingml/2006/main">
          <a:off x="2305001" y="1990716"/>
          <a:ext cx="1733522" cy="2857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0.78594</cdr:x>
      <cdr:y>0.55556</cdr:y>
    </cdr:from>
    <cdr:to>
      <cdr:x>0.90734</cdr:x>
      <cdr:y>0.73959</cdr:y>
    </cdr:to>
    <cdr:sp macro="" textlink="">
      <cdr:nvSpPr>
        <cdr:cNvPr id="10" name="TextBox 1"/>
        <cdr:cNvSpPr txBox="1"/>
      </cdr:nvSpPr>
      <cdr:spPr>
        <a:xfrm xmlns:a="http://schemas.openxmlformats.org/drawingml/2006/main">
          <a:off x="4686309" y="1524021"/>
          <a:ext cx="723866" cy="50483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Logistic model</a:t>
          </a:r>
        </a:p>
      </cdr:txBody>
    </cdr:sp>
  </cdr:relSizeAnchor>
  <cdr:relSizeAnchor xmlns:cdr="http://schemas.openxmlformats.org/drawingml/2006/chartDrawing">
    <cdr:from>
      <cdr:x>0.50799</cdr:x>
      <cdr:y>0.10764</cdr:y>
    </cdr:from>
    <cdr:to>
      <cdr:x>0.73471</cdr:x>
      <cdr:y>0.37665</cdr:y>
    </cdr:to>
    <cdr:sp macro="" textlink="">
      <cdr:nvSpPr>
        <cdr:cNvPr id="5" name="TextBox 1"/>
        <cdr:cNvSpPr txBox="1"/>
      </cdr:nvSpPr>
      <cdr:spPr>
        <a:xfrm xmlns:a="http://schemas.openxmlformats.org/drawingml/2006/main">
          <a:off x="3028950" y="295275"/>
          <a:ext cx="1351852" cy="73794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Reserves from international surveys</a:t>
          </a:r>
          <a:endParaRPr lang="en-US" sz="1200" i="0">
            <a:solidFill>
              <a:srgbClr val="333399"/>
            </a:solidFill>
          </a:endParaRPr>
        </a:p>
      </cdr:txBody>
    </cdr:sp>
  </cdr:relSizeAnchor>
</c:userShapes>
</file>

<file path=xl/drawings/drawing78.xml><?xml version="1.0" encoding="utf-8"?>
<xdr:wsDr xmlns:xdr="http://schemas.openxmlformats.org/drawingml/2006/spreadsheetDrawing" xmlns:a="http://schemas.openxmlformats.org/drawingml/2006/main">
  <xdr:twoCellAnchor>
    <xdr:from>
      <xdr:col>1</xdr:col>
      <xdr:colOff>28575</xdr:colOff>
      <xdr:row>10</xdr:row>
      <xdr:rowOff>9525</xdr:rowOff>
    </xdr:from>
    <xdr:to>
      <xdr:col>1</xdr:col>
      <xdr:colOff>5991225</xdr:colOff>
      <xdr:row>29</xdr:row>
      <xdr:rowOff>38100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1</xdr:col>
      <xdr:colOff>5962650</xdr:colOff>
      <xdr:row>51</xdr:row>
      <xdr:rowOff>28575</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54</xdr:row>
      <xdr:rowOff>0</xdr:rowOff>
    </xdr:from>
    <xdr:to>
      <xdr:col>1</xdr:col>
      <xdr:colOff>5962650</xdr:colOff>
      <xdr:row>73</xdr:row>
      <xdr:rowOff>28575</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76</xdr:row>
      <xdr:rowOff>0</xdr:rowOff>
    </xdr:from>
    <xdr:to>
      <xdr:col>1</xdr:col>
      <xdr:colOff>5962650</xdr:colOff>
      <xdr:row>95</xdr:row>
      <xdr:rowOff>28575</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9.xml><?xml version="1.0" encoding="utf-8"?>
<c:userShapes xmlns:c="http://schemas.openxmlformats.org/drawingml/2006/chart">
  <cdr:relSizeAnchor xmlns:cdr="http://schemas.openxmlformats.org/drawingml/2006/chartDrawing">
    <cdr:from>
      <cdr:x>0.61304</cdr:x>
      <cdr:y>0.38036</cdr:y>
    </cdr:from>
    <cdr:to>
      <cdr:x>0.76426</cdr:x>
      <cdr:y>0.48558</cdr:y>
    </cdr:to>
    <cdr:sp macro="" textlink="">
      <cdr:nvSpPr>
        <cdr:cNvPr id="6" name="TextBox 1"/>
        <cdr:cNvSpPr txBox="1"/>
      </cdr:nvSpPr>
      <cdr:spPr>
        <a:xfrm xmlns:a="http://schemas.openxmlformats.org/drawingml/2006/main">
          <a:off x="3655338" y="1043394"/>
          <a:ext cx="901672" cy="28864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008000"/>
              </a:solidFill>
            </a:rPr>
            <a:t>logit(</a:t>
          </a:r>
          <a:r>
            <a:rPr lang="en-US" sz="1200" i="1">
              <a:solidFill>
                <a:srgbClr val="008000"/>
              </a:solidFill>
            </a:rPr>
            <a:t>q</a:t>
          </a:r>
          <a:r>
            <a:rPr lang="en-US" sz="1200">
              <a:solidFill>
                <a:srgbClr val="008000"/>
              </a:solidFill>
            </a:rPr>
            <a:t>/</a:t>
          </a:r>
          <a:r>
            <a:rPr lang="en-US" sz="1200" i="1">
              <a:solidFill>
                <a:srgbClr val="008000"/>
              </a:solidFill>
            </a:rPr>
            <a:t>Q</a:t>
          </a:r>
          <a:r>
            <a:rPr lang="en-US" sz="1200">
              <a:solidFill>
                <a:srgbClr val="008000"/>
              </a:solidFill>
            </a:rPr>
            <a:t>)</a:t>
          </a:r>
        </a:p>
      </cdr:txBody>
    </cdr:sp>
  </cdr:relSizeAnchor>
  <cdr:relSizeAnchor xmlns:cdr="http://schemas.openxmlformats.org/drawingml/2006/chartDrawing">
    <cdr:from>
      <cdr:x>0.19968</cdr:x>
      <cdr:y>0.14236</cdr:y>
    </cdr:from>
    <cdr:to>
      <cdr:x>0.67412</cdr:x>
      <cdr:y>0.47569</cdr:y>
    </cdr:to>
    <cdr:sp macro="" textlink="">
      <cdr:nvSpPr>
        <cdr:cNvPr id="7" name="TextBox 1"/>
        <cdr:cNvSpPr txBox="1"/>
      </cdr:nvSpPr>
      <cdr:spPr>
        <a:xfrm xmlns:a="http://schemas.openxmlformats.org/drawingml/2006/main">
          <a:off x="1190625" y="390522"/>
          <a:ext cx="2828925" cy="91439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Trend 1985 to present                   </a:t>
          </a:r>
          <a:endParaRPr lang="en-US" sz="1200" i="0" baseline="0">
            <a:solidFill>
              <a:srgbClr val="808080"/>
            </a:solidFill>
          </a:endParaRP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reserves + cumulative production 19.1Gt</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1" u="none" strike="noStrike" kern="0" cap="none" spc="0" normalizeH="0" baseline="0" noProof="0">
              <a:ln>
                <a:noFill/>
              </a:ln>
              <a:solidFill>
                <a:srgbClr val="808080"/>
              </a:solidFill>
              <a:effectLst/>
              <a:uLnTx/>
              <a:uFillTx/>
              <a:latin typeface="Calibri"/>
              <a:ea typeface="+mn-ea"/>
              <a:cs typeface="+mn-cs"/>
            </a:rPr>
            <a:t>r</a:t>
          </a:r>
          <a:r>
            <a:rPr kumimoji="0" lang="en-US" sz="1200" b="0" i="0" u="none" strike="noStrike" kern="0" cap="none" spc="0" normalizeH="0" baseline="30000" noProof="0">
              <a:ln>
                <a:noFill/>
              </a:ln>
              <a:solidFill>
                <a:srgbClr val="808080"/>
              </a:solidFill>
              <a:effectLst/>
              <a:uLnTx/>
              <a:uFillTx/>
              <a:latin typeface="Calibri"/>
              <a:ea typeface="+mn-ea"/>
              <a:cs typeface="+mn-cs"/>
            </a:rPr>
            <a:t>2</a:t>
          </a:r>
          <a:r>
            <a:rPr kumimoji="0" lang="en-US" sz="1200" b="0" i="0" u="none" strike="noStrike" kern="0" cap="none" spc="0" normalizeH="0" baseline="0" noProof="0">
              <a:ln>
                <a:noFill/>
              </a:ln>
              <a:solidFill>
                <a:srgbClr val="808080"/>
              </a:solidFill>
              <a:effectLst/>
              <a:uLnTx/>
              <a:uFillTx/>
              <a:latin typeface="Calibri"/>
              <a:ea typeface="+mn-ea"/>
              <a:cs typeface="+mn-cs"/>
            </a:rPr>
            <a:t> = 0.99937</a:t>
          </a:r>
        </a:p>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808080"/>
              </a:solidFill>
              <a:effectLst/>
              <a:uLnTx/>
              <a:uFillTx/>
              <a:latin typeface="Calibri"/>
              <a:ea typeface="+mn-ea"/>
              <a:cs typeface="+mn-cs"/>
            </a:rPr>
            <a:t>10%-90% 2009-2088</a:t>
          </a:r>
          <a:endParaRPr lang="en-US" sz="1200" i="0">
            <a:solidFill>
              <a:srgbClr val="808080"/>
            </a:solidFill>
          </a:endParaRPr>
        </a:p>
      </cdr:txBody>
    </cdr:sp>
  </cdr:relSizeAnchor>
</c:userShapes>
</file>

<file path=xl/drawings/drawing80.xml><?xml version="1.0" encoding="utf-8"?>
<c:userShapes xmlns:c="http://schemas.openxmlformats.org/drawingml/2006/chart">
  <cdr:relSizeAnchor xmlns:cdr="http://schemas.openxmlformats.org/drawingml/2006/chartDrawing">
    <cdr:from>
      <cdr:x>0.55344</cdr:x>
      <cdr:y>0.10204</cdr:y>
    </cdr:from>
    <cdr:to>
      <cdr:x>0.76997</cdr:x>
      <cdr:y>0.32639</cdr:y>
    </cdr:to>
    <cdr:sp macro="" textlink="">
      <cdr:nvSpPr>
        <cdr:cNvPr id="8" name="TextBox 1"/>
        <cdr:cNvSpPr txBox="1"/>
      </cdr:nvSpPr>
      <cdr:spPr>
        <a:xfrm xmlns:a="http://schemas.openxmlformats.org/drawingml/2006/main">
          <a:off x="3299969" y="279916"/>
          <a:ext cx="1291081" cy="61543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200" i="0" baseline="0">
              <a:solidFill>
                <a:srgbClr val="808080"/>
              </a:solidFill>
            </a:rPr>
            <a:t>Largest residual from 1985 on is  4 months in 2008</a:t>
          </a:r>
          <a:endParaRPr lang="en-US" sz="1200" i="0">
            <a:solidFill>
              <a:srgbClr val="808080"/>
            </a:solidFill>
          </a:endParaRPr>
        </a:p>
      </cdr:txBody>
    </cdr:sp>
  </cdr:relSizeAnchor>
  <cdr:relSizeAnchor xmlns:cdr="http://schemas.openxmlformats.org/drawingml/2006/chartDrawing">
    <cdr:from>
      <cdr:x>0.76997</cdr:x>
      <cdr:y>0.24653</cdr:y>
    </cdr:from>
    <cdr:to>
      <cdr:x>0.85144</cdr:x>
      <cdr:y>0.34375</cdr:y>
    </cdr:to>
    <cdr:sp macro="" textlink="">
      <cdr:nvSpPr>
        <cdr:cNvPr id="6" name="Straight Arrow Connector 5"/>
        <cdr:cNvSpPr/>
      </cdr:nvSpPr>
      <cdr:spPr>
        <a:xfrm xmlns:a="http://schemas.openxmlformats.org/drawingml/2006/main">
          <a:off x="4591050" y="676275"/>
          <a:ext cx="485775" cy="266700"/>
        </a:xfrm>
        <a:prstGeom xmlns:a="http://schemas.openxmlformats.org/drawingml/2006/main" prst="straightConnector1">
          <a:avLst/>
        </a:prstGeom>
        <a:ln xmlns:a="http://schemas.openxmlformats.org/drawingml/2006/main">
          <a:solidFill>
            <a:srgbClr val="808080"/>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81.xml><?xml version="1.0" encoding="utf-8"?>
<c:userShapes xmlns:c="http://schemas.openxmlformats.org/drawingml/2006/chart">
  <cdr:relSizeAnchor xmlns:cdr="http://schemas.openxmlformats.org/drawingml/2006/chartDrawing">
    <cdr:from>
      <cdr:x>0.3722</cdr:x>
      <cdr:y>0.73611</cdr:y>
    </cdr:from>
    <cdr:to>
      <cdr:x>0.66293</cdr:x>
      <cdr:y>0.84028</cdr:y>
    </cdr:to>
    <cdr:sp macro="" textlink="">
      <cdr:nvSpPr>
        <cdr:cNvPr id="9" name="TextBox 1"/>
        <cdr:cNvSpPr txBox="1"/>
      </cdr:nvSpPr>
      <cdr:spPr>
        <a:xfrm xmlns:a="http://schemas.openxmlformats.org/drawingml/2006/main">
          <a:off x="2219326" y="2019291"/>
          <a:ext cx="1733521" cy="2857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0.79392</cdr:x>
      <cdr:y>0.61459</cdr:y>
    </cdr:from>
    <cdr:to>
      <cdr:x>0.91532</cdr:x>
      <cdr:y>0.79862</cdr:y>
    </cdr:to>
    <cdr:sp macro="" textlink="">
      <cdr:nvSpPr>
        <cdr:cNvPr id="10" name="TextBox 1"/>
        <cdr:cNvSpPr txBox="1"/>
      </cdr:nvSpPr>
      <cdr:spPr>
        <a:xfrm xmlns:a="http://schemas.openxmlformats.org/drawingml/2006/main">
          <a:off x="4733868" y="1685931"/>
          <a:ext cx="723866" cy="50483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Logistic model</a:t>
          </a:r>
        </a:p>
      </cdr:txBody>
    </cdr:sp>
  </cdr:relSizeAnchor>
  <cdr:relSizeAnchor xmlns:cdr="http://schemas.openxmlformats.org/drawingml/2006/chartDrawing">
    <cdr:from>
      <cdr:x>0.2508</cdr:x>
      <cdr:y>0.08681</cdr:y>
    </cdr:from>
    <cdr:to>
      <cdr:x>0.47752</cdr:x>
      <cdr:y>0.35582</cdr:y>
    </cdr:to>
    <cdr:sp macro="" textlink="">
      <cdr:nvSpPr>
        <cdr:cNvPr id="5" name="TextBox 1"/>
        <cdr:cNvSpPr txBox="1"/>
      </cdr:nvSpPr>
      <cdr:spPr>
        <a:xfrm xmlns:a="http://schemas.openxmlformats.org/drawingml/2006/main">
          <a:off x="1495425" y="238125"/>
          <a:ext cx="1351849" cy="73794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333399"/>
              </a:solidFill>
            </a:rPr>
            <a:t>Reserves from international surveys</a:t>
          </a:r>
          <a:endParaRPr lang="en-US" sz="1200" i="0">
            <a:solidFill>
              <a:srgbClr val="333399"/>
            </a:solidFill>
          </a:endParaRPr>
        </a:p>
      </cdr:txBody>
    </cdr:sp>
  </cdr:relSizeAnchor>
  <cdr:relSizeAnchor xmlns:cdr="http://schemas.openxmlformats.org/drawingml/2006/chartDrawing">
    <cdr:from>
      <cdr:x>0.16227</cdr:x>
      <cdr:y>0.19874</cdr:y>
    </cdr:from>
    <cdr:to>
      <cdr:x>0.27908</cdr:x>
      <cdr:y>0.20559</cdr:y>
    </cdr:to>
    <cdr:sp macro="" textlink="">
      <cdr:nvSpPr>
        <cdr:cNvPr id="7" name="Straight Arrow Connector 6"/>
        <cdr:cNvSpPr/>
      </cdr:nvSpPr>
      <cdr:spPr>
        <a:xfrm xmlns:a="http://schemas.openxmlformats.org/drawingml/2006/main" rot="10800000" flipV="1">
          <a:off x="967560" y="545899"/>
          <a:ext cx="696493" cy="18824"/>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0.45019</cdr:x>
      <cdr:y>0.07264</cdr:y>
    </cdr:from>
    <cdr:to>
      <cdr:x>0.52154</cdr:x>
      <cdr:y>0.2193</cdr:y>
    </cdr:to>
    <cdr:sp macro="" textlink="">
      <cdr:nvSpPr>
        <cdr:cNvPr id="8" name="Straight Arrow Connector 7"/>
        <cdr:cNvSpPr/>
      </cdr:nvSpPr>
      <cdr:spPr>
        <a:xfrm xmlns:a="http://schemas.openxmlformats.org/drawingml/2006/main" rot="10800000" flipH="1">
          <a:off x="2684318" y="199537"/>
          <a:ext cx="425425" cy="402836"/>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0.44956</cdr:x>
      <cdr:y>0.2193</cdr:y>
    </cdr:from>
    <cdr:to>
      <cdr:x>0.72232</cdr:x>
      <cdr:y>0.35636</cdr:y>
    </cdr:to>
    <cdr:sp macro="" textlink="">
      <cdr:nvSpPr>
        <cdr:cNvPr id="11" name="Straight Arrow Connector 10"/>
        <cdr:cNvSpPr/>
      </cdr:nvSpPr>
      <cdr:spPr>
        <a:xfrm xmlns:a="http://schemas.openxmlformats.org/drawingml/2006/main" rot="10800000" flipH="1" flipV="1">
          <a:off x="2680554" y="602372"/>
          <a:ext cx="1626403" cy="376482"/>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userShapes>
</file>

<file path=xl/drawings/drawing82.xml><?xml version="1.0" encoding="utf-8"?>
<xdr:wsDr xmlns:xdr="http://schemas.openxmlformats.org/drawingml/2006/spreadsheetDrawing" xmlns:a="http://schemas.openxmlformats.org/drawingml/2006/main">
  <xdr:twoCellAnchor>
    <xdr:from>
      <xdr:col>1</xdr:col>
      <xdr:colOff>95250</xdr:colOff>
      <xdr:row>4</xdr:row>
      <xdr:rowOff>66675</xdr:rowOff>
    </xdr:from>
    <xdr:to>
      <xdr:col>1</xdr:col>
      <xdr:colOff>5962650</xdr:colOff>
      <xdr:row>23</xdr:row>
      <xdr:rowOff>95250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3.xml><?xml version="1.0" encoding="utf-8"?>
<c:userShapes xmlns:c="http://schemas.openxmlformats.org/drawingml/2006/chart">
  <cdr:relSizeAnchor xmlns:cdr="http://schemas.openxmlformats.org/drawingml/2006/chartDrawing">
    <cdr:from>
      <cdr:x>0.19156</cdr:x>
      <cdr:y>0.43803</cdr:y>
    </cdr:from>
    <cdr:to>
      <cdr:x>0.45454</cdr:x>
      <cdr:y>0.63194</cdr:y>
    </cdr:to>
    <cdr:sp macro="" textlink="">
      <cdr:nvSpPr>
        <cdr:cNvPr id="5" name="TextBox 1"/>
        <cdr:cNvSpPr txBox="1"/>
      </cdr:nvSpPr>
      <cdr:spPr>
        <a:xfrm xmlns:a="http://schemas.openxmlformats.org/drawingml/2006/main">
          <a:off x="1123978" y="1201607"/>
          <a:ext cx="1543009" cy="5319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mn-lt"/>
              <a:ea typeface="+mn-ea"/>
              <a:cs typeface="+mn-cs"/>
            </a:rPr>
            <a:t>Historical long-term production estimates</a:t>
          </a:r>
        </a:p>
      </cdr:txBody>
    </cdr:sp>
  </cdr:relSizeAnchor>
  <cdr:relSizeAnchor xmlns:cdr="http://schemas.openxmlformats.org/drawingml/2006/chartDrawing">
    <cdr:from>
      <cdr:x>0.08604</cdr:x>
      <cdr:y>0.10069</cdr:y>
    </cdr:from>
    <cdr:to>
      <cdr:x>0.41883</cdr:x>
      <cdr:y>0.15625</cdr:y>
    </cdr:to>
    <cdr:sp macro="" textlink="">
      <cdr:nvSpPr>
        <cdr:cNvPr id="6" name="Straight Arrow Connector 5"/>
        <cdr:cNvSpPr/>
      </cdr:nvSpPr>
      <cdr:spPr>
        <a:xfrm xmlns:a="http://schemas.openxmlformats.org/drawingml/2006/main" flipH="1">
          <a:off x="504824" y="276225"/>
          <a:ext cx="1952625" cy="152400"/>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0.41157</cdr:x>
      <cdr:y>0.00569</cdr:y>
    </cdr:from>
    <cdr:to>
      <cdr:x>0.60133</cdr:x>
      <cdr:y>0.23686</cdr:y>
    </cdr:to>
    <cdr:sp macro="" textlink="">
      <cdr:nvSpPr>
        <cdr:cNvPr id="4" name="TextBox 1"/>
        <cdr:cNvSpPr txBox="1"/>
      </cdr:nvSpPr>
      <cdr:spPr>
        <a:xfrm xmlns:a="http://schemas.openxmlformats.org/drawingml/2006/main">
          <a:off x="2414855" y="15603"/>
          <a:ext cx="1113398" cy="6341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333399"/>
              </a:solidFill>
            </a:rPr>
            <a:t>Reserves from international surveys</a:t>
          </a:r>
        </a:p>
      </cdr:txBody>
    </cdr:sp>
  </cdr:relSizeAnchor>
  <cdr:relSizeAnchor xmlns:cdr="http://schemas.openxmlformats.org/drawingml/2006/chartDrawing">
    <cdr:from>
      <cdr:x>0.54058</cdr:x>
      <cdr:y>0.24653</cdr:y>
    </cdr:from>
    <cdr:to>
      <cdr:x>0.59647</cdr:x>
      <cdr:y>0.41002</cdr:y>
    </cdr:to>
    <cdr:sp macro="" textlink="">
      <cdr:nvSpPr>
        <cdr:cNvPr id="7" name="Straight Arrow Connector 6"/>
        <cdr:cNvSpPr/>
      </cdr:nvSpPr>
      <cdr:spPr>
        <a:xfrm xmlns:a="http://schemas.openxmlformats.org/drawingml/2006/main">
          <a:off x="3171825" y="676275"/>
          <a:ext cx="327918" cy="448498"/>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0.08604</cdr:x>
      <cdr:y>0.10069</cdr:y>
    </cdr:from>
    <cdr:to>
      <cdr:x>0.41883</cdr:x>
      <cdr:y>0.15625</cdr:y>
    </cdr:to>
    <cdr:sp macro="" textlink="">
      <cdr:nvSpPr>
        <cdr:cNvPr id="3" name="Straight Arrow Connector 5"/>
        <cdr:cNvSpPr/>
      </cdr:nvSpPr>
      <cdr:spPr>
        <a:xfrm xmlns:a="http://schemas.openxmlformats.org/drawingml/2006/main" flipH="1">
          <a:off x="504824" y="276225"/>
          <a:ext cx="1952625" cy="152400"/>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0.41157</cdr:x>
      <cdr:y>0.00569</cdr:y>
    </cdr:from>
    <cdr:to>
      <cdr:x>0.60133</cdr:x>
      <cdr:y>0.23686</cdr:y>
    </cdr:to>
    <cdr:sp macro="" textlink="">
      <cdr:nvSpPr>
        <cdr:cNvPr id="10" name="TextBox 1"/>
        <cdr:cNvSpPr txBox="1"/>
      </cdr:nvSpPr>
      <cdr:spPr>
        <a:xfrm xmlns:a="http://schemas.openxmlformats.org/drawingml/2006/main">
          <a:off x="2414855" y="15603"/>
          <a:ext cx="1113398" cy="6341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333399"/>
              </a:solidFill>
            </a:rPr>
            <a:t>Reserves from international surveys</a:t>
          </a:r>
        </a:p>
      </cdr:txBody>
    </cdr:sp>
  </cdr:relSizeAnchor>
  <cdr:relSizeAnchor xmlns:cdr="http://schemas.openxmlformats.org/drawingml/2006/chartDrawing">
    <cdr:from>
      <cdr:x>0.54058</cdr:x>
      <cdr:y>0.24653</cdr:y>
    </cdr:from>
    <cdr:to>
      <cdr:x>0.59647</cdr:x>
      <cdr:y>0.41002</cdr:y>
    </cdr:to>
    <cdr:sp macro="" textlink="">
      <cdr:nvSpPr>
        <cdr:cNvPr id="11" name="Straight Arrow Connector 6"/>
        <cdr:cNvSpPr/>
      </cdr:nvSpPr>
      <cdr:spPr>
        <a:xfrm xmlns:a="http://schemas.openxmlformats.org/drawingml/2006/main">
          <a:off x="3171825" y="676275"/>
          <a:ext cx="327918" cy="448498"/>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0.74026</cdr:x>
      <cdr:y>0.60764</cdr:y>
    </cdr:from>
    <cdr:to>
      <cdr:x>0.86037</cdr:x>
      <cdr:y>0.79167</cdr:y>
    </cdr:to>
    <cdr:sp macro="" textlink="">
      <cdr:nvSpPr>
        <cdr:cNvPr id="13" name="TextBox 1"/>
        <cdr:cNvSpPr txBox="1"/>
      </cdr:nvSpPr>
      <cdr:spPr>
        <a:xfrm xmlns:a="http://schemas.openxmlformats.org/drawingml/2006/main">
          <a:off x="4343400" y="1666875"/>
          <a:ext cx="704734" cy="50483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Sum of models</a:t>
          </a:r>
          <a:endParaRPr lang="en-US" sz="1200" i="0">
            <a:solidFill>
              <a:srgbClr val="808080"/>
            </a:solidFill>
          </a:endParaRPr>
        </a:p>
      </cdr:txBody>
    </cdr:sp>
  </cdr:relSizeAnchor>
  <cdr:relSizeAnchor xmlns:cdr="http://schemas.openxmlformats.org/drawingml/2006/chartDrawing">
    <cdr:from>
      <cdr:x>0.03896</cdr:x>
      <cdr:y>0.63542</cdr:y>
    </cdr:from>
    <cdr:to>
      <cdr:x>0.33441</cdr:x>
      <cdr:y>0.73611</cdr:y>
    </cdr:to>
    <cdr:sp macro="" textlink="">
      <cdr:nvSpPr>
        <cdr:cNvPr id="14" name="TextBox 1"/>
        <cdr:cNvSpPr txBox="1"/>
      </cdr:nvSpPr>
      <cdr:spPr>
        <a:xfrm xmlns:a="http://schemas.openxmlformats.org/drawingml/2006/main">
          <a:off x="228600" y="1743075"/>
          <a:ext cx="1733524" cy="2762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0.44805</cdr:x>
      <cdr:y>0.52847</cdr:y>
    </cdr:from>
    <cdr:to>
      <cdr:x>0.66933</cdr:x>
      <cdr:y>0.54514</cdr:y>
    </cdr:to>
    <cdr:sp macro="" textlink="">
      <cdr:nvSpPr>
        <cdr:cNvPr id="16" name="Straight Arrow Connector 15"/>
        <cdr:cNvSpPr/>
      </cdr:nvSpPr>
      <cdr:spPr>
        <a:xfrm xmlns:a="http://schemas.openxmlformats.org/drawingml/2006/main" flipV="1">
          <a:off x="2628899" y="1449705"/>
          <a:ext cx="1298331" cy="45719"/>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84.xml><?xml version="1.0" encoding="utf-8"?>
<xdr:wsDr xmlns:xdr="http://schemas.openxmlformats.org/drawingml/2006/spreadsheetDrawing" xmlns:a="http://schemas.openxmlformats.org/drawingml/2006/main">
  <xdr:twoCellAnchor>
    <xdr:from>
      <xdr:col>1</xdr:col>
      <xdr:colOff>95250</xdr:colOff>
      <xdr:row>7</xdr:row>
      <xdr:rowOff>66675</xdr:rowOff>
    </xdr:from>
    <xdr:to>
      <xdr:col>1</xdr:col>
      <xdr:colOff>5962650</xdr:colOff>
      <xdr:row>26</xdr:row>
      <xdr:rowOff>95250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447674</xdr:colOff>
      <xdr:row>29</xdr:row>
      <xdr:rowOff>19050</xdr:rowOff>
    </xdr:from>
    <xdr:to>
      <xdr:col>1</xdr:col>
      <xdr:colOff>5991224</xdr:colOff>
      <xdr:row>48</xdr:row>
      <xdr:rowOff>47625</xdr:rowOff>
    </xdr:to>
    <xdr:graphicFrame macro="">
      <xdr:nvGraphicFramePr>
        <xdr:cNvPr id="4" name="Chart 3">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51</xdr:row>
      <xdr:rowOff>0</xdr:rowOff>
    </xdr:from>
    <xdr:to>
      <xdr:col>1</xdr:col>
      <xdr:colOff>5991225</xdr:colOff>
      <xdr:row>70</xdr:row>
      <xdr:rowOff>28575</xdr:rowOff>
    </xdr:to>
    <xdr:graphicFrame macro="">
      <xdr:nvGraphicFramePr>
        <xdr:cNvPr id="5" name="Chart 4">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5.xml><?xml version="1.0" encoding="utf-8"?>
<c:userShapes xmlns:c="http://schemas.openxmlformats.org/drawingml/2006/chart">
  <cdr:relSizeAnchor xmlns:cdr="http://schemas.openxmlformats.org/drawingml/2006/chartDrawing">
    <cdr:from>
      <cdr:x>0.15747</cdr:x>
      <cdr:y>0.37984</cdr:y>
    </cdr:from>
    <cdr:to>
      <cdr:x>0.48397</cdr:x>
      <cdr:y>0.54455</cdr:y>
    </cdr:to>
    <cdr:sp macro="" textlink="">
      <cdr:nvSpPr>
        <cdr:cNvPr id="5" name="TextBox 1"/>
        <cdr:cNvSpPr txBox="1"/>
      </cdr:nvSpPr>
      <cdr:spPr>
        <a:xfrm xmlns:a="http://schemas.openxmlformats.org/drawingml/2006/main">
          <a:off x="923925" y="1041983"/>
          <a:ext cx="1915701" cy="45183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rgbClr val="333399"/>
              </a:solidFill>
              <a:effectLst/>
              <a:uLnTx/>
              <a:uFillTx/>
              <a:latin typeface="+mn-lt"/>
              <a:ea typeface="+mn-ea"/>
              <a:cs typeface="+mn-cs"/>
            </a:rPr>
            <a:t>Sum of historical long-term production estimates</a:t>
          </a:r>
        </a:p>
      </cdr:txBody>
    </cdr:sp>
  </cdr:relSizeAnchor>
  <cdr:relSizeAnchor xmlns:cdr="http://schemas.openxmlformats.org/drawingml/2006/chartDrawing">
    <cdr:from>
      <cdr:x>0.4266</cdr:x>
      <cdr:y>0.05038</cdr:y>
    </cdr:from>
    <cdr:to>
      <cdr:x>0.61636</cdr:x>
      <cdr:y>0.28155</cdr:y>
    </cdr:to>
    <cdr:sp macro="" textlink="">
      <cdr:nvSpPr>
        <cdr:cNvPr id="4" name="TextBox 1"/>
        <cdr:cNvSpPr txBox="1"/>
      </cdr:nvSpPr>
      <cdr:spPr>
        <a:xfrm xmlns:a="http://schemas.openxmlformats.org/drawingml/2006/main">
          <a:off x="2503056" y="139591"/>
          <a:ext cx="1113398" cy="64048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solidFill>
                <a:srgbClr val="333399"/>
              </a:solidFill>
            </a:rPr>
            <a:t>Reserves from international surveys</a:t>
          </a:r>
        </a:p>
      </cdr:txBody>
    </cdr:sp>
  </cdr:relSizeAnchor>
  <cdr:relSizeAnchor xmlns:cdr="http://schemas.openxmlformats.org/drawingml/2006/chartDrawing">
    <cdr:from>
      <cdr:x>0.47403</cdr:x>
      <cdr:y>0.39236</cdr:y>
    </cdr:from>
    <cdr:to>
      <cdr:x>0.68507</cdr:x>
      <cdr:y>0.47917</cdr:y>
    </cdr:to>
    <cdr:sp macro="" textlink="">
      <cdr:nvSpPr>
        <cdr:cNvPr id="7" name="Straight Arrow Connector 6"/>
        <cdr:cNvSpPr/>
      </cdr:nvSpPr>
      <cdr:spPr>
        <a:xfrm xmlns:a="http://schemas.openxmlformats.org/drawingml/2006/main" flipV="1">
          <a:off x="2781301" y="1076324"/>
          <a:ext cx="1238250" cy="238125"/>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0.15225</cdr:x>
      <cdr:y>0.12829</cdr:y>
    </cdr:from>
    <cdr:to>
      <cdr:x>0.42589</cdr:x>
      <cdr:y>0.16345</cdr:y>
    </cdr:to>
    <cdr:sp macro="" textlink="">
      <cdr:nvSpPr>
        <cdr:cNvPr id="9" name="Straight Arrow Connector 8"/>
        <cdr:cNvSpPr/>
      </cdr:nvSpPr>
      <cdr:spPr>
        <a:xfrm xmlns:a="http://schemas.openxmlformats.org/drawingml/2006/main" rot="10800000" flipV="1">
          <a:off x="893330" y="355455"/>
          <a:ext cx="1605539" cy="97416"/>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0.59807</cdr:x>
      <cdr:y>0.19341</cdr:y>
    </cdr:from>
    <cdr:to>
      <cdr:x>0.64787</cdr:x>
      <cdr:y>0.28326</cdr:y>
    </cdr:to>
    <cdr:sp macro="" textlink="">
      <cdr:nvSpPr>
        <cdr:cNvPr id="10" name="Straight Arrow Connector 9"/>
        <cdr:cNvSpPr/>
      </cdr:nvSpPr>
      <cdr:spPr>
        <a:xfrm xmlns:a="http://schemas.openxmlformats.org/drawingml/2006/main" rot="10800000" flipH="1" flipV="1">
          <a:off x="3509097" y="535853"/>
          <a:ext cx="292243" cy="248948"/>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0.38531</cdr:x>
      <cdr:y>0.12892</cdr:y>
    </cdr:from>
    <cdr:to>
      <cdr:x>0.42675</cdr:x>
      <cdr:y>0.16215</cdr:y>
    </cdr:to>
    <cdr:sp macro="" textlink="">
      <cdr:nvSpPr>
        <cdr:cNvPr id="11" name="Straight Arrow Connector 10"/>
        <cdr:cNvSpPr/>
      </cdr:nvSpPr>
      <cdr:spPr>
        <a:xfrm xmlns:a="http://schemas.openxmlformats.org/drawingml/2006/main" rot="10800000" flipV="1">
          <a:off x="2260745" y="357187"/>
          <a:ext cx="243175" cy="92075"/>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0.31422</cdr:x>
      <cdr:y>0.08141</cdr:y>
    </cdr:from>
    <cdr:to>
      <cdr:x>0.42405</cdr:x>
      <cdr:y>0.12699</cdr:y>
    </cdr:to>
    <cdr:sp macro="" textlink="">
      <cdr:nvSpPr>
        <cdr:cNvPr id="12" name="Straight Arrow Connector 11"/>
        <cdr:cNvSpPr/>
      </cdr:nvSpPr>
      <cdr:spPr>
        <a:xfrm xmlns:a="http://schemas.openxmlformats.org/drawingml/2006/main" rot="10800000">
          <a:off x="1843664" y="225570"/>
          <a:ext cx="644381" cy="126277"/>
        </a:xfrm>
        <a:prstGeom xmlns:a="http://schemas.openxmlformats.org/drawingml/2006/main" prst="straightConnector1">
          <a:avLst/>
        </a:prstGeom>
        <a:ln xmlns:a="http://schemas.openxmlformats.org/drawingml/2006/main">
          <a:solidFill>
            <a:srgbClr val="333399"/>
          </a:solidFill>
          <a:headEnd type="non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0.28247</cdr:x>
      <cdr:y>0.62847</cdr:y>
    </cdr:from>
    <cdr:to>
      <cdr:x>0.57792</cdr:x>
      <cdr:y>0.73264</cdr:y>
    </cdr:to>
    <cdr:sp macro="" textlink="">
      <cdr:nvSpPr>
        <cdr:cNvPr id="13" name="TextBox 1"/>
        <cdr:cNvSpPr txBox="1"/>
      </cdr:nvSpPr>
      <cdr:spPr>
        <a:xfrm xmlns:a="http://schemas.openxmlformats.org/drawingml/2006/main">
          <a:off x="1657350" y="1724025"/>
          <a:ext cx="1733522" cy="2857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008000"/>
              </a:solidFill>
            </a:rPr>
            <a:t>Cumulative production</a:t>
          </a:r>
          <a:endParaRPr lang="en-US" sz="1200" i="0">
            <a:solidFill>
              <a:srgbClr val="008000"/>
            </a:solidFill>
          </a:endParaRPr>
        </a:p>
      </cdr:txBody>
    </cdr:sp>
  </cdr:relSizeAnchor>
  <cdr:relSizeAnchor xmlns:cdr="http://schemas.openxmlformats.org/drawingml/2006/chartDrawing">
    <cdr:from>
      <cdr:x>0.75162</cdr:x>
      <cdr:y>0.48611</cdr:y>
    </cdr:from>
    <cdr:to>
      <cdr:x>0.87173</cdr:x>
      <cdr:y>0.67014</cdr:y>
    </cdr:to>
    <cdr:sp macro="" textlink="">
      <cdr:nvSpPr>
        <cdr:cNvPr id="14" name="TextBox 1"/>
        <cdr:cNvSpPr txBox="1"/>
      </cdr:nvSpPr>
      <cdr:spPr>
        <a:xfrm xmlns:a="http://schemas.openxmlformats.org/drawingml/2006/main">
          <a:off x="4410055" y="1333497"/>
          <a:ext cx="704734" cy="50482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200" i="0" baseline="0">
              <a:solidFill>
                <a:srgbClr val="808080"/>
              </a:solidFill>
            </a:rPr>
            <a:t>Sum of fits</a:t>
          </a:r>
          <a:endParaRPr lang="en-US" sz="1200" i="0">
            <a:solidFill>
              <a:srgbClr val="808080"/>
            </a:solidFill>
          </a:endParaRPr>
        </a:p>
      </cdr:txBody>
    </cdr:sp>
  </cdr:relSizeAnchor>
</c:userShapes>
</file>

<file path=xl/drawings/drawing86.xml><?xml version="1.0" encoding="utf-8"?>
<c:userShapes xmlns:c="http://schemas.openxmlformats.org/drawingml/2006/chart">
  <cdr:relSizeAnchor xmlns:cdr="http://schemas.openxmlformats.org/drawingml/2006/chartDrawing">
    <cdr:from>
      <cdr:x>0.15322</cdr:x>
      <cdr:y>0.00744</cdr:y>
    </cdr:from>
    <cdr:to>
      <cdr:x>0.48796</cdr:x>
      <cdr:y>0.12502</cdr:y>
    </cdr:to>
    <cdr:sp macro="" textlink="">
      <cdr:nvSpPr>
        <cdr:cNvPr id="2" name="TextBox 1"/>
        <cdr:cNvSpPr txBox="1"/>
      </cdr:nvSpPr>
      <cdr:spPr>
        <a:xfrm xmlns:a="http://schemas.openxmlformats.org/drawingml/2006/main">
          <a:off x="918080" y="20158"/>
          <a:ext cx="2005794" cy="31860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a:solidFill>
                <a:srgbClr val="808080"/>
              </a:solidFill>
            </a:rPr>
            <a:t>Pre-1913</a:t>
          </a:r>
          <a:r>
            <a:rPr lang="en-US" sz="1200" baseline="0">
              <a:solidFill>
                <a:srgbClr val="808080"/>
              </a:solidFill>
            </a:rPr>
            <a:t> growth rate 4.1% </a:t>
          </a:r>
          <a:endParaRPr lang="en-US" sz="1200">
            <a:solidFill>
              <a:srgbClr val="808080"/>
            </a:solidFill>
          </a:endParaRPr>
        </a:p>
      </cdr:txBody>
    </cdr:sp>
  </cdr:relSizeAnchor>
  <cdr:relSizeAnchor xmlns:cdr="http://schemas.openxmlformats.org/drawingml/2006/chartDrawing">
    <cdr:from>
      <cdr:x>0.61159</cdr:x>
      <cdr:y>0.32362</cdr:y>
    </cdr:from>
    <cdr:to>
      <cdr:x>0.9546</cdr:x>
      <cdr:y>0.4412</cdr:y>
    </cdr:to>
    <cdr:sp macro="" textlink="">
      <cdr:nvSpPr>
        <cdr:cNvPr id="3" name="TextBox 1"/>
        <cdr:cNvSpPr txBox="1"/>
      </cdr:nvSpPr>
      <cdr:spPr>
        <a:xfrm xmlns:a="http://schemas.openxmlformats.org/drawingml/2006/main">
          <a:off x="3664707" y="876904"/>
          <a:ext cx="2055333" cy="3186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808080"/>
              </a:solidFill>
            </a:rPr>
            <a:t>Post-1931</a:t>
          </a:r>
          <a:r>
            <a:rPr lang="en-US" sz="1200" baseline="0">
              <a:solidFill>
                <a:srgbClr val="808080"/>
              </a:solidFill>
            </a:rPr>
            <a:t> growth rate 2.2% </a:t>
          </a:r>
          <a:endParaRPr lang="en-US" sz="1200">
            <a:solidFill>
              <a:srgbClr val="808080"/>
            </a:solidFil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A6635-AF5D-424E-B08C-5642E485C99A}">
  <dimension ref="A1:B1"/>
  <sheetViews>
    <sheetView workbookViewId="0">
      <selection activeCell="B1" sqref="B1"/>
    </sheetView>
  </sheetViews>
  <sheetFormatPr baseColWidth="10" defaultRowHeight="15" x14ac:dyDescent="0.2"/>
  <sheetData>
    <row r="1" spans="1:2" x14ac:dyDescent="0.2">
      <c r="A1" t="s">
        <v>317</v>
      </c>
      <c r="B1" t="s">
        <v>318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87229-9E5A-A341-AD7D-B8702C55A946}">
  <dimension ref="A1:A2"/>
  <sheetViews>
    <sheetView tabSelected="1" workbookViewId="0">
      <selection activeCell="A3" sqref="A3"/>
    </sheetView>
  </sheetViews>
  <sheetFormatPr baseColWidth="10" defaultRowHeight="15" x14ac:dyDescent="0.2"/>
  <sheetData>
    <row r="1" spans="1:1" x14ac:dyDescent="0.2">
      <c r="A1" t="s">
        <v>316</v>
      </c>
    </row>
    <row r="2" spans="1:1" x14ac:dyDescent="0.2">
      <c r="A2" s="360" t="s">
        <v>319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B3:C39"/>
  <sheetViews>
    <sheetView workbookViewId="0"/>
  </sheetViews>
  <sheetFormatPr baseColWidth="10" defaultColWidth="9.1640625" defaultRowHeight="15" x14ac:dyDescent="0.2"/>
  <cols>
    <col min="1" max="1" width="9.1640625" style="221"/>
    <col min="2" max="2" width="24.5" style="221" customWidth="1"/>
    <col min="3" max="3" width="25.5" style="221" customWidth="1"/>
    <col min="4" max="16384" width="9.1640625" style="221"/>
  </cols>
  <sheetData>
    <row r="3" spans="2:3" x14ac:dyDescent="0.2">
      <c r="B3" t="s">
        <v>310</v>
      </c>
    </row>
    <row r="4" spans="2:3" x14ac:dyDescent="0.2">
      <c r="B4" t="s">
        <v>315</v>
      </c>
    </row>
    <row r="5" spans="2:3" x14ac:dyDescent="0.2">
      <c r="B5" s="222"/>
    </row>
    <row r="6" spans="2:3" x14ac:dyDescent="0.2">
      <c r="B6" s="223"/>
    </row>
    <row r="7" spans="2:3" x14ac:dyDescent="0.2">
      <c r="B7" s="224" t="s">
        <v>178</v>
      </c>
      <c r="C7" s="225" t="s">
        <v>177</v>
      </c>
    </row>
    <row r="8" spans="2:3" x14ac:dyDescent="0.2">
      <c r="B8" s="223"/>
      <c r="C8" s="225" t="s">
        <v>111</v>
      </c>
    </row>
    <row r="9" spans="2:3" x14ac:dyDescent="0.2">
      <c r="B9" s="223"/>
    </row>
    <row r="10" spans="2:3" x14ac:dyDescent="0.2">
      <c r="B10" s="226" t="s">
        <v>113</v>
      </c>
      <c r="C10" s="225" t="s">
        <v>63</v>
      </c>
    </row>
    <row r="11" spans="2:3" x14ac:dyDescent="0.2">
      <c r="B11" s="223"/>
      <c r="C11" s="225" t="s">
        <v>64</v>
      </c>
    </row>
    <row r="12" spans="2:3" x14ac:dyDescent="0.2">
      <c r="B12" s="223"/>
      <c r="C12" s="225" t="s">
        <v>66</v>
      </c>
    </row>
    <row r="13" spans="2:3" x14ac:dyDescent="0.2">
      <c r="B13" s="223"/>
      <c r="C13" s="225" t="s">
        <v>65</v>
      </c>
    </row>
    <row r="14" spans="2:3" x14ac:dyDescent="0.2">
      <c r="B14" s="223"/>
    </row>
    <row r="15" spans="2:3" x14ac:dyDescent="0.2">
      <c r="B15" s="227" t="s">
        <v>115</v>
      </c>
      <c r="C15" s="220" t="s">
        <v>277</v>
      </c>
    </row>
    <row r="16" spans="2:3" x14ac:dyDescent="0.2">
      <c r="B16" s="223"/>
      <c r="C16" s="220" t="s">
        <v>133</v>
      </c>
    </row>
    <row r="17" spans="2:3" x14ac:dyDescent="0.2">
      <c r="B17" s="223"/>
      <c r="C17" s="220" t="s">
        <v>130</v>
      </c>
    </row>
    <row r="18" spans="2:3" x14ac:dyDescent="0.2">
      <c r="B18" s="223"/>
      <c r="C18" s="220" t="s">
        <v>132</v>
      </c>
    </row>
    <row r="19" spans="2:3" x14ac:dyDescent="0.2">
      <c r="B19" s="223"/>
      <c r="C19" s="220" t="s">
        <v>138</v>
      </c>
    </row>
    <row r="20" spans="2:3" x14ac:dyDescent="0.2">
      <c r="B20" s="223"/>
      <c r="C20" s="220" t="s">
        <v>140</v>
      </c>
    </row>
    <row r="21" spans="2:3" x14ac:dyDescent="0.2">
      <c r="B21" s="223"/>
      <c r="C21" s="220" t="s">
        <v>141</v>
      </c>
    </row>
    <row r="22" spans="2:3" x14ac:dyDescent="0.2">
      <c r="B22" s="223"/>
      <c r="C22" s="220" t="s">
        <v>142</v>
      </c>
    </row>
    <row r="23" spans="2:3" x14ac:dyDescent="0.2">
      <c r="B23" s="223"/>
      <c r="C23" s="220" t="s">
        <v>143</v>
      </c>
    </row>
    <row r="24" spans="2:3" x14ac:dyDescent="0.2">
      <c r="B24" s="223"/>
      <c r="C24" s="220" t="s">
        <v>144</v>
      </c>
    </row>
    <row r="25" spans="2:3" x14ac:dyDescent="0.2">
      <c r="B25" s="223"/>
    </row>
    <row r="26" spans="2:3" x14ac:dyDescent="0.2">
      <c r="B26" s="228" t="s">
        <v>112</v>
      </c>
      <c r="C26" s="220" t="s">
        <v>114</v>
      </c>
    </row>
    <row r="27" spans="2:3" x14ac:dyDescent="0.2">
      <c r="B27" s="223"/>
      <c r="C27" s="220" t="s">
        <v>239</v>
      </c>
    </row>
    <row r="28" spans="2:3" x14ac:dyDescent="0.2">
      <c r="B28" s="223"/>
      <c r="C28" s="220" t="s">
        <v>255</v>
      </c>
    </row>
    <row r="29" spans="2:3" x14ac:dyDescent="0.2">
      <c r="B29" s="223"/>
      <c r="C29" s="220" t="s">
        <v>254</v>
      </c>
    </row>
    <row r="30" spans="2:3" x14ac:dyDescent="0.2">
      <c r="B30" s="223"/>
    </row>
    <row r="31" spans="2:3" x14ac:dyDescent="0.2">
      <c r="B31" s="223"/>
    </row>
    <row r="32" spans="2:3" x14ac:dyDescent="0.2">
      <c r="B32" t="s">
        <v>231</v>
      </c>
      <c r="C32" t="s">
        <v>236</v>
      </c>
    </row>
    <row r="33" spans="3:3" x14ac:dyDescent="0.2">
      <c r="C33" s="221" t="s">
        <v>215</v>
      </c>
    </row>
    <row r="35" spans="3:3" x14ac:dyDescent="0.2">
      <c r="C35" t="s">
        <v>235</v>
      </c>
    </row>
    <row r="36" spans="3:3" x14ac:dyDescent="0.2">
      <c r="C36" t="s">
        <v>232</v>
      </c>
    </row>
    <row r="37" spans="3:3" x14ac:dyDescent="0.2">
      <c r="C37" t="s">
        <v>233</v>
      </c>
    </row>
    <row r="38" spans="3:3" x14ac:dyDescent="0.2">
      <c r="C38" s="221" t="s">
        <v>216</v>
      </c>
    </row>
    <row r="39" spans="3:3" x14ac:dyDescent="0.2">
      <c r="C39" t="s">
        <v>234</v>
      </c>
    </row>
  </sheetData>
  <hyperlinks>
    <hyperlink ref="C7" location="Definitions!A1" display="Definitions" xr:uid="{00000000-0004-0000-0000-000000000000}"/>
    <hyperlink ref="C8" location="Sources!A1" display="Sources" xr:uid="{00000000-0004-0000-0000-000001000000}"/>
    <hyperlink ref="C10" location="'United Kingdom'!A1" display="United Kingdom" xr:uid="{00000000-0004-0000-0000-000002000000}"/>
    <hyperlink ref="C11" location="'Pennsylvania anthracite'!A1" display="Pennsylvania anthracite" xr:uid="{00000000-0004-0000-0000-000003000000}"/>
    <hyperlink ref="C12" location="'France and Belgium'!A1" display="France and Belgium" xr:uid="{00000000-0004-0000-0000-000004000000}"/>
    <hyperlink ref="C13" location="'Japan and South Korea'!A1" display="Japan and South Korea" xr:uid="{00000000-0004-0000-0000-000005000000}"/>
    <hyperlink ref="C15" location="Australia!A1" display="Australia" xr:uid="{00000000-0004-0000-0000-000006000000}"/>
    <hyperlink ref="C16" location="China!A1" display="China" xr:uid="{00000000-0004-0000-0000-000007000000}"/>
    <hyperlink ref="C17" location="Africa!A1" display="Africa" xr:uid="{00000000-0004-0000-0000-000008000000}"/>
    <hyperlink ref="C18" location="Europe!A1" display="Europe" xr:uid="{00000000-0004-0000-0000-000009000000}"/>
    <hyperlink ref="C19" location="Russia!A1" display="Russia" xr:uid="{00000000-0004-0000-0000-00000A000000}"/>
    <hyperlink ref="C20" location="'Western United States'!A1" display="Western United States" xr:uid="{00000000-0004-0000-0000-00000B000000}"/>
    <hyperlink ref="C21" location="'Eastern United States'!A1" display="Eastern United States" xr:uid="{00000000-0004-0000-0000-00000C000000}"/>
    <hyperlink ref="C22" location="Canada!A1" display="Canada" xr:uid="{00000000-0004-0000-0000-00000D000000}"/>
    <hyperlink ref="C23" location="'South Asia'!A1" display="South Asia" xr:uid="{00000000-0004-0000-0000-00000E000000}"/>
    <hyperlink ref="C24" location="'Latin America'!A1" display="Latin America" xr:uid="{00000000-0004-0000-0000-00000F000000}"/>
    <hyperlink ref="C26" location="'United States'!A1" display="United States" xr:uid="{00000000-0004-0000-0000-000010000000}"/>
    <hyperlink ref="C28" location="'Mature Regions Summary'!A1" display="Mature Regions" xr:uid="{00000000-0004-0000-0000-000011000000}"/>
    <hyperlink ref="C29" location="'Active Regions Summary'!A1" display="Active Regions" xr:uid="{00000000-0004-0000-0000-000012000000}"/>
    <hyperlink ref="C27" location="'World coal'!A1" display="'World coal'!A1" xr:uid="{00000000-0004-0000-0000-000013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rgb="FFFF0000"/>
  </sheetPr>
  <dimension ref="B2:Y45"/>
  <sheetViews>
    <sheetView workbookViewId="0"/>
  </sheetViews>
  <sheetFormatPr baseColWidth="10" defaultColWidth="9.1640625" defaultRowHeight="11" x14ac:dyDescent="0.15"/>
  <cols>
    <col min="1" max="1" width="2.83203125" style="297" bestFit="1" customWidth="1"/>
    <col min="2" max="2" width="26" style="297" bestFit="1" customWidth="1"/>
    <col min="3" max="3" width="144.6640625" style="299" customWidth="1"/>
    <col min="4" max="4" width="7.83203125" style="297" bestFit="1" customWidth="1"/>
    <col min="5" max="16384" width="9.1640625" style="297"/>
  </cols>
  <sheetData>
    <row r="2" spans="2:25" ht="12" x14ac:dyDescent="0.15">
      <c r="B2" s="295" t="s">
        <v>154</v>
      </c>
      <c r="C2" s="296" t="s">
        <v>242</v>
      </c>
    </row>
    <row r="3" spans="2:25" ht="12" x14ac:dyDescent="0.15">
      <c r="B3" s="298" t="s">
        <v>167</v>
      </c>
      <c r="C3" s="299" t="s">
        <v>244</v>
      </c>
      <c r="Y3" s="300"/>
    </row>
    <row r="4" spans="2:25" ht="12" x14ac:dyDescent="0.15">
      <c r="B4" s="298" t="s">
        <v>245</v>
      </c>
      <c r="C4" s="299" t="s">
        <v>252</v>
      </c>
      <c r="Y4" s="300"/>
    </row>
    <row r="5" spans="2:25" ht="12" x14ac:dyDescent="0.15">
      <c r="B5" s="298" t="s">
        <v>172</v>
      </c>
      <c r="C5" s="299" t="s">
        <v>229</v>
      </c>
      <c r="Y5" s="300"/>
    </row>
    <row r="6" spans="2:25" ht="12" x14ac:dyDescent="0.15">
      <c r="B6" s="298" t="s">
        <v>145</v>
      </c>
      <c r="C6" s="299" t="s">
        <v>253</v>
      </c>
      <c r="Y6" s="300"/>
    </row>
    <row r="7" spans="2:25" ht="12" x14ac:dyDescent="0.15">
      <c r="B7" s="298" t="s">
        <v>166</v>
      </c>
      <c r="C7" s="299" t="s">
        <v>279</v>
      </c>
      <c r="Y7" s="300"/>
    </row>
    <row r="8" spans="2:25" ht="12" x14ac:dyDescent="0.15">
      <c r="B8" s="298" t="s">
        <v>146</v>
      </c>
      <c r="C8" s="299" t="s">
        <v>150</v>
      </c>
      <c r="Y8" s="300"/>
    </row>
    <row r="9" spans="2:25" ht="12" x14ac:dyDescent="0.15">
      <c r="B9" s="298" t="s">
        <v>164</v>
      </c>
      <c r="C9" s="299" t="s">
        <v>165</v>
      </c>
      <c r="Y9" s="300"/>
    </row>
    <row r="10" spans="2:25" ht="12" x14ac:dyDescent="0.15">
      <c r="B10" s="298" t="s">
        <v>230</v>
      </c>
      <c r="C10" s="299" t="s">
        <v>280</v>
      </c>
      <c r="Y10" s="300"/>
    </row>
    <row r="11" spans="2:25" ht="12" x14ac:dyDescent="0.15">
      <c r="B11" s="298" t="s">
        <v>162</v>
      </c>
      <c r="C11" s="299" t="s">
        <v>281</v>
      </c>
      <c r="Y11" s="300"/>
    </row>
    <row r="12" spans="2:25" ht="12" x14ac:dyDescent="0.15">
      <c r="B12" s="298" t="s">
        <v>40</v>
      </c>
      <c r="C12" s="299" t="s">
        <v>151</v>
      </c>
      <c r="Y12" s="300"/>
    </row>
    <row r="13" spans="2:25" ht="24" x14ac:dyDescent="0.15">
      <c r="B13" s="298" t="s">
        <v>26</v>
      </c>
      <c r="C13" s="299" t="s">
        <v>282</v>
      </c>
      <c r="Y13" s="300"/>
    </row>
    <row r="14" spans="2:25" x14ac:dyDescent="0.15">
      <c r="B14" s="298"/>
      <c r="Y14" s="300"/>
    </row>
    <row r="15" spans="2:25" ht="12" x14ac:dyDescent="0.15">
      <c r="B15" s="295" t="s">
        <v>241</v>
      </c>
      <c r="C15" s="296" t="s">
        <v>242</v>
      </c>
      <c r="Y15" s="300"/>
    </row>
    <row r="16" spans="2:25" ht="12" x14ac:dyDescent="0.15">
      <c r="B16" s="298" t="s">
        <v>157</v>
      </c>
      <c r="C16" s="299" t="s">
        <v>168</v>
      </c>
      <c r="Y16" s="300"/>
    </row>
    <row r="17" spans="2:25" ht="12" x14ac:dyDescent="0.15">
      <c r="B17" s="298" t="s">
        <v>18</v>
      </c>
      <c r="C17" s="299" t="s">
        <v>218</v>
      </c>
      <c r="Y17" s="300"/>
    </row>
    <row r="18" spans="2:25" ht="12" x14ac:dyDescent="0.15">
      <c r="B18" s="298" t="s">
        <v>217</v>
      </c>
      <c r="C18" s="299" t="s">
        <v>219</v>
      </c>
      <c r="Y18" s="300"/>
    </row>
    <row r="19" spans="2:25" ht="12" x14ac:dyDescent="0.15">
      <c r="B19" s="298" t="s">
        <v>67</v>
      </c>
      <c r="C19" s="299" t="s">
        <v>149</v>
      </c>
      <c r="Y19" s="300"/>
    </row>
    <row r="20" spans="2:25" ht="24" x14ac:dyDescent="0.15">
      <c r="B20" s="298" t="s">
        <v>220</v>
      </c>
      <c r="C20" s="299" t="s">
        <v>221</v>
      </c>
      <c r="Y20" s="300"/>
    </row>
    <row r="21" spans="2:25" ht="12" x14ac:dyDescent="0.15">
      <c r="B21" s="298" t="s">
        <v>148</v>
      </c>
      <c r="C21" s="352" t="s">
        <v>311</v>
      </c>
      <c r="Y21" s="300"/>
    </row>
    <row r="22" spans="2:25" ht="12" x14ac:dyDescent="0.15">
      <c r="B22" s="298" t="s">
        <v>2</v>
      </c>
      <c r="C22" s="299" t="s">
        <v>222</v>
      </c>
      <c r="Y22" s="300"/>
    </row>
    <row r="23" spans="2:25" ht="12" x14ac:dyDescent="0.15">
      <c r="B23" s="298" t="s">
        <v>169</v>
      </c>
      <c r="C23" s="352" t="s">
        <v>312</v>
      </c>
      <c r="Y23" s="300"/>
    </row>
    <row r="24" spans="2:25" ht="12" x14ac:dyDescent="0.15">
      <c r="B24" s="298" t="s">
        <v>3</v>
      </c>
      <c r="C24" s="299" t="s">
        <v>153</v>
      </c>
      <c r="Y24" s="300"/>
    </row>
    <row r="25" spans="2:25" ht="12" x14ac:dyDescent="0.15">
      <c r="B25" s="298" t="s">
        <v>147</v>
      </c>
      <c r="C25" s="299" t="s">
        <v>276</v>
      </c>
      <c r="Y25" s="300"/>
    </row>
    <row r="26" spans="2:25" ht="48" x14ac:dyDescent="0.15">
      <c r="B26" s="353" t="s">
        <v>313</v>
      </c>
      <c r="C26" s="352" t="s">
        <v>314</v>
      </c>
    </row>
    <row r="27" spans="2:25" x14ac:dyDescent="0.15">
      <c r="B27" s="298"/>
      <c r="F27" s="300"/>
      <c r="Y27" s="301"/>
    </row>
    <row r="28" spans="2:25" ht="12" x14ac:dyDescent="0.15">
      <c r="B28" s="295" t="s">
        <v>157</v>
      </c>
      <c r="C28" s="296" t="s">
        <v>163</v>
      </c>
      <c r="F28" s="300"/>
      <c r="Y28" s="301"/>
    </row>
    <row r="29" spans="2:25" ht="12" x14ac:dyDescent="0.15">
      <c r="B29" s="298" t="s">
        <v>63</v>
      </c>
      <c r="C29" s="299" t="s">
        <v>179</v>
      </c>
    </row>
    <row r="30" spans="2:25" ht="12" x14ac:dyDescent="0.15">
      <c r="B30" s="298" t="s">
        <v>155</v>
      </c>
      <c r="C30" s="299" t="s">
        <v>156</v>
      </c>
    </row>
    <row r="31" spans="2:25" ht="12" x14ac:dyDescent="0.15">
      <c r="B31" s="298" t="s">
        <v>66</v>
      </c>
      <c r="C31" s="299" t="s">
        <v>180</v>
      </c>
    </row>
    <row r="32" spans="2:25" ht="12" x14ac:dyDescent="0.15">
      <c r="B32" s="298" t="s">
        <v>65</v>
      </c>
      <c r="C32" s="299" t="s">
        <v>158</v>
      </c>
    </row>
    <row r="33" spans="2:3" ht="12" x14ac:dyDescent="0.15">
      <c r="B33" s="298" t="s">
        <v>131</v>
      </c>
      <c r="C33" s="299" t="s">
        <v>159</v>
      </c>
    </row>
    <row r="34" spans="2:3" ht="12" x14ac:dyDescent="0.15">
      <c r="B34" s="298" t="s">
        <v>133</v>
      </c>
      <c r="C34" s="299" t="s">
        <v>181</v>
      </c>
    </row>
    <row r="35" spans="2:3" ht="12" x14ac:dyDescent="0.15">
      <c r="B35" s="298" t="s">
        <v>130</v>
      </c>
      <c r="C35" s="299" t="s">
        <v>160</v>
      </c>
    </row>
    <row r="36" spans="2:3" ht="12" x14ac:dyDescent="0.15">
      <c r="B36" s="298" t="s">
        <v>132</v>
      </c>
      <c r="C36" s="299" t="s">
        <v>161</v>
      </c>
    </row>
    <row r="37" spans="2:3" ht="12" x14ac:dyDescent="0.15">
      <c r="B37" s="298" t="s">
        <v>138</v>
      </c>
      <c r="C37" s="299" t="s">
        <v>182</v>
      </c>
    </row>
    <row r="38" spans="2:3" x14ac:dyDescent="0.15">
      <c r="B38" s="298" t="s">
        <v>140</v>
      </c>
      <c r="C38" s="355" t="s">
        <v>183</v>
      </c>
    </row>
    <row r="39" spans="2:3" x14ac:dyDescent="0.15">
      <c r="B39" s="298" t="s">
        <v>141</v>
      </c>
      <c r="C39" s="355"/>
    </row>
    <row r="40" spans="2:3" ht="12" x14ac:dyDescent="0.15">
      <c r="B40" s="298" t="s">
        <v>142</v>
      </c>
      <c r="C40" s="299" t="s">
        <v>175</v>
      </c>
    </row>
    <row r="41" spans="2:3" ht="12" x14ac:dyDescent="0.15">
      <c r="B41" s="298" t="s">
        <v>143</v>
      </c>
      <c r="C41" s="302" t="s">
        <v>170</v>
      </c>
    </row>
    <row r="42" spans="2:3" ht="12" x14ac:dyDescent="0.15">
      <c r="B42" s="298" t="s">
        <v>144</v>
      </c>
      <c r="C42" s="299" t="s">
        <v>171</v>
      </c>
    </row>
    <row r="44" spans="2:3" ht="12" x14ac:dyDescent="0.15">
      <c r="B44" s="295" t="s">
        <v>243</v>
      </c>
      <c r="C44" s="296" t="s">
        <v>242</v>
      </c>
    </row>
    <row r="45" spans="2:3" ht="12" x14ac:dyDescent="0.15">
      <c r="B45" s="297">
        <v>2</v>
      </c>
      <c r="C45" s="352" t="s">
        <v>309</v>
      </c>
    </row>
  </sheetData>
  <mergeCells count="1">
    <mergeCell ref="C38:C3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F0000"/>
  </sheetPr>
  <dimension ref="B2:L66"/>
  <sheetViews>
    <sheetView topLeftCell="B1" workbookViewId="0">
      <selection activeCell="C34" sqref="C34"/>
    </sheetView>
  </sheetViews>
  <sheetFormatPr baseColWidth="10" defaultColWidth="9.1640625" defaultRowHeight="15" x14ac:dyDescent="0.2"/>
  <cols>
    <col min="1" max="1" width="3.6640625" style="221" customWidth="1"/>
    <col min="2" max="2" width="14" style="221" bestFit="1" customWidth="1"/>
    <col min="3" max="16384" width="9.1640625" style="221"/>
  </cols>
  <sheetData>
    <row r="2" spans="2:12" x14ac:dyDescent="0.2">
      <c r="B2" s="221" t="s">
        <v>184</v>
      </c>
    </row>
    <row r="4" spans="2:12" x14ac:dyDescent="0.2">
      <c r="C4" s="221" t="s">
        <v>204</v>
      </c>
      <c r="K4" s="223"/>
      <c r="L4" s="223"/>
    </row>
    <row r="5" spans="2:12" x14ac:dyDescent="0.2">
      <c r="C5" s="221" t="s">
        <v>208</v>
      </c>
      <c r="L5" s="229"/>
    </row>
    <row r="6" spans="2:12" x14ac:dyDescent="0.2">
      <c r="L6" s="229"/>
    </row>
    <row r="7" spans="2:12" x14ac:dyDescent="0.2">
      <c r="C7" s="221" t="s">
        <v>202</v>
      </c>
      <c r="L7" s="229"/>
    </row>
    <row r="8" spans="2:12" x14ac:dyDescent="0.2">
      <c r="C8" s="231" t="s">
        <v>209</v>
      </c>
      <c r="L8" s="229"/>
    </row>
    <row r="10" spans="2:12" x14ac:dyDescent="0.2">
      <c r="C10" s="221" t="s">
        <v>64</v>
      </c>
    </row>
    <row r="11" spans="2:12" x14ac:dyDescent="0.2">
      <c r="C11" s="231" t="s">
        <v>192</v>
      </c>
    </row>
    <row r="12" spans="2:12" x14ac:dyDescent="0.2">
      <c r="C12" s="231" t="s">
        <v>193</v>
      </c>
    </row>
    <row r="13" spans="2:12" x14ac:dyDescent="0.2">
      <c r="K13" s="223"/>
      <c r="L13" s="223"/>
    </row>
    <row r="14" spans="2:12" x14ac:dyDescent="0.2">
      <c r="C14" s="231" t="s">
        <v>200</v>
      </c>
      <c r="K14" s="223"/>
      <c r="L14" s="223"/>
    </row>
    <row r="15" spans="2:12" x14ac:dyDescent="0.2">
      <c r="C15" s="221" t="s">
        <v>201</v>
      </c>
      <c r="L15" s="232"/>
    </row>
    <row r="16" spans="2:12" x14ac:dyDescent="0.2">
      <c r="L16" s="232"/>
    </row>
    <row r="17" spans="3:12" x14ac:dyDescent="0.2">
      <c r="C17" s="221" t="s">
        <v>277</v>
      </c>
      <c r="L17" s="232"/>
    </row>
    <row r="18" spans="3:12" x14ac:dyDescent="0.2">
      <c r="C18" t="s">
        <v>289</v>
      </c>
      <c r="L18" s="232"/>
    </row>
    <row r="19" spans="3:12" x14ac:dyDescent="0.2">
      <c r="L19" s="232"/>
    </row>
    <row r="20" spans="3:12" x14ac:dyDescent="0.2">
      <c r="C20" s="221" t="s">
        <v>133</v>
      </c>
      <c r="L20" s="232"/>
    </row>
    <row r="21" spans="3:12" x14ac:dyDescent="0.2">
      <c r="C21" s="233" t="s">
        <v>210</v>
      </c>
      <c r="L21" s="232"/>
    </row>
    <row r="22" spans="3:12" x14ac:dyDescent="0.2">
      <c r="L22" s="232"/>
    </row>
    <row r="23" spans="3:12" x14ac:dyDescent="0.2">
      <c r="C23" s="221" t="s">
        <v>138</v>
      </c>
      <c r="L23" s="230"/>
    </row>
    <row r="24" spans="3:12" x14ac:dyDescent="0.2">
      <c r="C24" s="234" t="s">
        <v>191</v>
      </c>
    </row>
    <row r="25" spans="3:12" x14ac:dyDescent="0.2">
      <c r="C25" s="231"/>
    </row>
    <row r="26" spans="3:12" x14ac:dyDescent="0.2">
      <c r="C26" s="221" t="s">
        <v>203</v>
      </c>
    </row>
    <row r="27" spans="3:12" x14ac:dyDescent="0.2">
      <c r="C27" s="235" t="s">
        <v>212</v>
      </c>
    </row>
    <row r="29" spans="3:12" x14ac:dyDescent="0.2">
      <c r="C29" s="221" t="s">
        <v>207</v>
      </c>
    </row>
    <row r="30" spans="3:12" x14ac:dyDescent="0.2">
      <c r="C30" s="231" t="s">
        <v>186</v>
      </c>
    </row>
    <row r="31" spans="3:12" x14ac:dyDescent="0.2">
      <c r="C31" s="233" t="s">
        <v>187</v>
      </c>
    </row>
    <row r="32" spans="3:12" x14ac:dyDescent="0.2">
      <c r="C32" s="233" t="s">
        <v>188</v>
      </c>
    </row>
    <row r="33" spans="2:3" x14ac:dyDescent="0.2">
      <c r="C33" s="233" t="s">
        <v>189</v>
      </c>
    </row>
    <row r="34" spans="2:3" x14ac:dyDescent="0.2">
      <c r="C34" s="233" t="s">
        <v>190</v>
      </c>
    </row>
    <row r="36" spans="2:3" x14ac:dyDescent="0.2">
      <c r="B36" s="221" t="s">
        <v>185</v>
      </c>
    </row>
    <row r="38" spans="2:3" x14ac:dyDescent="0.2">
      <c r="C38" s="221" t="s">
        <v>204</v>
      </c>
    </row>
    <row r="39" spans="2:3" x14ac:dyDescent="0.2">
      <c r="C39" t="s">
        <v>223</v>
      </c>
    </row>
    <row r="40" spans="2:3" x14ac:dyDescent="0.2">
      <c r="C40" t="s">
        <v>224</v>
      </c>
    </row>
    <row r="41" spans="2:3" x14ac:dyDescent="0.2">
      <c r="C41" s="221" t="s">
        <v>225</v>
      </c>
    </row>
    <row r="42" spans="2:3" x14ac:dyDescent="0.2">
      <c r="C42" s="221" t="s">
        <v>226</v>
      </c>
    </row>
    <row r="43" spans="2:3" x14ac:dyDescent="0.2">
      <c r="C43" s="221" t="s">
        <v>227</v>
      </c>
    </row>
    <row r="44" spans="2:3" x14ac:dyDescent="0.2">
      <c r="C44" s="221" t="s">
        <v>228</v>
      </c>
    </row>
    <row r="46" spans="2:3" x14ac:dyDescent="0.2">
      <c r="C46" s="221" t="s">
        <v>213</v>
      </c>
    </row>
    <row r="48" spans="2:3" x14ac:dyDescent="0.2">
      <c r="C48" s="221" t="s">
        <v>214</v>
      </c>
    </row>
    <row r="50" spans="3:3" x14ac:dyDescent="0.2">
      <c r="C50" s="221" t="s">
        <v>202</v>
      </c>
    </row>
    <row r="52" spans="3:3" x14ac:dyDescent="0.2">
      <c r="C52" s="221" t="s">
        <v>205</v>
      </c>
    </row>
    <row r="53" spans="3:3" x14ac:dyDescent="0.2">
      <c r="C53" s="221" t="s">
        <v>206</v>
      </c>
    </row>
    <row r="54" spans="3:3" x14ac:dyDescent="0.2">
      <c r="C54" s="221" t="s">
        <v>211</v>
      </c>
    </row>
    <row r="56" spans="3:3" x14ac:dyDescent="0.2">
      <c r="C56" s="221" t="s">
        <v>64</v>
      </c>
    </row>
    <row r="58" spans="3:3" x14ac:dyDescent="0.2">
      <c r="C58" s="236" t="s">
        <v>194</v>
      </c>
    </row>
    <row r="59" spans="3:3" x14ac:dyDescent="0.2">
      <c r="C59" s="236" t="s">
        <v>195</v>
      </c>
    </row>
    <row r="60" spans="3:3" x14ac:dyDescent="0.2">
      <c r="C60" s="236" t="s">
        <v>196</v>
      </c>
    </row>
    <row r="61" spans="3:3" x14ac:dyDescent="0.2">
      <c r="C61" s="236" t="s">
        <v>197</v>
      </c>
    </row>
    <row r="62" spans="3:3" x14ac:dyDescent="0.2">
      <c r="C62" s="236" t="s">
        <v>198</v>
      </c>
    </row>
    <row r="63" spans="3:3" x14ac:dyDescent="0.2">
      <c r="C63" s="236" t="s">
        <v>199</v>
      </c>
    </row>
    <row r="65" spans="2:3" x14ac:dyDescent="0.2">
      <c r="B65" t="s">
        <v>256</v>
      </c>
    </row>
    <row r="66" spans="2:3" x14ac:dyDescent="0.2">
      <c r="C66" t="s">
        <v>257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0000FF"/>
  </sheetPr>
  <dimension ref="C1:T333"/>
  <sheetViews>
    <sheetView zoomScaleNormal="100" workbookViewId="0">
      <selection activeCell="A35" sqref="A35"/>
    </sheetView>
  </sheetViews>
  <sheetFormatPr baseColWidth="10" defaultColWidth="9.1640625" defaultRowHeight="11.25" customHeight="1" x14ac:dyDescent="0.2"/>
  <cols>
    <col min="1" max="1" width="9.1640625" style="3"/>
    <col min="2" max="2" width="90.6640625" style="3" customWidth="1"/>
    <col min="3" max="3" width="6" style="3" customWidth="1"/>
    <col min="4" max="4" width="4.5" style="12" bestFit="1" customWidth="1"/>
    <col min="5" max="5" width="6.5" style="3" bestFit="1" customWidth="1"/>
    <col min="6" max="6" width="6.83203125" style="3" bestFit="1" customWidth="1"/>
    <col min="7" max="7" width="7.1640625" style="3" bestFit="1" customWidth="1"/>
    <col min="8" max="8" width="8.6640625" style="3" bestFit="1" customWidth="1"/>
    <col min="9" max="9" width="6.5" style="3" bestFit="1" customWidth="1"/>
    <col min="10" max="10" width="4" style="3" customWidth="1"/>
    <col min="11" max="11" width="5.6640625" style="3" bestFit="1" customWidth="1"/>
    <col min="12" max="12" width="5" style="3" bestFit="1" customWidth="1"/>
    <col min="13" max="13" width="6.1640625" style="3" bestFit="1" customWidth="1"/>
    <col min="14" max="14" width="12" style="3" bestFit="1" customWidth="1"/>
    <col min="15" max="15" width="8.1640625" style="3" bestFit="1" customWidth="1"/>
    <col min="16" max="16" width="11.1640625" style="3" bestFit="1" customWidth="1"/>
    <col min="17" max="17" width="4.83203125" style="3" bestFit="1" customWidth="1"/>
    <col min="18" max="18" width="9.5" bestFit="1" customWidth="1"/>
    <col min="19" max="16384" width="9.1640625" style="3"/>
  </cols>
  <sheetData>
    <row r="1" spans="4:20" ht="11.25" customHeight="1" x14ac:dyDescent="0.2">
      <c r="E1" s="95">
        <f ca="1">RSQ(OFFSET(G12,E3-D12,0):OFFSET(G12,E4-D12,0),OFFSET(D12,E3-D12,0):OFFSET(D12,E4-D12,0))</f>
        <v>0.99954523383623528</v>
      </c>
      <c r="F1" s="6">
        <v>28.875830974615702</v>
      </c>
      <c r="G1" s="116" t="s">
        <v>72</v>
      </c>
      <c r="H1" s="6"/>
    </row>
    <row r="2" spans="4:20" ht="11.25" customHeight="1" x14ac:dyDescent="0.2">
      <c r="D2" s="97"/>
      <c r="E2" s="6">
        <f ca="1" xml:space="preserve"> (- INTERCEPT(OFFSET(G12,E3-D12,0):OFFSET(G12,E4-D12,0),OFFSET(D12,E3-D12,0):OFFSET(D12,E4-D12,0)) - LN(9))/SLOPE(OFFSET(G12,E3-D12,0):OFFSET(G12,E4-D12,0),OFFSET(D12,E3-D12,0):OFFSET(D12,E4-D12,0))</f>
        <v>1863.4100422628194</v>
      </c>
      <c r="F2" s="6">
        <f ca="1" xml:space="preserve"> (- INTERCEPT(OFFSET(G12,E3-D12,0):OFFSET(G12,E4-D12,0),OFFSET(D12,E3-D12,0):OFFSET(D12,E4-D12,0)) + LN(9))/SLOPE(OFFSET(G12,E3-D12,0):OFFSET(G12,E4-D12,0),OFFSET(D12,E3-D12,0):OFFSET(D12,E4-D12,0))</f>
        <v>1984.6721000551629</v>
      </c>
      <c r="G2" s="116" t="s">
        <v>152</v>
      </c>
      <c r="H2" s="6"/>
      <c r="I2" s="351">
        <f ca="1">AVERAGE(E2:F2)</f>
        <v>1924.0410711589911</v>
      </c>
      <c r="J2" s="350" t="s">
        <v>305</v>
      </c>
    </row>
    <row r="3" spans="4:20" ht="11.25" customHeight="1" x14ac:dyDescent="0.2">
      <c r="E3" s="3">
        <v>1829</v>
      </c>
      <c r="F3" s="8">
        <f ca="1">(E3-AVERAGE(E$2:F$2))/(F$2-E$2)*LN(81)</f>
        <v>-3.4442195886944811</v>
      </c>
      <c r="G3" s="116" t="s">
        <v>74</v>
      </c>
      <c r="H3" s="8"/>
      <c r="I3" s="26">
        <f ca="1">(F2-E2)/LN(81)</f>
        <v>27.594370426020404</v>
      </c>
      <c r="J3" s="350" t="s">
        <v>306</v>
      </c>
    </row>
    <row r="4" spans="4:20" ht="11.25" customHeight="1" x14ac:dyDescent="0.2">
      <c r="E4" s="3">
        <f ca="1">OFFSET(D12,COUNT(E13:E304),0)</f>
        <v>2009</v>
      </c>
      <c r="F4" s="8">
        <f ca="1">(E4-AVERAGE(E$2:F$2))/(F$2-E$2)*LN(81)</f>
        <v>3.0788500527229257</v>
      </c>
      <c r="G4" s="10"/>
      <c r="H4" s="12"/>
      <c r="I4" s="6">
        <f ca="1">I2- I6*LN(9)</f>
        <v>1863.4100422628192</v>
      </c>
      <c r="J4" s="350" t="s">
        <v>307</v>
      </c>
      <c r="K4" s="11">
        <f ca="1">I4-E2</f>
        <v>0</v>
      </c>
    </row>
    <row r="5" spans="4:20" ht="11.25" customHeight="1" x14ac:dyDescent="0.2">
      <c r="D5" s="98"/>
      <c r="E5" s="95">
        <f ca="1">RSQ(OFFSET(K12,E3-D12,0):OFFSET(K12,E4-D12,0),OFFSET(D12,E3-D12,0):OFFSET(D12,E4-D12,0))</f>
        <v>0.9987603467637165</v>
      </c>
      <c r="F5" s="27">
        <v>28.76543263041523</v>
      </c>
      <c r="G5" s="116" t="s">
        <v>73</v>
      </c>
      <c r="I5" s="6">
        <f ca="1">I2+I6*LN(9)</f>
        <v>1984.6721000551631</v>
      </c>
      <c r="J5" s="350" t="s">
        <v>308</v>
      </c>
      <c r="K5" s="11">
        <f ca="1">I5-F2</f>
        <v>0</v>
      </c>
    </row>
    <row r="6" spans="4:20" ht="11.25" customHeight="1" x14ac:dyDescent="0.2">
      <c r="D6" s="98"/>
      <c r="E6" s="12">
        <f ca="1">'Mature Regions Summary'!D3-'United Kingdom'!F42</f>
        <v>24.898296638059019</v>
      </c>
      <c r="F6" s="115" t="s">
        <v>71</v>
      </c>
      <c r="G6" s="61"/>
      <c r="I6" s="3">
        <f ca="1">1/SLOPE(OFFSET(G12,E3-D12,0):OFFSET(G12,E4-D12,0),OFFSET(D12,E3-D12,0):OFFSET(D12,E4-D12,0))</f>
        <v>27.594370426020461</v>
      </c>
      <c r="J6" s="350" t="s">
        <v>306</v>
      </c>
    </row>
    <row r="7" spans="4:20" ht="11.25" customHeight="1" x14ac:dyDescent="0.2">
      <c r="D7" s="98"/>
      <c r="E7" s="90">
        <f>F151/F1</f>
        <v>0.83225176857746763</v>
      </c>
      <c r="F7" s="290" t="s">
        <v>271</v>
      </c>
      <c r="G7" s="61"/>
    </row>
    <row r="8" spans="4:20" ht="11.25" customHeight="1" x14ac:dyDescent="0.2">
      <c r="D8" s="98"/>
      <c r="E8" s="90"/>
      <c r="F8" s="290"/>
      <c r="G8" s="61"/>
    </row>
    <row r="9" spans="4:20" ht="11.25" customHeight="1" x14ac:dyDescent="0.2">
      <c r="D9" s="98"/>
      <c r="E9" s="90"/>
      <c r="F9" s="290"/>
      <c r="G9" s="61"/>
    </row>
    <row r="10" spans="4:20" ht="11.25" customHeight="1" x14ac:dyDescent="0.2">
      <c r="E10" s="11"/>
      <c r="G10" s="61"/>
    </row>
    <row r="11" spans="4:20" ht="11.25" customHeight="1" x14ac:dyDescent="0.15">
      <c r="D11" s="14"/>
      <c r="E11" s="1" t="s">
        <v>0</v>
      </c>
      <c r="F11" s="4" t="s">
        <v>1</v>
      </c>
      <c r="G11" s="9" t="s">
        <v>2</v>
      </c>
      <c r="H11" s="209" t="s">
        <v>217</v>
      </c>
      <c r="I11" s="69" t="s">
        <v>27</v>
      </c>
      <c r="J11" s="77" t="s">
        <v>41</v>
      </c>
      <c r="K11" s="25" t="s">
        <v>3</v>
      </c>
      <c r="L11" s="25"/>
      <c r="N11" s="198" t="s">
        <v>166</v>
      </c>
      <c r="O11" s="96" t="s">
        <v>67</v>
      </c>
      <c r="P11" s="99" t="s">
        <v>26</v>
      </c>
      <c r="Q11" s="96" t="s">
        <v>40</v>
      </c>
      <c r="R11" s="335" t="s">
        <v>290</v>
      </c>
      <c r="T11" s="6"/>
    </row>
    <row r="12" spans="4:20" ht="11.25" customHeight="1" x14ac:dyDescent="0.15">
      <c r="D12" s="14">
        <v>1829</v>
      </c>
      <c r="E12" s="2"/>
      <c r="F12" s="5">
        <v>0.89666139776793197</v>
      </c>
      <c r="G12" s="8">
        <f xml:space="preserve"> -LN(F$1/F12-1)</f>
        <v>-3.4405372607946405</v>
      </c>
      <c r="I12" s="8">
        <f t="shared" ref="I12:I43" ca="1" si="0" xml:space="preserve"> G12*(F$2-E$2)/LN(81) + AVERAGE(E$2:F$2) - D12</f>
        <v>0.10161152009823127</v>
      </c>
      <c r="J12" s="6">
        <f t="shared" ref="J12:J75" ca="1" si="1">F$1/(1+EXP((AVERAGE(E$2:F$2)-D12)*LN(81)/(F$2-E$2)))</f>
        <v>0.89346764370398968</v>
      </c>
      <c r="K12" s="8">
        <f t="shared" ref="K12:K43" si="2">NORMSINV(F12/F$5)</f>
        <v>-1.8638485176487545</v>
      </c>
      <c r="M12" s="3" t="s">
        <v>5</v>
      </c>
      <c r="N12" s="3">
        <v>1861</v>
      </c>
      <c r="O12" s="6">
        <f t="shared" ref="O12:O35" si="3">LOOKUP(P12,D$13:D$296,F$13:F$296)  + Q12</f>
        <v>83.789294805116356</v>
      </c>
      <c r="P12" s="3">
        <v>1861</v>
      </c>
      <c r="Q12" s="6">
        <v>81.124233407348427</v>
      </c>
      <c r="R12" s="336">
        <f ca="1">OFFSET(F$183, COUNT(F$184:F$301),0)/O12</f>
        <v>0.32684674217063214</v>
      </c>
    </row>
    <row r="13" spans="4:20" ht="11.25" customHeight="1" x14ac:dyDescent="0.15">
      <c r="D13" s="14">
        <v>1830</v>
      </c>
      <c r="E13" s="2">
        <v>30.5</v>
      </c>
      <c r="F13" s="6">
        <f>F12+E13/1000</f>
        <v>0.92716139776793194</v>
      </c>
      <c r="G13" s="8">
        <f t="shared" ref="G13:G43" si="4" xml:space="preserve"> -LN(F$1/F13-1)</f>
        <v>-3.4059972193021388</v>
      </c>
      <c r="I13" s="8">
        <f t="shared" ca="1" si="0"/>
        <v>5.4722219572568065E-2</v>
      </c>
      <c r="J13" s="6">
        <f t="shared" ca="1" si="1"/>
        <v>0.92538343656911448</v>
      </c>
      <c r="K13" s="8">
        <f t="shared" si="2"/>
        <v>-1.8489600541750408</v>
      </c>
      <c r="M13" s="3" t="s">
        <v>6</v>
      </c>
      <c r="N13" s="3">
        <v>1871</v>
      </c>
      <c r="O13" s="6">
        <f t="shared" si="3"/>
        <v>152.54951272359983</v>
      </c>
      <c r="P13" s="3">
        <v>1871</v>
      </c>
      <c r="Q13" s="6">
        <v>148.83055132583189</v>
      </c>
      <c r="R13" s="336">
        <f ca="1">OFFSET(F$183, COUNT(F$184:F$301),0)/O13</f>
        <v>0.1795237332907601</v>
      </c>
    </row>
    <row r="14" spans="4:20" ht="11.25" customHeight="1" x14ac:dyDescent="0.2">
      <c r="D14" s="14">
        <v>1831</v>
      </c>
      <c r="E14" s="2">
        <v>31.5</v>
      </c>
      <c r="F14" s="6">
        <f t="shared" ref="F14:F77" si="5">F13+E14/1000</f>
        <v>0.95866139776793191</v>
      </c>
      <c r="G14" s="8">
        <f t="shared" si="4"/>
        <v>-3.3714592414618827</v>
      </c>
      <c r="I14" s="8">
        <f t="shared" ca="1" si="0"/>
        <v>7.7759738621807628E-3</v>
      </c>
      <c r="J14" s="6">
        <f t="shared" ca="1" si="1"/>
        <v>0.95840025421495967</v>
      </c>
      <c r="K14" s="8">
        <f t="shared" si="2"/>
        <v>-1.8340019163562589</v>
      </c>
      <c r="M14" s="3" t="s">
        <v>7</v>
      </c>
      <c r="N14" s="3">
        <v>1913</v>
      </c>
      <c r="O14" s="6">
        <f t="shared" si="3"/>
        <v>201.44496139776791</v>
      </c>
      <c r="P14" s="3">
        <v>1913</v>
      </c>
      <c r="Q14" s="6">
        <v>189.53299999999999</v>
      </c>
    </row>
    <row r="15" spans="4:20" ht="11.25" customHeight="1" x14ac:dyDescent="0.2">
      <c r="D15" s="14">
        <v>1832</v>
      </c>
      <c r="E15" s="2">
        <v>32.1</v>
      </c>
      <c r="F15" s="6">
        <f t="shared" si="5"/>
        <v>0.99076139776793193</v>
      </c>
      <c r="G15" s="8">
        <f t="shared" si="4"/>
        <v>-3.3373729477698548</v>
      </c>
      <c r="I15" s="8">
        <f t="shared" ca="1" si="0"/>
        <v>-5.1634211549981046E-2</v>
      </c>
      <c r="J15" s="6">
        <f t="shared" ca="1" si="1"/>
        <v>0.99255324861691208</v>
      </c>
      <c r="K15" s="8">
        <f t="shared" si="2"/>
        <v>-1.8191696268592998</v>
      </c>
      <c r="M15" s="24" t="s">
        <v>99</v>
      </c>
      <c r="N15" s="3">
        <v>1936</v>
      </c>
      <c r="O15" s="6">
        <f t="shared" si="3"/>
        <v>192.64496139776793</v>
      </c>
      <c r="P15" s="3">
        <v>1933</v>
      </c>
      <c r="Q15" s="6">
        <v>176</v>
      </c>
    </row>
    <row r="16" spans="4:20" ht="11.25" customHeight="1" x14ac:dyDescent="0.2">
      <c r="D16" s="14">
        <v>1833</v>
      </c>
      <c r="E16" s="2">
        <v>32.9</v>
      </c>
      <c r="F16" s="6">
        <f t="shared" si="5"/>
        <v>1.0236613977679319</v>
      </c>
      <c r="G16" s="8">
        <f t="shared" si="4"/>
        <v>-3.3035250598668933</v>
      </c>
      <c r="I16" s="8">
        <f t="shared" ca="1" si="0"/>
        <v>-0.11762305461707001</v>
      </c>
      <c r="J16" s="6">
        <f t="shared" ca="1" si="1"/>
        <v>1.0278784890659072</v>
      </c>
      <c r="K16" s="8">
        <f t="shared" si="2"/>
        <v>-1.8043719142092636</v>
      </c>
      <c r="M16" s="24" t="s">
        <v>100</v>
      </c>
      <c r="N16" s="3">
        <v>1937</v>
      </c>
      <c r="O16" s="6">
        <f t="shared" si="3"/>
        <v>192.07196139776795</v>
      </c>
      <c r="P16" s="3">
        <v>1936</v>
      </c>
      <c r="Q16" s="6">
        <v>174.745</v>
      </c>
    </row>
    <row r="17" spans="4:17" ht="11.25" customHeight="1" x14ac:dyDescent="0.2">
      <c r="D17" s="14">
        <v>1834</v>
      </c>
      <c r="E17" s="2">
        <v>33.799999999999997</v>
      </c>
      <c r="F17" s="6">
        <f t="shared" si="5"/>
        <v>1.0574613977679319</v>
      </c>
      <c r="G17" s="8">
        <f t="shared" si="4"/>
        <v>-3.2698254506464615</v>
      </c>
      <c r="I17" s="8">
        <f t="shared" ca="1" si="0"/>
        <v>-0.18770355457650112</v>
      </c>
      <c r="J17" s="6">
        <f t="shared" ca="1" si="1"/>
        <v>1.0644129709050341</v>
      </c>
      <c r="K17" s="8">
        <f t="shared" si="2"/>
        <v>-1.7895699945137262</v>
      </c>
      <c r="M17" s="24" t="s">
        <v>101</v>
      </c>
      <c r="N17" s="3">
        <v>1938</v>
      </c>
      <c r="O17" s="6">
        <f t="shared" si="3"/>
        <v>192.07196139776795</v>
      </c>
      <c r="P17" s="3">
        <v>1937</v>
      </c>
      <c r="Q17" s="6">
        <v>174.501</v>
      </c>
    </row>
    <row r="18" spans="4:17" ht="11.25" customHeight="1" x14ac:dyDescent="0.2">
      <c r="D18" s="14">
        <v>1835</v>
      </c>
      <c r="E18" s="2">
        <v>35.200000000000003</v>
      </c>
      <c r="F18" s="6">
        <f t="shared" si="5"/>
        <v>1.0926613977679318</v>
      </c>
      <c r="G18" s="8">
        <f t="shared" si="4"/>
        <v>-3.2358140568697258</v>
      </c>
      <c r="I18" s="8">
        <f t="shared" ca="1" si="0"/>
        <v>-0.249180555995963</v>
      </c>
      <c r="J18" s="6">
        <f t="shared" ca="1" si="1"/>
        <v>1.1021946230617794</v>
      </c>
      <c r="K18" s="8">
        <f t="shared" si="2"/>
        <v>-1.7745607208786833</v>
      </c>
      <c r="M18" s="24" t="s">
        <v>102</v>
      </c>
      <c r="N18" s="3">
        <v>1948</v>
      </c>
      <c r="O18" s="6">
        <f t="shared" si="3"/>
        <v>191.85996139776793</v>
      </c>
      <c r="P18" s="3">
        <v>1947</v>
      </c>
      <c r="Q18" s="6">
        <v>172.2</v>
      </c>
    </row>
    <row r="19" spans="4:17" ht="11.25" customHeight="1" x14ac:dyDescent="0.2">
      <c r="D19" s="14">
        <v>1836</v>
      </c>
      <c r="E19" s="2">
        <v>36.4</v>
      </c>
      <c r="F19" s="6">
        <f t="shared" si="5"/>
        <v>1.1290613977679318</v>
      </c>
      <c r="G19" s="8">
        <f t="shared" si="4"/>
        <v>-3.2017327556481505</v>
      </c>
      <c r="I19" s="8">
        <f t="shared" ca="1" si="0"/>
        <v>-0.30872850548689712</v>
      </c>
      <c r="J19" s="6">
        <f t="shared" ca="1" si="1"/>
        <v>1.1412623142532261</v>
      </c>
      <c r="K19" s="8">
        <f t="shared" si="2"/>
        <v>-1.7594490725871914</v>
      </c>
      <c r="M19" s="24" t="s">
        <v>104</v>
      </c>
      <c r="N19" s="3">
        <v>1952</v>
      </c>
      <c r="O19" s="6">
        <f t="shared" si="3"/>
        <v>191.93596139776793</v>
      </c>
      <c r="P19" s="3">
        <v>1951</v>
      </c>
      <c r="Q19" s="6">
        <v>171.4</v>
      </c>
    </row>
    <row r="20" spans="4:17" ht="11.25" customHeight="1" x14ac:dyDescent="0.2">
      <c r="D20" s="14">
        <v>1837</v>
      </c>
      <c r="E20" s="2">
        <v>37.799999999999997</v>
      </c>
      <c r="F20" s="6">
        <f t="shared" si="5"/>
        <v>1.1668613977679319</v>
      </c>
      <c r="G20" s="8">
        <f t="shared" si="4"/>
        <v>-3.1674385939447802</v>
      </c>
      <c r="I20" s="8">
        <f t="shared" ca="1" si="0"/>
        <v>-0.36240270399434849</v>
      </c>
      <c r="J20" s="6">
        <f t="shared" ca="1" si="1"/>
        <v>1.1816558577346095</v>
      </c>
      <c r="K20" s="8">
        <f t="shared" si="2"/>
        <v>-1.7441701908628044</v>
      </c>
      <c r="M20" s="24" t="s">
        <v>105</v>
      </c>
      <c r="N20" s="3">
        <v>1954</v>
      </c>
      <c r="O20" s="6">
        <f t="shared" si="3"/>
        <v>192.13196139776792</v>
      </c>
      <c r="P20" s="3">
        <v>1953</v>
      </c>
      <c r="Q20" s="6">
        <v>171.14099999999999</v>
      </c>
    </row>
    <row r="21" spans="4:17" ht="11.25" customHeight="1" x14ac:dyDescent="0.2">
      <c r="D21" s="14">
        <v>1838</v>
      </c>
      <c r="E21" s="2">
        <v>39.299999999999997</v>
      </c>
      <c r="F21" s="6">
        <f t="shared" si="5"/>
        <v>1.2061613977679317</v>
      </c>
      <c r="G21" s="8">
        <f t="shared" si="4"/>
        <v>-3.1328939338151134</v>
      </c>
      <c r="I21" s="8">
        <f t="shared" ca="1" si="0"/>
        <v>-0.40916455613523794</v>
      </c>
      <c r="J21" s="6">
        <f t="shared" ca="1" si="1"/>
        <v>1.2234160144545942</v>
      </c>
      <c r="K21" s="8">
        <f t="shared" si="2"/>
        <v>-1.7287052354063033</v>
      </c>
      <c r="M21" s="24" t="s">
        <v>106</v>
      </c>
      <c r="N21" s="3">
        <v>1956</v>
      </c>
      <c r="O21" s="6">
        <f t="shared" si="3"/>
        <v>191.90396139776794</v>
      </c>
      <c r="P21" s="3">
        <v>1954</v>
      </c>
      <c r="Q21" s="6">
        <v>170.68600000000001</v>
      </c>
    </row>
    <row r="22" spans="4:17" ht="11.25" customHeight="1" x14ac:dyDescent="0.2">
      <c r="D22" s="14">
        <v>1839</v>
      </c>
      <c r="E22" s="2">
        <v>40.799999999999997</v>
      </c>
      <c r="F22" s="6">
        <f t="shared" si="5"/>
        <v>1.2469613977679317</v>
      </c>
      <c r="G22" s="8">
        <f t="shared" si="4"/>
        <v>-3.0981515150698118</v>
      </c>
      <c r="I22" s="8">
        <f t="shared" ca="1" si="0"/>
        <v>-0.45046938378163759</v>
      </c>
      <c r="J22" s="6">
        <f t="shared" ca="1" si="1"/>
        <v>1.2665844944734803</v>
      </c>
      <c r="K22" s="8">
        <f t="shared" si="2"/>
        <v>-1.7130757644401</v>
      </c>
      <c r="M22" s="24" t="s">
        <v>107</v>
      </c>
      <c r="N22" s="3">
        <v>1960</v>
      </c>
      <c r="O22" s="6">
        <f t="shared" si="3"/>
        <v>191.90396139776794</v>
      </c>
      <c r="P22" s="3">
        <v>1957</v>
      </c>
      <c r="Q22" s="6">
        <v>170.00800000000001</v>
      </c>
    </row>
    <row r="23" spans="4:17" ht="11.25" customHeight="1" x14ac:dyDescent="0.2">
      <c r="D23" s="14">
        <v>1840</v>
      </c>
      <c r="E23" s="2">
        <v>42.6</v>
      </c>
      <c r="F23" s="6">
        <f t="shared" si="5"/>
        <v>1.2895613977679317</v>
      </c>
      <c r="G23" s="8">
        <f t="shared" si="4"/>
        <v>-3.0630160110100015</v>
      </c>
      <c r="I23" s="8">
        <f t="shared" ca="1" si="0"/>
        <v>-0.48092726965023758</v>
      </c>
      <c r="J23" s="6">
        <f t="shared" ca="1" si="1"/>
        <v>1.3112039564933533</v>
      </c>
      <c r="K23" s="8">
        <f t="shared" si="2"/>
        <v>-1.6971913477693212</v>
      </c>
      <c r="M23" s="24" t="s">
        <v>108</v>
      </c>
      <c r="N23" s="3">
        <v>1962</v>
      </c>
      <c r="O23" s="6">
        <f t="shared" si="3"/>
        <v>191.89996139776792</v>
      </c>
      <c r="P23" s="3">
        <v>1960</v>
      </c>
      <c r="Q23" s="6">
        <v>169.37899999999999</v>
      </c>
    </row>
    <row r="24" spans="4:17" ht="11.25" customHeight="1" x14ac:dyDescent="0.2">
      <c r="D24" s="14">
        <v>1841</v>
      </c>
      <c r="E24" s="2">
        <v>43.8</v>
      </c>
      <c r="F24" s="6">
        <f t="shared" si="5"/>
        <v>1.3333613977679317</v>
      </c>
      <c r="G24" s="8">
        <f t="shared" si="4"/>
        <v>-3.0280260410859041</v>
      </c>
      <c r="I24" s="8">
        <f t="shared" ca="1" si="0"/>
        <v>-0.51540107836945026</v>
      </c>
      <c r="J24" s="6">
        <f t="shared" ca="1" si="1"/>
        <v>1.3573180053419229</v>
      </c>
      <c r="K24" s="8">
        <f t="shared" si="2"/>
        <v>-1.6812940542790622</v>
      </c>
      <c r="M24" s="24" t="s">
        <v>109</v>
      </c>
      <c r="N24" s="3">
        <v>1968</v>
      </c>
      <c r="O24" s="6">
        <f t="shared" si="3"/>
        <v>39.361961397767942</v>
      </c>
      <c r="P24" s="3">
        <v>1967</v>
      </c>
      <c r="Q24" s="6">
        <v>15.5</v>
      </c>
    </row>
    <row r="25" spans="4:17" ht="11.25" customHeight="1" x14ac:dyDescent="0.2">
      <c r="D25" s="14">
        <v>1842</v>
      </c>
      <c r="E25" s="2">
        <v>44.2</v>
      </c>
      <c r="F25" s="6">
        <f t="shared" si="5"/>
        <v>1.3775613977679317</v>
      </c>
      <c r="G25" s="8">
        <f t="shared" si="4"/>
        <v>-2.9938082452804529</v>
      </c>
      <c r="I25" s="8">
        <f t="shared" ca="1" si="0"/>
        <v>-0.57118254575175342</v>
      </c>
      <c r="J25" s="6">
        <f t="shared" ca="1" si="1"/>
        <v>1.4049711872445831</v>
      </c>
      <c r="K25" s="8">
        <f t="shared" si="2"/>
        <v>-1.6656710798284766</v>
      </c>
      <c r="M25" s="24" t="s">
        <v>8</v>
      </c>
      <c r="N25" s="3">
        <v>1974</v>
      </c>
      <c r="O25" s="6">
        <f t="shared" si="3"/>
        <v>28.608961397767938</v>
      </c>
      <c r="P25" s="3">
        <v>1973</v>
      </c>
      <c r="Q25" s="6">
        <v>3.871</v>
      </c>
    </row>
    <row r="26" spans="4:17" ht="11.25" customHeight="1" x14ac:dyDescent="0.2">
      <c r="D26" s="14">
        <v>1843</v>
      </c>
      <c r="E26" s="2">
        <v>46</v>
      </c>
      <c r="F26" s="6">
        <f t="shared" si="5"/>
        <v>1.4235613977679318</v>
      </c>
      <c r="G26" s="8">
        <f t="shared" si="4"/>
        <v>-2.9592870865724996</v>
      </c>
      <c r="I26" s="8">
        <f t="shared" ca="1" si="0"/>
        <v>-0.61859290482902907</v>
      </c>
      <c r="J26" s="6">
        <f t="shared" ca="1" si="1"/>
        <v>1.4542089827120088</v>
      </c>
      <c r="K26" s="8">
        <f t="shared" si="2"/>
        <v>-1.6498323589822153</v>
      </c>
      <c r="M26" s="24" t="s">
        <v>9</v>
      </c>
      <c r="N26" s="3">
        <v>1980</v>
      </c>
      <c r="O26" s="6">
        <f t="shared" si="3"/>
        <v>70.595961397767937</v>
      </c>
      <c r="P26" s="3">
        <v>1980</v>
      </c>
      <c r="Q26" s="6">
        <v>45</v>
      </c>
    </row>
    <row r="27" spans="4:17" ht="11.25" customHeight="1" x14ac:dyDescent="0.2">
      <c r="D27" s="14">
        <v>1844</v>
      </c>
      <c r="E27" s="2">
        <v>47.6</v>
      </c>
      <c r="F27" s="6">
        <f t="shared" si="5"/>
        <v>1.4711613977679319</v>
      </c>
      <c r="G27" s="8">
        <f t="shared" si="4"/>
        <v>-2.9246612660252618</v>
      </c>
      <c r="I27" s="8">
        <f t="shared" ca="1" si="0"/>
        <v>-0.66311518634370259</v>
      </c>
      <c r="J27" s="6">
        <f t="shared" ca="1" si="1"/>
        <v>1.505077796863576</v>
      </c>
      <c r="K27" s="8">
        <f t="shared" si="2"/>
        <v>-1.6338671142619416</v>
      </c>
      <c r="M27" s="24" t="s">
        <v>10</v>
      </c>
      <c r="N27" s="3">
        <v>1986</v>
      </c>
      <c r="O27" s="6">
        <f t="shared" si="3"/>
        <v>30.618571397767937</v>
      </c>
      <c r="P27" s="3">
        <v>1984</v>
      </c>
      <c r="Q27" s="6">
        <v>4.5999999999999996</v>
      </c>
    </row>
    <row r="28" spans="4:17" ht="11.25" customHeight="1" x14ac:dyDescent="0.2">
      <c r="D28" s="14">
        <v>1845</v>
      </c>
      <c r="E28" s="2">
        <v>51.1</v>
      </c>
      <c r="F28" s="6">
        <f t="shared" si="5"/>
        <v>1.5222613977679318</v>
      </c>
      <c r="G28" s="8">
        <f t="shared" si="4"/>
        <v>-2.8886500441178211</v>
      </c>
      <c r="I28" s="8">
        <f t="shared" ca="1" si="0"/>
        <v>-0.66940818953617054</v>
      </c>
      <c r="J28" s="6">
        <f t="shared" ca="1" si="1"/>
        <v>1.5576249469999415</v>
      </c>
      <c r="K28" s="8">
        <f t="shared" si="2"/>
        <v>-1.6171790753636117</v>
      </c>
      <c r="M28" s="24" t="s">
        <v>11</v>
      </c>
      <c r="N28" s="3">
        <v>1989</v>
      </c>
      <c r="O28" s="6">
        <f t="shared" si="3"/>
        <v>30.125311397767938</v>
      </c>
      <c r="P28" s="3">
        <v>1987</v>
      </c>
      <c r="Q28" s="6">
        <v>3.8</v>
      </c>
    </row>
    <row r="29" spans="4:17" ht="11.25" customHeight="1" x14ac:dyDescent="0.2">
      <c r="D29" s="14">
        <v>1846</v>
      </c>
      <c r="E29" s="2">
        <v>53.1</v>
      </c>
      <c r="F29" s="6">
        <f t="shared" si="5"/>
        <v>1.5753613977679317</v>
      </c>
      <c r="G29" s="8">
        <f t="shared" si="4"/>
        <v>-2.8524191978039162</v>
      </c>
      <c r="I29" s="8">
        <f t="shared" ca="1" si="0"/>
        <v>-0.66964079550211864</v>
      </c>
      <c r="J29" s="6">
        <f t="shared" ca="1" si="1"/>
        <v>1.6118986472314798</v>
      </c>
      <c r="K29" s="8">
        <f t="shared" si="2"/>
        <v>-1.6003021823308152</v>
      </c>
      <c r="M29" s="24" t="s">
        <v>12</v>
      </c>
      <c r="N29" s="3">
        <v>1992</v>
      </c>
      <c r="O29" s="6">
        <f t="shared" si="3"/>
        <v>30.421961397767937</v>
      </c>
      <c r="P29" s="3">
        <v>1990</v>
      </c>
      <c r="Q29" s="6">
        <v>3.8</v>
      </c>
    </row>
    <row r="30" spans="4:17" ht="11.25" customHeight="1" x14ac:dyDescent="0.2">
      <c r="D30" s="14">
        <v>1847</v>
      </c>
      <c r="E30" s="2">
        <v>54</v>
      </c>
      <c r="F30" s="6">
        <f t="shared" si="5"/>
        <v>1.6293613977679318</v>
      </c>
      <c r="G30" s="8">
        <f t="shared" si="4"/>
        <v>-2.8167357983609538</v>
      </c>
      <c r="I30" s="8">
        <f t="shared" ca="1" si="0"/>
        <v>-0.6849798532132354</v>
      </c>
      <c r="J30" s="6">
        <f t="shared" ca="1" si="1"/>
        <v>1.6679479899628955</v>
      </c>
      <c r="K30" s="8">
        <f t="shared" si="2"/>
        <v>-1.5835943111935074</v>
      </c>
      <c r="M30" s="24" t="s">
        <v>13</v>
      </c>
      <c r="N30" s="3">
        <v>1995</v>
      </c>
      <c r="O30" s="6">
        <f t="shared" si="3"/>
        <v>29.368851397767937</v>
      </c>
      <c r="P30" s="3">
        <v>1993</v>
      </c>
      <c r="Q30" s="6">
        <v>2.5</v>
      </c>
    </row>
    <row r="31" spans="4:17" ht="11.25" customHeight="1" x14ac:dyDescent="0.2">
      <c r="D31" s="14">
        <v>1848</v>
      </c>
      <c r="E31" s="2">
        <v>56.6</v>
      </c>
      <c r="F31" s="6">
        <f t="shared" si="5"/>
        <v>1.6859613977679317</v>
      </c>
      <c r="G31" s="8">
        <f t="shared" si="4"/>
        <v>-2.7805084983315442</v>
      </c>
      <c r="I31" s="8">
        <f t="shared" ca="1" si="0"/>
        <v>-0.68531031666725539</v>
      </c>
      <c r="J31" s="6">
        <f t="shared" ca="1" si="1"/>
        <v>1.7258229240283705</v>
      </c>
      <c r="K31" s="8">
        <f t="shared" si="2"/>
        <v>-1.5665438630870736</v>
      </c>
      <c r="M31" s="24" t="s">
        <v>14</v>
      </c>
      <c r="N31" s="3">
        <v>1998</v>
      </c>
      <c r="O31" s="6">
        <f t="shared" si="3"/>
        <v>28.521061397767937</v>
      </c>
      <c r="P31" s="3">
        <v>1996</v>
      </c>
      <c r="Q31" s="6">
        <v>1.5</v>
      </c>
    </row>
    <row r="32" spans="4:17" ht="11.25" customHeight="1" x14ac:dyDescent="0.2">
      <c r="D32" s="14">
        <v>1849</v>
      </c>
      <c r="E32" s="2">
        <v>59.3</v>
      </c>
      <c r="F32" s="6">
        <f t="shared" si="5"/>
        <v>1.7452613977679317</v>
      </c>
      <c r="G32" s="8">
        <f t="shared" si="4"/>
        <v>-2.7437567782217576</v>
      </c>
      <c r="I32" s="8">
        <f t="shared" ca="1" si="0"/>
        <v>-0.67116973816428072</v>
      </c>
      <c r="J32" s="6">
        <f t="shared" ca="1" si="1"/>
        <v>1.7855742292660823</v>
      </c>
      <c r="K32" s="8">
        <f t="shared" si="2"/>
        <v>-1.5491554644229222</v>
      </c>
      <c r="M32" s="24" t="s">
        <v>15</v>
      </c>
      <c r="N32" s="3">
        <v>2001</v>
      </c>
      <c r="O32" s="6">
        <f t="shared" si="3"/>
        <v>28.647816397767937</v>
      </c>
      <c r="P32" s="3">
        <v>1999</v>
      </c>
      <c r="Q32" s="6">
        <v>1.5</v>
      </c>
    </row>
    <row r="33" spans="4:17" ht="11.25" customHeight="1" x14ac:dyDescent="0.2">
      <c r="D33" s="14">
        <v>1850</v>
      </c>
      <c r="E33" s="2">
        <v>62.5</v>
      </c>
      <c r="F33" s="6">
        <f t="shared" si="5"/>
        <v>1.8077613977679317</v>
      </c>
      <c r="G33" s="8">
        <f t="shared" si="4"/>
        <v>-2.7062655058132021</v>
      </c>
      <c r="I33" s="8">
        <f t="shared" ca="1" si="0"/>
        <v>-0.63662167957977545</v>
      </c>
      <c r="J33" s="6">
        <f t="shared" ca="1" si="1"/>
        <v>1.847253487316048</v>
      </c>
      <c r="K33" s="8">
        <f t="shared" si="2"/>
        <v>-1.5313219392254129</v>
      </c>
      <c r="M33" s="24" t="s">
        <v>16</v>
      </c>
      <c r="N33" s="3">
        <v>2004</v>
      </c>
      <c r="O33" s="6">
        <f t="shared" si="3"/>
        <v>27.4609335914346</v>
      </c>
      <c r="P33" s="3">
        <v>2002</v>
      </c>
      <c r="Q33" s="26">
        <v>0.22</v>
      </c>
    </row>
    <row r="34" spans="4:17" ht="11.25" customHeight="1" x14ac:dyDescent="0.2">
      <c r="D34" s="14">
        <v>1851</v>
      </c>
      <c r="E34" s="2">
        <v>65.2</v>
      </c>
      <c r="F34" s="6">
        <f t="shared" si="5"/>
        <v>1.8729613977679316</v>
      </c>
      <c r="G34" s="8">
        <f t="shared" si="4"/>
        <v>-2.6684223275723027</v>
      </c>
      <c r="I34" s="8">
        <f t="shared" ca="1" si="0"/>
        <v>-0.5923630011025125</v>
      </c>
      <c r="J34" s="6">
        <f t="shared" ca="1" si="1"/>
        <v>1.9109130484209544</v>
      </c>
      <c r="K34" s="8">
        <f t="shared" si="2"/>
        <v>-1.5132228390045266</v>
      </c>
      <c r="M34" s="24" t="s">
        <v>17</v>
      </c>
      <c r="N34" s="3">
        <v>2007</v>
      </c>
      <c r="O34" s="6">
        <f t="shared" si="3"/>
        <v>27.4698066704346</v>
      </c>
      <c r="P34" s="3">
        <v>2005</v>
      </c>
      <c r="Q34" s="26">
        <v>0.155</v>
      </c>
    </row>
    <row r="35" spans="4:17" ht="11.25" customHeight="1" x14ac:dyDescent="0.2">
      <c r="D35" s="14">
        <v>1852</v>
      </c>
      <c r="E35" s="2">
        <v>68.3</v>
      </c>
      <c r="F35" s="6">
        <f t="shared" si="5"/>
        <v>1.9412613977679316</v>
      </c>
      <c r="G35" s="8">
        <f t="shared" si="4"/>
        <v>-2.6300726091175051</v>
      </c>
      <c r="I35" s="8">
        <f t="shared" ca="1" si="0"/>
        <v>-0.53412666432723199</v>
      </c>
      <c r="J35" s="6">
        <f t="shared" ca="1" si="1"/>
        <v>1.9766059940062106</v>
      </c>
      <c r="K35" s="8">
        <f t="shared" si="2"/>
        <v>-1.4947801823779538</v>
      </c>
      <c r="M35" s="341" t="s">
        <v>297</v>
      </c>
      <c r="N35" s="3">
        <v>2010</v>
      </c>
      <c r="O35" s="6">
        <f t="shared" si="3"/>
        <v>27.596384402006031</v>
      </c>
      <c r="P35" s="3">
        <v>2008</v>
      </c>
      <c r="Q35" s="26">
        <v>0.22800000000000001</v>
      </c>
    </row>
    <row r="36" spans="4:17" ht="11.25" customHeight="1" x14ac:dyDescent="0.2">
      <c r="D36" s="14">
        <v>1853</v>
      </c>
      <c r="E36" s="2">
        <v>71.2</v>
      </c>
      <c r="F36" s="6">
        <f t="shared" si="5"/>
        <v>2.0124613977679315</v>
      </c>
      <c r="G36" s="8">
        <f t="shared" si="4"/>
        <v>-2.5914050839556841</v>
      </c>
      <c r="I36" s="8">
        <f t="shared" ca="1" si="0"/>
        <v>-0.46712065155452365</v>
      </c>
      <c r="J36" s="6">
        <f t="shared" ca="1" si="1"/>
        <v>2.0443860948129058</v>
      </c>
      <c r="K36" s="8">
        <f t="shared" si="2"/>
        <v>-1.4760807863464329</v>
      </c>
    </row>
    <row r="37" spans="4:17" ht="11.25" customHeight="1" x14ac:dyDescent="0.2">
      <c r="D37" s="14">
        <v>1854</v>
      </c>
      <c r="E37" s="2">
        <v>75.099999999999994</v>
      </c>
      <c r="F37" s="6">
        <f t="shared" si="5"/>
        <v>2.0875613977679315</v>
      </c>
      <c r="G37" s="8">
        <f t="shared" si="4"/>
        <v>-2.5519674999260022</v>
      </c>
      <c r="I37" s="8">
        <f t="shared" ca="1" si="0"/>
        <v>-0.37886534913218384</v>
      </c>
      <c r="J37" s="6">
        <f t="shared" ca="1" si="1"/>
        <v>2.1143077643558255</v>
      </c>
      <c r="K37" s="8">
        <f t="shared" si="2"/>
        <v>-1.4569008508492831</v>
      </c>
    </row>
    <row r="38" spans="4:17" ht="11.25" customHeight="1" x14ac:dyDescent="0.2">
      <c r="D38" s="14">
        <v>1855</v>
      </c>
      <c r="E38" s="2">
        <v>76.400000000000006</v>
      </c>
      <c r="F38" s="6">
        <f t="shared" si="5"/>
        <v>2.1639613977679315</v>
      </c>
      <c r="G38" s="8">
        <f t="shared" si="4"/>
        <v>-2.5131674976061782</v>
      </c>
      <c r="I38" s="8">
        <f t="shared" ca="1" si="0"/>
        <v>-0.30820371258846535</v>
      </c>
      <c r="J38" s="6">
        <f t="shared" ca="1" si="1"/>
        <v>2.1864260074783699</v>
      </c>
      <c r="K38" s="8">
        <f t="shared" si="2"/>
        <v>-1.4379237773607885</v>
      </c>
    </row>
    <row r="39" spans="4:17" ht="11.25" customHeight="1" x14ac:dyDescent="0.2">
      <c r="D39" s="14">
        <v>1856</v>
      </c>
      <c r="E39" s="2">
        <v>79</v>
      </c>
      <c r="F39" s="6">
        <f t="shared" si="5"/>
        <v>2.2429613977679317</v>
      </c>
      <c r="G39" s="8">
        <f t="shared" si="4"/>
        <v>-2.4743491060186291</v>
      </c>
      <c r="I39" s="8">
        <f t="shared" ca="1" si="0"/>
        <v>-0.23703463577930961</v>
      </c>
      <c r="J39" s="6">
        <f t="shared" ca="1" si="1"/>
        <v>2.2607963637771911</v>
      </c>
      <c r="K39" s="8">
        <f t="shared" si="2"/>
        <v>-1.4188306789924268</v>
      </c>
    </row>
    <row r="40" spans="4:17" ht="11.25" customHeight="1" x14ac:dyDescent="0.2">
      <c r="D40" s="14">
        <v>1857</v>
      </c>
      <c r="E40" s="2">
        <v>81.900000000000006</v>
      </c>
      <c r="F40" s="6">
        <f t="shared" si="5"/>
        <v>2.3248613977679318</v>
      </c>
      <c r="G40" s="8">
        <f t="shared" si="4"/>
        <v>-2.435405842524049</v>
      </c>
      <c r="I40" s="8">
        <f t="shared" ca="1" si="0"/>
        <v>-0.16241979731171341</v>
      </c>
      <c r="J40" s="6">
        <f t="shared" ca="1" si="1"/>
        <v>2.3374748456718017</v>
      </c>
      <c r="K40" s="8">
        <f t="shared" si="2"/>
        <v>-1.3995680043911984</v>
      </c>
    </row>
    <row r="41" spans="4:17" ht="11.25" customHeight="1" x14ac:dyDescent="0.2">
      <c r="D41" s="14">
        <v>1858</v>
      </c>
      <c r="E41" s="2">
        <v>80.3</v>
      </c>
      <c r="F41" s="6">
        <f t="shared" si="5"/>
        <v>2.4051613977679316</v>
      </c>
      <c r="G41" s="8">
        <f t="shared" si="4"/>
        <v>-2.3984203010415519</v>
      </c>
      <c r="I41" s="8">
        <f t="shared" ca="1" si="0"/>
        <v>-0.14182706523683919</v>
      </c>
      <c r="J41" s="6">
        <f t="shared" ca="1" si="1"/>
        <v>2.4165178708985047</v>
      </c>
      <c r="K41" s="8">
        <f t="shared" si="2"/>
        <v>-1.3811728814477442</v>
      </c>
    </row>
    <row r="42" spans="4:17" ht="11.25" customHeight="1" x14ac:dyDescent="0.2">
      <c r="D42" s="14">
        <v>1859</v>
      </c>
      <c r="E42" s="2">
        <v>82.8</v>
      </c>
      <c r="F42" s="6">
        <f t="shared" si="5"/>
        <v>2.4879613977679318</v>
      </c>
      <c r="G42" s="8">
        <f t="shared" si="4"/>
        <v>-2.3614407594409119</v>
      </c>
      <c r="I42" s="8">
        <f t="shared" ca="1" si="0"/>
        <v>-0.12139989612433055</v>
      </c>
      <c r="J42" s="6">
        <f t="shared" ca="1" si="1"/>
        <v>2.4979821892138481</v>
      </c>
      <c r="K42" s="8">
        <f t="shared" si="2"/>
        <v>-1.362682103123428</v>
      </c>
    </row>
    <row r="43" spans="4:17" ht="11.25" customHeight="1" x14ac:dyDescent="0.2">
      <c r="D43" s="14">
        <v>1860</v>
      </c>
      <c r="E43" s="2">
        <v>87.9</v>
      </c>
      <c r="F43" s="6">
        <f t="shared" si="5"/>
        <v>2.5758613977679317</v>
      </c>
      <c r="G43" s="8">
        <f t="shared" si="4"/>
        <v>-2.3233837808289581</v>
      </c>
      <c r="I43" s="8">
        <f t="shared" ca="1" si="0"/>
        <v>-7.1241531010855397E-2</v>
      </c>
      <c r="J43" s="6">
        <f t="shared" ca="1" si="1"/>
        <v>2.5819248031006357</v>
      </c>
      <c r="K43" s="8">
        <f t="shared" si="2"/>
        <v>-1.3435491488570548</v>
      </c>
    </row>
    <row r="44" spans="4:17" ht="11.25" customHeight="1" x14ac:dyDescent="0.2">
      <c r="D44" s="14">
        <v>1861</v>
      </c>
      <c r="E44" s="2">
        <v>89.2</v>
      </c>
      <c r="F44" s="6">
        <f t="shared" si="5"/>
        <v>2.6650613977679316</v>
      </c>
      <c r="G44" s="8">
        <f t="shared" ref="G44:G107" si="6" xml:space="preserve"> -LN(F$1/F44-1)</f>
        <v>-2.2859432829450368</v>
      </c>
      <c r="I44" s="8">
        <f t="shared" ref="I44:I75" ca="1" si="7" xml:space="preserve"> G44*(F$2-E$2)/LN(81) + AVERAGE(E$2:F$2) - D44</f>
        <v>-3.8094563467439002E-2</v>
      </c>
      <c r="J44" s="6">
        <f t="shared" ca="1" si="1"/>
        <v>2.6684028822794468</v>
      </c>
      <c r="K44" s="8">
        <f t="shared" ref="K44:K75" si="8">NORMSINV(F44/F$5)</f>
        <v>-1.3246233392492248</v>
      </c>
    </row>
    <row r="45" spans="4:17" ht="11.25" customHeight="1" x14ac:dyDescent="0.2">
      <c r="D45" s="14">
        <v>1862</v>
      </c>
      <c r="E45" s="2">
        <v>91.1</v>
      </c>
      <c r="F45" s="6">
        <f t="shared" si="5"/>
        <v>2.7561613977679316</v>
      </c>
      <c r="G45" s="8">
        <f t="shared" si="6"/>
        <v>-2.2488497403691734</v>
      </c>
      <c r="I45" s="8">
        <f t="shared" ca="1" si="7"/>
        <v>-1.4521609215535136E-2</v>
      </c>
      <c r="J45" s="6">
        <f t="shared" ca="1" si="1"/>
        <v>2.7574736718409141</v>
      </c>
      <c r="K45" s="8">
        <f t="shared" si="8"/>
        <v>-1.3057720071132213</v>
      </c>
    </row>
    <row r="46" spans="4:17" ht="11.25" customHeight="1" x14ac:dyDescent="0.2">
      <c r="D46" s="14">
        <v>1863</v>
      </c>
      <c r="E46" s="2">
        <v>95.7</v>
      </c>
      <c r="F46" s="6">
        <f t="shared" si="5"/>
        <v>2.8518613977679315</v>
      </c>
      <c r="G46" s="8">
        <f t="shared" si="6"/>
        <v>-2.2110461170152158</v>
      </c>
      <c r="I46" s="8">
        <f t="shared" ca="1" si="7"/>
        <v>2.8645577059251082E-2</v>
      </c>
      <c r="J46" s="6">
        <f t="shared" ca="1" si="1"/>
        <v>2.8491943938286513</v>
      </c>
      <c r="K46" s="8">
        <f t="shared" si="8"/>
        <v>-1.2864561245620496</v>
      </c>
    </row>
    <row r="47" spans="4:17" ht="11.25" customHeight="1" x14ac:dyDescent="0.2">
      <c r="D47" s="14">
        <v>1864</v>
      </c>
      <c r="E47" s="2">
        <v>99.1</v>
      </c>
      <c r="F47" s="6">
        <f t="shared" si="5"/>
        <v>2.9509613977679314</v>
      </c>
      <c r="G47" s="8">
        <f t="shared" si="6"/>
        <v>-2.1730717085088567</v>
      </c>
      <c r="I47" s="8">
        <f t="shared" ca="1" si="7"/>
        <v>7.6525472092725977E-2</v>
      </c>
      <c r="J47" s="6">
        <f t="shared" ca="1" si="1"/>
        <v>2.9436221421201418</v>
      </c>
      <c r="K47" s="8">
        <f t="shared" si="8"/>
        <v>-1.2669472942064279</v>
      </c>
    </row>
    <row r="48" spans="4:17" ht="11.25" customHeight="1" x14ac:dyDescent="0.2">
      <c r="D48" s="14">
        <v>1865</v>
      </c>
      <c r="E48" s="2">
        <v>102</v>
      </c>
      <c r="F48" s="6">
        <f t="shared" si="5"/>
        <v>3.0529613977679313</v>
      </c>
      <c r="G48" s="8">
        <f t="shared" si="6"/>
        <v>-2.1351484473586559</v>
      </c>
      <c r="I48" s="8">
        <f t="shared" ca="1" si="7"/>
        <v>0.12299398803406802</v>
      </c>
      <c r="J48" s="6">
        <f t="shared" ca="1" si="1"/>
        <v>3.0408137704730098</v>
      </c>
      <c r="K48" s="8">
        <f t="shared" si="8"/>
        <v>-1.2473587577223662</v>
      </c>
    </row>
    <row r="49" spans="4:12" ht="11.25" customHeight="1" x14ac:dyDescent="0.2">
      <c r="D49" s="14">
        <v>1866</v>
      </c>
      <c r="E49" s="2">
        <v>105</v>
      </c>
      <c r="F49" s="6">
        <f t="shared" si="5"/>
        <v>3.1579613977679313</v>
      </c>
      <c r="G49" s="8">
        <f t="shared" si="6"/>
        <v>-2.0972593724303903</v>
      </c>
      <c r="I49" s="8">
        <f t="shared" ca="1" si="7"/>
        <v>0.16851915670395101</v>
      </c>
      <c r="J49" s="6">
        <f t="shared" ca="1" si="1"/>
        <v>3.1408257736272365</v>
      </c>
      <c r="K49" s="8">
        <f t="shared" si="8"/>
        <v>-1.2276818811139831</v>
      </c>
    </row>
    <row r="50" spans="4:12" ht="11.25" customHeight="1" x14ac:dyDescent="0.2">
      <c r="D50" s="14">
        <v>1867</v>
      </c>
      <c r="E50" s="2">
        <v>106</v>
      </c>
      <c r="F50" s="6">
        <f t="shared" si="5"/>
        <v>3.2639613977679311</v>
      </c>
      <c r="G50" s="8">
        <f t="shared" si="6"/>
        <v>-2.060114289008518</v>
      </c>
      <c r="I50" s="8">
        <f t="shared" ca="1" si="7"/>
        <v>0.19351434815234825</v>
      </c>
      <c r="J50" s="6">
        <f t="shared" ca="1" si="1"/>
        <v>3.2437141613801379</v>
      </c>
      <c r="K50" s="8">
        <f t="shared" si="8"/>
        <v>-1.2082883509863434</v>
      </c>
    </row>
    <row r="51" spans="4:12" ht="11.25" customHeight="1" x14ac:dyDescent="0.2">
      <c r="D51" s="14">
        <v>1868</v>
      </c>
      <c r="E51" s="2">
        <v>108</v>
      </c>
      <c r="F51" s="6">
        <f t="shared" si="5"/>
        <v>3.3719613977679312</v>
      </c>
      <c r="G51" s="8">
        <f t="shared" si="6"/>
        <v>-2.0233355965636752</v>
      </c>
      <c r="I51" s="8">
        <f t="shared" ca="1" si="7"/>
        <v>0.20839921126002992</v>
      </c>
      <c r="J51" s="6">
        <f t="shared" ca="1" si="1"/>
        <v>3.3495343255803363</v>
      </c>
      <c r="K51" s="8">
        <f t="shared" si="8"/>
        <v>-1.1889854808213078</v>
      </c>
    </row>
    <row r="52" spans="4:12" ht="11.25" customHeight="1" x14ac:dyDescent="0.2">
      <c r="D52" s="14">
        <v>1869</v>
      </c>
      <c r="E52" s="2">
        <v>111</v>
      </c>
      <c r="F52" s="6">
        <f t="shared" si="5"/>
        <v>3.4829613977679315</v>
      </c>
      <c r="G52" s="8">
        <f t="shared" si="6"/>
        <v>-1.9865855010114377</v>
      </c>
      <c r="I52" s="8">
        <f t="shared" ca="1" si="7"/>
        <v>0.22249496112021916</v>
      </c>
      <c r="J52" s="6">
        <f t="shared" ca="1" si="1"/>
        <v>3.4583409000198664</v>
      </c>
      <c r="K52" s="8">
        <f t="shared" si="8"/>
        <v>-1.1695975175271365</v>
      </c>
    </row>
    <row r="53" spans="4:12" ht="11.25" customHeight="1" x14ac:dyDescent="0.2">
      <c r="D53" s="14">
        <v>1870</v>
      </c>
      <c r="E53" s="2">
        <v>115</v>
      </c>
      <c r="F53" s="6">
        <f t="shared" si="5"/>
        <v>3.5979613977679317</v>
      </c>
      <c r="G53" s="8">
        <f t="shared" si="6"/>
        <v>-1.9495618859916515</v>
      </c>
      <c r="I53" s="8">
        <f t="shared" ca="1" si="7"/>
        <v>0.24413830848652651</v>
      </c>
      <c r="J53" s="6">
        <f t="shared" ca="1" si="1"/>
        <v>3.5701876132398289</v>
      </c>
      <c r="K53" s="8">
        <f t="shared" si="8"/>
        <v>-1.1499640343721451</v>
      </c>
    </row>
    <row r="54" spans="4:12" ht="11.25" customHeight="1" x14ac:dyDescent="0.2">
      <c r="D54" s="14">
        <v>1871</v>
      </c>
      <c r="E54" s="2">
        <v>121</v>
      </c>
      <c r="F54" s="6">
        <f t="shared" si="5"/>
        <v>3.7189613977679317</v>
      </c>
      <c r="G54" s="8">
        <f t="shared" si="6"/>
        <v>-1.9116865683026116</v>
      </c>
      <c r="I54" s="8">
        <f t="shared" ca="1" si="7"/>
        <v>0.28928385480116958</v>
      </c>
      <c r="J54" s="6">
        <f t="shared" ca="1" si="1"/>
        <v>3.685127134304834</v>
      </c>
      <c r="K54" s="8">
        <f t="shared" si="8"/>
        <v>-1.1297737776720906</v>
      </c>
    </row>
    <row r="55" spans="4:12" ht="11.25" customHeight="1" x14ac:dyDescent="0.2">
      <c r="D55" s="14">
        <v>1872</v>
      </c>
      <c r="E55" s="2">
        <v>125</v>
      </c>
      <c r="F55" s="6">
        <f t="shared" si="5"/>
        <v>3.8439613977679317</v>
      </c>
      <c r="G55" s="8">
        <f t="shared" si="6"/>
        <v>-1.8736463472423965</v>
      </c>
      <c r="I55" s="8">
        <f t="shared" ca="1" si="7"/>
        <v>0.33897980582446507</v>
      </c>
      <c r="J55" s="6">
        <f t="shared" ca="1" si="1"/>
        <v>3.803210911644928</v>
      </c>
      <c r="K55" s="8">
        <f t="shared" si="8"/>
        <v>-1.1093886717737924</v>
      </c>
    </row>
    <row r="56" spans="4:12" ht="11.25" customHeight="1" x14ac:dyDescent="0.2">
      <c r="D56" s="14">
        <v>1873</v>
      </c>
      <c r="E56" s="2">
        <v>130</v>
      </c>
      <c r="F56" s="6">
        <f t="shared" si="5"/>
        <v>3.9739613977679316</v>
      </c>
      <c r="G56" s="8">
        <f t="shared" si="6"/>
        <v>-1.8351794536741861</v>
      </c>
      <c r="I56" s="8">
        <f t="shared" ca="1" si="7"/>
        <v>0.40044951608388146</v>
      </c>
      <c r="J56" s="6">
        <f t="shared" ca="1" si="1"/>
        <v>3.9244890051106478</v>
      </c>
      <c r="K56" s="8">
        <f t="shared" si="8"/>
        <v>-1.0886660606243015</v>
      </c>
    </row>
    <row r="57" spans="4:12" ht="11.25" customHeight="1" x14ac:dyDescent="0.2">
      <c r="D57" s="14">
        <v>1874</v>
      </c>
      <c r="E57" s="2">
        <v>129</v>
      </c>
      <c r="F57" s="6">
        <f t="shared" si="5"/>
        <v>4.1029613977679311</v>
      </c>
      <c r="G57" s="8">
        <f t="shared" si="6"/>
        <v>-1.7980400805535897</v>
      </c>
      <c r="I57" s="8">
        <f t="shared" ca="1" si="7"/>
        <v>0.42528713536376017</v>
      </c>
      <c r="J57" s="6">
        <f t="shared" ca="1" si="1"/>
        <v>4.0490099114374623</v>
      </c>
      <c r="K57" s="8">
        <f t="shared" si="8"/>
        <v>-1.0685549170714144</v>
      </c>
    </row>
    <row r="58" spans="4:12" ht="11.25" customHeight="1" x14ac:dyDescent="0.2">
      <c r="D58" s="14">
        <v>1875</v>
      </c>
      <c r="E58" s="2">
        <v>135</v>
      </c>
      <c r="F58" s="6">
        <f t="shared" si="5"/>
        <v>4.2379613977679309</v>
      </c>
      <c r="G58" s="8">
        <f t="shared" si="6"/>
        <v>-1.7602023217405862</v>
      </c>
      <c r="I58" s="8">
        <f t="shared" ca="1" si="7"/>
        <v>0.46939626814037183</v>
      </c>
      <c r="J58" s="6">
        <f t="shared" ca="1" si="1"/>
        <v>4.17682038336988</v>
      </c>
      <c r="K58" s="8">
        <f t="shared" si="8"/>
        <v>-1.0479610816591831</v>
      </c>
    </row>
    <row r="59" spans="4:12" ht="11.25" customHeight="1" x14ac:dyDescent="0.2">
      <c r="D59" s="14">
        <v>1876</v>
      </c>
      <c r="E59" s="2">
        <v>136</v>
      </c>
      <c r="F59" s="6">
        <f t="shared" si="5"/>
        <v>4.373961397767931</v>
      </c>
      <c r="G59" s="8">
        <f t="shared" si="6"/>
        <v>-1.7230803270672992</v>
      </c>
      <c r="I59" s="8">
        <f t="shared" ca="1" si="7"/>
        <v>0.49375434010767094</v>
      </c>
      <c r="J59" s="6">
        <f t="shared" ca="1" si="1"/>
        <v>4.3079652427529416</v>
      </c>
      <c r="K59" s="8">
        <f t="shared" si="8"/>
        <v>-1.0276545977164828</v>
      </c>
    </row>
    <row r="60" spans="4:12" ht="11.25" customHeight="1" x14ac:dyDescent="0.2">
      <c r="D60" s="14">
        <v>1877</v>
      </c>
      <c r="E60" s="2">
        <v>136</v>
      </c>
      <c r="F60" s="6">
        <f t="shared" si="5"/>
        <v>4.5099613977679311</v>
      </c>
      <c r="G60" s="8">
        <f t="shared" si="6"/>
        <v>-1.686894771023369</v>
      </c>
      <c r="H60" s="6">
        <v>365.66777212788577</v>
      </c>
      <c r="I60" s="8">
        <f t="shared" ca="1" si="7"/>
        <v>0.49227197765549136</v>
      </c>
      <c r="J60" s="6">
        <f t="shared" ca="1" si="1"/>
        <v>4.4424871879594052</v>
      </c>
      <c r="K60" s="8">
        <f t="shared" si="8"/>
        <v>-1.0077632638344489</v>
      </c>
      <c r="L60" s="27"/>
    </row>
    <row r="61" spans="4:12" ht="11.25" customHeight="1" x14ac:dyDescent="0.2">
      <c r="D61" s="14">
        <v>1878</v>
      </c>
      <c r="E61" s="2">
        <v>135</v>
      </c>
      <c r="F61" s="6">
        <f t="shared" si="5"/>
        <v>4.6449613977679309</v>
      </c>
      <c r="G61" s="8">
        <f t="shared" si="6"/>
        <v>-1.651844360882281</v>
      </c>
      <c r="H61" s="6">
        <v>171.91244441624144</v>
      </c>
      <c r="I61" s="8">
        <f t="shared" ca="1" si="7"/>
        <v>0.45946597867259698</v>
      </c>
      <c r="J61" s="6">
        <f t="shared" ca="1" si="1"/>
        <v>4.580426596084588</v>
      </c>
      <c r="K61" s="8">
        <f t="shared" si="8"/>
        <v>-0.98840489400094877</v>
      </c>
      <c r="L61" s="27"/>
    </row>
    <row r="62" spans="4:12" ht="11.25" customHeight="1" x14ac:dyDescent="0.2">
      <c r="D62" s="14">
        <v>1879</v>
      </c>
      <c r="E62" s="2">
        <v>136</v>
      </c>
      <c r="F62" s="6">
        <f t="shared" si="5"/>
        <v>4.7809613977679311</v>
      </c>
      <c r="G62" s="8">
        <f t="shared" si="6"/>
        <v>-1.6173572816858452</v>
      </c>
      <c r="H62" s="7">
        <v>111.18343862875642</v>
      </c>
      <c r="I62" s="8">
        <f t="shared" ca="1" si="7"/>
        <v>0.41111521693051145</v>
      </c>
      <c r="J62" s="6">
        <f t="shared" ca="1" si="1"/>
        <v>4.7218213204070265</v>
      </c>
      <c r="K62" s="8">
        <f t="shared" si="8"/>
        <v>-0.96927061720328</v>
      </c>
      <c r="L62" s="27"/>
    </row>
    <row r="63" spans="4:12" ht="11.25" customHeight="1" x14ac:dyDescent="0.2">
      <c r="D63" s="14">
        <v>1880</v>
      </c>
      <c r="E63" s="2">
        <v>149</v>
      </c>
      <c r="F63" s="6">
        <f t="shared" si="5"/>
        <v>4.9299613977679311</v>
      </c>
      <c r="G63" s="8">
        <f t="shared" si="6"/>
        <v>-1.5804646907704794</v>
      </c>
      <c r="H63" s="7">
        <v>84.628797281641013</v>
      </c>
      <c r="I63" s="8">
        <f t="shared" ca="1" si="7"/>
        <v>0.42914303662473685</v>
      </c>
      <c r="J63" s="6">
        <f t="shared" ca="1" si="1"/>
        <v>4.8667064836818001</v>
      </c>
      <c r="K63" s="8">
        <f t="shared" si="8"/>
        <v>-0.94870662831539709</v>
      </c>
      <c r="L63" s="27"/>
    </row>
    <row r="64" spans="4:12" ht="11.25" customHeight="1" x14ac:dyDescent="0.2">
      <c r="D64" s="14">
        <v>1881</v>
      </c>
      <c r="E64" s="2">
        <v>157</v>
      </c>
      <c r="F64" s="6">
        <f t="shared" si="5"/>
        <v>5.0869613977679311</v>
      </c>
      <c r="G64" s="8">
        <f t="shared" si="6"/>
        <v>-1.5425371290460699</v>
      </c>
      <c r="H64" s="7">
        <v>70.502033260745392</v>
      </c>
      <c r="I64" s="8">
        <f t="shared" ca="1" si="7"/>
        <v>0.475730224203744</v>
      </c>
      <c r="J64" s="6">
        <f t="shared" ca="1" si="1"/>
        <v>5.0151142679038312</v>
      </c>
      <c r="K64" s="8">
        <f t="shared" si="8"/>
        <v>-0.92746390996832617</v>
      </c>
      <c r="L64" s="27"/>
    </row>
    <row r="65" spans="4:12" ht="11.25" customHeight="1" x14ac:dyDescent="0.2">
      <c r="D65" s="14">
        <v>1882</v>
      </c>
      <c r="E65" s="2">
        <v>159</v>
      </c>
      <c r="F65" s="6">
        <f t="shared" si="5"/>
        <v>5.2459613977679309</v>
      </c>
      <c r="G65" s="8">
        <f t="shared" si="6"/>
        <v>-1.5050530487899103</v>
      </c>
      <c r="H65" s="7">
        <v>61.609140593407972</v>
      </c>
      <c r="I65" s="8">
        <f t="shared" ca="1" si="7"/>
        <v>0.51007981987095263</v>
      </c>
      <c r="J65" s="6">
        <f t="shared" ca="1" si="1"/>
        <v>5.1670737012504446</v>
      </c>
      <c r="K65" s="8">
        <f t="shared" si="8"/>
        <v>-0.90636884553243113</v>
      </c>
      <c r="L65" s="27"/>
    </row>
    <row r="66" spans="4:12" ht="11.25" customHeight="1" x14ac:dyDescent="0.2">
      <c r="D66" s="14">
        <v>1883</v>
      </c>
      <c r="E66" s="2">
        <v>166</v>
      </c>
      <c r="F66" s="6">
        <f t="shared" si="5"/>
        <v>5.4119613977679313</v>
      </c>
      <c r="G66" s="8">
        <f t="shared" si="6"/>
        <v>-1.4668501956512003</v>
      </c>
      <c r="H66" s="7">
        <v>55.791661733823418</v>
      </c>
      <c r="I66" s="8">
        <f t="shared" ca="1" si="7"/>
        <v>0.56426350071137676</v>
      </c>
      <c r="J66" s="6">
        <f t="shared" ca="1" si="1"/>
        <v>5.322610442985261</v>
      </c>
      <c r="K66" s="8">
        <f t="shared" si="8"/>
        <v>-0.88476704364413217</v>
      </c>
      <c r="L66" s="27"/>
    </row>
    <row r="67" spans="4:12" ht="11.25" customHeight="1" x14ac:dyDescent="0.2">
      <c r="D67" s="14">
        <v>1884</v>
      </c>
      <c r="E67" s="2">
        <v>163</v>
      </c>
      <c r="F67" s="6">
        <f t="shared" si="5"/>
        <v>5.5749613977679315</v>
      </c>
      <c r="G67" s="8">
        <f t="shared" si="6"/>
        <v>-1.4302052876149784</v>
      </c>
      <c r="H67" s="7">
        <v>51.288940759813087</v>
      </c>
      <c r="I67" s="8">
        <f t="shared" ca="1" si="7"/>
        <v>0.57545666729038203</v>
      </c>
      <c r="J67" s="6">
        <f t="shared" ca="1" si="1"/>
        <v>5.4817465671785275</v>
      </c>
      <c r="K67" s="8">
        <f t="shared" si="8"/>
        <v>-0.86395004267958708</v>
      </c>
      <c r="L67" s="27"/>
    </row>
    <row r="68" spans="4:12" ht="11.25" customHeight="1" x14ac:dyDescent="0.2">
      <c r="D68" s="14">
        <v>1885</v>
      </c>
      <c r="E68" s="2">
        <v>162</v>
      </c>
      <c r="F68" s="6">
        <f t="shared" si="5"/>
        <v>5.7369613977679315</v>
      </c>
      <c r="G68" s="8">
        <f t="shared" si="6"/>
        <v>-1.394584172143517</v>
      </c>
      <c r="H68" s="7">
        <v>47.49353156413904</v>
      </c>
      <c r="I68" s="8">
        <f t="shared" ca="1" si="7"/>
        <v>0.55839892259791668</v>
      </c>
      <c r="J68" s="6">
        <f t="shared" ca="1" si="1"/>
        <v>5.6445003461715384</v>
      </c>
      <c r="K68" s="8">
        <f t="shared" si="8"/>
        <v>-0.8436252431304524</v>
      </c>
      <c r="L68" s="27"/>
    </row>
    <row r="69" spans="4:12" ht="11.25" customHeight="1" x14ac:dyDescent="0.2">
      <c r="D69" s="14">
        <v>1886</v>
      </c>
      <c r="E69" s="2">
        <v>160</v>
      </c>
      <c r="F69" s="6">
        <f t="shared" si="5"/>
        <v>5.8969613977679316</v>
      </c>
      <c r="G69" s="8">
        <f t="shared" si="6"/>
        <v>-1.3601378786854177</v>
      </c>
      <c r="H69" s="7">
        <v>44.098384270737704</v>
      </c>
      <c r="I69" s="8">
        <f t="shared" ca="1" si="7"/>
        <v>0.50892270408417062</v>
      </c>
      <c r="J69" s="6">
        <f t="shared" ca="1" si="1"/>
        <v>5.8108860347840903</v>
      </c>
      <c r="K69" s="8">
        <f t="shared" si="8"/>
        <v>-0.82388779301531889</v>
      </c>
      <c r="L69" s="27"/>
    </row>
    <row r="70" spans="4:12" ht="11.25" customHeight="1" x14ac:dyDescent="0.2">
      <c r="D70" s="14">
        <v>1887</v>
      </c>
      <c r="E70" s="2">
        <v>165</v>
      </c>
      <c r="F70" s="6">
        <f t="shared" si="5"/>
        <v>6.0619613977679316</v>
      </c>
      <c r="G70" s="8">
        <f t="shared" si="6"/>
        <v>-1.3253352550743258</v>
      </c>
      <c r="H70" s="7">
        <v>41.192968046767049</v>
      </c>
      <c r="I70" s="8">
        <f t="shared" ca="1" si="7"/>
        <v>0.4692791918059811</v>
      </c>
      <c r="J70" s="6">
        <f t="shared" ca="1" si="1"/>
        <v>5.9809136563331355</v>
      </c>
      <c r="K70" s="8">
        <f t="shared" si="8"/>
        <v>-0.80386417861636583</v>
      </c>
      <c r="L70" s="27"/>
    </row>
    <row r="71" spans="4:12" ht="11.25" customHeight="1" x14ac:dyDescent="0.2">
      <c r="D71" s="14">
        <v>1888</v>
      </c>
      <c r="E71" s="2">
        <v>173</v>
      </c>
      <c r="F71" s="6">
        <f t="shared" si="5"/>
        <v>6.2349613977679317</v>
      </c>
      <c r="G71" s="8">
        <f t="shared" si="6"/>
        <v>-1.2895842735719636</v>
      </c>
      <c r="H71" s="7">
        <v>38.835653345714583</v>
      </c>
      <c r="I71" s="8">
        <f t="shared" ca="1" si="7"/>
        <v>0.45580501847598498</v>
      </c>
      <c r="J71" s="6">
        <f t="shared" ca="1" si="1"/>
        <v>6.1545887915969537</v>
      </c>
      <c r="K71" s="8">
        <f t="shared" si="8"/>
        <v>-0.78321009829038923</v>
      </c>
      <c r="L71" s="27"/>
    </row>
    <row r="72" spans="4:12" ht="11.25" customHeight="1" x14ac:dyDescent="0.2">
      <c r="D72" s="14">
        <v>1889</v>
      </c>
      <c r="E72" s="2">
        <v>180</v>
      </c>
      <c r="F72" s="6">
        <f t="shared" si="5"/>
        <v>6.4149613977679314</v>
      </c>
      <c r="G72" s="8">
        <f t="shared" si="6"/>
        <v>-1.2531416846961585</v>
      </c>
      <c r="H72" s="7">
        <v>36.971039439508182</v>
      </c>
      <c r="I72" s="8">
        <f t="shared" ca="1" si="7"/>
        <v>0.46141531519810997</v>
      </c>
      <c r="J72" s="6">
        <f t="shared" ca="1" si="1"/>
        <v>6.3319123719214749</v>
      </c>
      <c r="K72" s="8">
        <f t="shared" si="8"/>
        <v>-0.76206909471271678</v>
      </c>
      <c r="L72" s="27"/>
    </row>
    <row r="73" spans="4:12" ht="11.25" customHeight="1" x14ac:dyDescent="0.2">
      <c r="D73" s="14">
        <v>1890</v>
      </c>
      <c r="E73" s="2">
        <v>185</v>
      </c>
      <c r="F73" s="6">
        <f t="shared" si="5"/>
        <v>6.599961397767931</v>
      </c>
      <c r="G73" s="8">
        <f t="shared" si="6"/>
        <v>-1.2164402106449901</v>
      </c>
      <c r="H73" s="7">
        <v>35.495129379796985</v>
      </c>
      <c r="I73" s="8">
        <f t="shared" ca="1" si="7"/>
        <v>0.47416938534706787</v>
      </c>
      <c r="J73" s="6">
        <f t="shared" ca="1" si="1"/>
        <v>6.5128804777226383</v>
      </c>
      <c r="K73" s="8">
        <f t="shared" si="8"/>
        <v>-0.74068999383778544</v>
      </c>
      <c r="L73" s="27"/>
    </row>
    <row r="74" spans="4:12" ht="11.25" customHeight="1" x14ac:dyDescent="0.2">
      <c r="D74" s="14">
        <v>1891</v>
      </c>
      <c r="E74" s="2">
        <v>188</v>
      </c>
      <c r="F74" s="6">
        <f t="shared" si="5"/>
        <v>6.7879613977679307</v>
      </c>
      <c r="G74" s="8">
        <f t="shared" si="6"/>
        <v>-1.1798779093827585</v>
      </c>
      <c r="H74" s="7">
        <v>34.299220778410444</v>
      </c>
      <c r="I74" s="8">
        <f t="shared" ca="1" si="7"/>
        <v>0.48308307000479545</v>
      </c>
      <c r="J74" s="6">
        <f t="shared" ca="1" si="1"/>
        <v>6.6974841436900103</v>
      </c>
      <c r="K74" s="8">
        <f t="shared" si="8"/>
        <v>-0.71930555795442841</v>
      </c>
      <c r="L74" s="27"/>
    </row>
    <row r="75" spans="4:12" ht="11.25" customHeight="1" x14ac:dyDescent="0.2">
      <c r="D75" s="14">
        <v>1892</v>
      </c>
      <c r="E75" s="2">
        <v>185</v>
      </c>
      <c r="F75" s="6">
        <f t="shared" si="5"/>
        <v>6.9729613977679303</v>
      </c>
      <c r="G75" s="8">
        <f t="shared" si="6"/>
        <v>-1.1445776468789572</v>
      </c>
      <c r="H75" s="7">
        <v>33.23414815032816</v>
      </c>
      <c r="I75" s="8">
        <f t="shared" ca="1" si="7"/>
        <v>0.45717158967045179</v>
      </c>
      <c r="J75" s="6">
        <f t="shared" ca="1" si="1"/>
        <v>6.885709172041091</v>
      </c>
      <c r="K75" s="8">
        <f t="shared" si="8"/>
        <v>-0.69857874161301436</v>
      </c>
      <c r="L75" s="27"/>
    </row>
    <row r="76" spans="4:12" ht="11.25" customHeight="1" x14ac:dyDescent="0.2">
      <c r="D76" s="14">
        <v>1893</v>
      </c>
      <c r="E76" s="2">
        <v>167</v>
      </c>
      <c r="F76" s="6">
        <f t="shared" si="5"/>
        <v>7.1399613977679302</v>
      </c>
      <c r="G76" s="8">
        <f t="shared" si="6"/>
        <v>-1.1132565019151965</v>
      </c>
      <c r="H76" s="7">
        <v>32.057777171455051</v>
      </c>
      <c r="I76" s="8">
        <f t="shared" ref="I76:I107" ca="1" si="9" xml:space="preserve"> G76*(F$2-E$2)/LN(81) + AVERAGE(E$2:F$2) - D76</f>
        <v>0.32145886596754281</v>
      </c>
      <c r="J76" s="6">
        <f t="shared" ref="J76:J139" ca="1" si="10">F$1/(1+EXP((AVERAGE(E$2:F$2)-D76)*LN(81)/(F$2-E$2)))</f>
        <v>7.0775359552119559</v>
      </c>
      <c r="K76" s="8">
        <f t="shared" ref="K76:K107" si="11">NORMSINV(F76/F$5)</f>
        <v>-0.68012314351918157</v>
      </c>
      <c r="L76" s="27"/>
    </row>
    <row r="77" spans="4:12" ht="11.25" customHeight="1" x14ac:dyDescent="0.2">
      <c r="D77" s="14">
        <v>1894</v>
      </c>
      <c r="E77" s="2">
        <v>191</v>
      </c>
      <c r="F77" s="6">
        <f t="shared" si="5"/>
        <v>7.33096139776793</v>
      </c>
      <c r="G77" s="8">
        <f t="shared" si="6"/>
        <v>-1.0780310509150901</v>
      </c>
      <c r="H77" s="7">
        <v>31.063060653272142</v>
      </c>
      <c r="I77" s="8">
        <f t="shared" ca="1" si="9"/>
        <v>0.29348300928813842</v>
      </c>
      <c r="J77" s="6">
        <f t="shared" ca="1" si="10"/>
        <v>7.2729393093967207</v>
      </c>
      <c r="K77" s="8">
        <f t="shared" si="11"/>
        <v>-0.65929505142604317</v>
      </c>
      <c r="L77" s="27"/>
    </row>
    <row r="78" spans="4:12" ht="11.25" customHeight="1" x14ac:dyDescent="0.2">
      <c r="D78" s="14">
        <v>1895</v>
      </c>
      <c r="E78" s="2">
        <v>193</v>
      </c>
      <c r="F78" s="6">
        <f t="shared" ref="F78:F141" si="12">F77+E78/1000</f>
        <v>7.5239613977679296</v>
      </c>
      <c r="G78" s="8">
        <f t="shared" si="6"/>
        <v>-1.0430465229639219</v>
      </c>
      <c r="H78" s="7">
        <v>30.208493619246813</v>
      </c>
      <c r="I78" s="8">
        <f t="shared" ca="1" si="9"/>
        <v>0.25885903275207056</v>
      </c>
      <c r="J78" s="6">
        <f t="shared" ca="1" si="10"/>
        <v>7.4718883203651671</v>
      </c>
      <c r="K78" s="8">
        <f t="shared" si="11"/>
        <v>-0.63853542217476855</v>
      </c>
      <c r="L78" s="27"/>
    </row>
    <row r="79" spans="4:12" ht="11.25" customHeight="1" x14ac:dyDescent="0.2">
      <c r="D79" s="14">
        <v>1896</v>
      </c>
      <c r="E79" s="2">
        <v>198</v>
      </c>
      <c r="F79" s="6">
        <f t="shared" si="12"/>
        <v>7.72196139776793</v>
      </c>
      <c r="G79" s="8">
        <f t="shared" si="6"/>
        <v>-1.0077544486380916</v>
      </c>
      <c r="H79" s="7">
        <v>29.486506474482749</v>
      </c>
      <c r="I79" s="8">
        <f t="shared" ca="1" si="9"/>
        <v>0.23272160480178172</v>
      </c>
      <c r="J79" s="6">
        <f t="shared" ca="1" si="10"/>
        <v>7.6743462029932612</v>
      </c>
      <c r="K79" s="8">
        <f t="shared" si="11"/>
        <v>-0.61752010140692282</v>
      </c>
      <c r="L79" s="27"/>
    </row>
    <row r="80" spans="4:12" ht="11.25" customHeight="1" x14ac:dyDescent="0.2">
      <c r="D80" s="14">
        <v>1897</v>
      </c>
      <c r="E80" s="2">
        <v>205</v>
      </c>
      <c r="F80" s="6">
        <f t="shared" si="12"/>
        <v>7.9269613977679301</v>
      </c>
      <c r="G80" s="8">
        <f t="shared" si="6"/>
        <v>-0.97181490263866055</v>
      </c>
      <c r="H80" s="7">
        <v>28.89939662003529</v>
      </c>
      <c r="I80" s="8">
        <f t="shared" ca="1" si="9"/>
        <v>0.22445075005293802</v>
      </c>
      <c r="J80" s="6">
        <f t="shared" ca="1" si="10"/>
        <v>7.8802701759347604</v>
      </c>
      <c r="K80" s="8">
        <f t="shared" si="11"/>
        <v>-0.59604532890639172</v>
      </c>
      <c r="L80" s="27"/>
    </row>
    <row r="81" spans="4:12" ht="11.25" customHeight="1" x14ac:dyDescent="0.2">
      <c r="D81" s="14">
        <v>1898</v>
      </c>
      <c r="E81" s="2">
        <v>205</v>
      </c>
      <c r="F81" s="6">
        <f t="shared" si="12"/>
        <v>8.1319613977679293</v>
      </c>
      <c r="G81" s="8">
        <f t="shared" si="6"/>
        <v>-0.93644861214490294</v>
      </c>
      <c r="H81" s="7">
        <v>28.401738580440295</v>
      </c>
      <c r="I81" s="8">
        <f t="shared" ca="1" si="9"/>
        <v>0.20036127053208475</v>
      </c>
      <c r="J81" s="6">
        <f t="shared" ca="1" si="10"/>
        <v>8.089611352842395</v>
      </c>
      <c r="K81" s="8">
        <f t="shared" si="11"/>
        <v>-0.57484199235261146</v>
      </c>
      <c r="L81" s="27"/>
    </row>
    <row r="82" spans="4:12" ht="11.25" customHeight="1" x14ac:dyDescent="0.2">
      <c r="D82" s="14">
        <v>1899</v>
      </c>
      <c r="E82" s="2">
        <v>224</v>
      </c>
      <c r="F82" s="6">
        <f t="shared" si="12"/>
        <v>8.3559613977679295</v>
      </c>
      <c r="G82" s="8">
        <f t="shared" si="6"/>
        <v>-0.89841844039687513</v>
      </c>
      <c r="H82" s="7">
        <v>28.063509513710454</v>
      </c>
      <c r="I82" s="8">
        <f t="shared" ca="1" si="9"/>
        <v>0.24977991711216418</v>
      </c>
      <c r="J82" s="6">
        <f t="shared" ca="1" si="10"/>
        <v>8.3023146515137984</v>
      </c>
      <c r="K82" s="8">
        <f t="shared" si="11"/>
        <v>-0.551964883973877</v>
      </c>
      <c r="L82" s="27"/>
    </row>
    <row r="83" spans="4:12" ht="11.25" customHeight="1" x14ac:dyDescent="0.2">
      <c r="D83" s="14">
        <v>1900</v>
      </c>
      <c r="E83" s="2">
        <v>229</v>
      </c>
      <c r="F83" s="6">
        <f t="shared" si="12"/>
        <v>8.5849613977679287</v>
      </c>
      <c r="G83" s="8">
        <f t="shared" si="6"/>
        <v>-0.8601590124643097</v>
      </c>
      <c r="H83" s="7">
        <v>27.854189841447859</v>
      </c>
      <c r="I83" s="8">
        <f t="shared" ca="1" si="9"/>
        <v>0.30552474377100225</v>
      </c>
      <c r="J83" s="6">
        <f t="shared" ca="1" si="10"/>
        <v>8.51831872228958</v>
      </c>
      <c r="K83" s="8">
        <f t="shared" si="11"/>
        <v>-0.52887192228555036</v>
      </c>
      <c r="L83" s="27"/>
    </row>
    <row r="84" spans="4:12" ht="11.25" customHeight="1" x14ac:dyDescent="0.2">
      <c r="D84" s="14">
        <v>1901</v>
      </c>
      <c r="E84" s="2">
        <v>223</v>
      </c>
      <c r="F84" s="6">
        <f t="shared" si="12"/>
        <v>8.8079613977679294</v>
      </c>
      <c r="G84" s="8">
        <f t="shared" si="6"/>
        <v>-0.82346399076237675</v>
      </c>
      <c r="H84" s="7">
        <v>27.699795110134481</v>
      </c>
      <c r="I84" s="8">
        <f t="shared" ca="1" si="9"/>
        <v>0.31810076540500631</v>
      </c>
      <c r="J84" s="6">
        <f t="shared" ca="1" si="10"/>
        <v>8.7375558969684448</v>
      </c>
      <c r="K84" s="8">
        <f t="shared" si="11"/>
        <v>-0.50665199141140849</v>
      </c>
      <c r="L84" s="27"/>
    </row>
    <row r="85" spans="4:12" ht="11.25" customHeight="1" x14ac:dyDescent="0.2">
      <c r="D85" s="14">
        <v>1902</v>
      </c>
      <c r="E85" s="2">
        <v>231</v>
      </c>
      <c r="F85" s="6">
        <f t="shared" si="12"/>
        <v>9.0389613977679293</v>
      </c>
      <c r="G85" s="8">
        <f t="shared" si="6"/>
        <v>-0.78599802780627637</v>
      </c>
      <c r="H85" s="7">
        <v>27.609656609282055</v>
      </c>
      <c r="I85" s="8">
        <f t="shared" ca="1" si="9"/>
        <v>0.3519504255832544</v>
      </c>
      <c r="J85" s="6">
        <f t="shared" ca="1" si="10"/>
        <v>8.9599521594265479</v>
      </c>
      <c r="K85" s="8">
        <f t="shared" si="11"/>
        <v>-0.48389559690118256</v>
      </c>
      <c r="L85" s="27"/>
    </row>
    <row r="86" spans="4:12" ht="11.25" customHeight="1" x14ac:dyDescent="0.2">
      <c r="D86" s="14">
        <v>1903</v>
      </c>
      <c r="E86" s="2">
        <v>234</v>
      </c>
      <c r="F86" s="6">
        <f t="shared" si="12"/>
        <v>9.2729613977679293</v>
      </c>
      <c r="G86" s="8">
        <f t="shared" si="6"/>
        <v>-0.74857317355599473</v>
      </c>
      <c r="H86" s="7">
        <v>27.568409091361872</v>
      </c>
      <c r="I86" s="8">
        <f t="shared" ca="1" si="9"/>
        <v>0.38466571690537421</v>
      </c>
      <c r="J86" s="6">
        <f t="shared" ca="1" si="10"/>
        <v>9.1854271390354185</v>
      </c>
      <c r="K86" s="8">
        <f t="shared" si="11"/>
        <v>-0.46109633233319197</v>
      </c>
      <c r="L86" s="27"/>
    </row>
    <row r="87" spans="4:12" ht="11.25" customHeight="1" x14ac:dyDescent="0.2">
      <c r="D87" s="14">
        <v>1904</v>
      </c>
      <c r="E87" s="2">
        <v>236</v>
      </c>
      <c r="F87" s="6">
        <f t="shared" si="12"/>
        <v>9.5089613977679299</v>
      </c>
      <c r="G87" s="8">
        <f t="shared" si="6"/>
        <v>-0.71132919342266732</v>
      </c>
      <c r="H87" s="7">
        <v>27.560799854443946</v>
      </c>
      <c r="I87" s="8">
        <f t="shared" ca="1" si="9"/>
        <v>0.41238990084366378</v>
      </c>
      <c r="J87" s="6">
        <f t="shared" ca="1" si="10"/>
        <v>9.4138941278647206</v>
      </c>
      <c r="K87" s="8">
        <f t="shared" si="11"/>
        <v>-0.43834242464923029</v>
      </c>
      <c r="L87" s="27"/>
    </row>
    <row r="88" spans="4:12" ht="11.25" customHeight="1" x14ac:dyDescent="0.2">
      <c r="D88" s="14">
        <v>1905</v>
      </c>
      <c r="E88" s="2">
        <v>240</v>
      </c>
      <c r="F88" s="6">
        <f t="shared" si="12"/>
        <v>9.7489613977679301</v>
      </c>
      <c r="G88" s="8">
        <f t="shared" si="6"/>
        <v>-0.67393337455710589</v>
      </c>
      <c r="H88" s="7">
        <v>27.582483531705442</v>
      </c>
      <c r="I88" s="8">
        <f t="shared" ca="1" si="9"/>
        <v>0.44430397900441676</v>
      </c>
      <c r="J88" s="6">
        <f t="shared" ca="1" si="10"/>
        <v>9.6452601225333154</v>
      </c>
      <c r="K88" s="8">
        <f t="shared" si="11"/>
        <v>-0.41543324836484552</v>
      </c>
      <c r="L88" s="27"/>
    </row>
    <row r="89" spans="4:12" ht="11.25" customHeight="1" x14ac:dyDescent="0.2">
      <c r="D89" s="14">
        <v>1906</v>
      </c>
      <c r="E89" s="2">
        <v>255</v>
      </c>
      <c r="F89" s="6">
        <f t="shared" si="12"/>
        <v>10.003961397767931</v>
      </c>
      <c r="G89" s="8">
        <f t="shared" si="6"/>
        <v>-0.63469127681899407</v>
      </c>
      <c r="H89" s="7">
        <v>27.665363173678873</v>
      </c>
      <c r="I89" s="8">
        <f t="shared" ca="1" si="9"/>
        <v>0.52716496028392612</v>
      </c>
      <c r="J89" s="6">
        <f t="shared" ca="1" si="10"/>
        <v>9.8794258914348543</v>
      </c>
      <c r="K89" s="8">
        <f t="shared" si="11"/>
        <v>-0.39132856825862189</v>
      </c>
      <c r="L89" s="27"/>
    </row>
    <row r="90" spans="4:12" ht="11.25" customHeight="1" x14ac:dyDescent="0.2">
      <c r="D90" s="14">
        <v>1907</v>
      </c>
      <c r="E90" s="2">
        <v>272</v>
      </c>
      <c r="F90" s="6">
        <f t="shared" si="12"/>
        <v>10.275961397767931</v>
      </c>
      <c r="G90" s="8">
        <f t="shared" si="6"/>
        <v>-0.59334724599918875</v>
      </c>
      <c r="H90" s="7">
        <v>27.837123964387956</v>
      </c>
      <c r="I90" s="8">
        <f t="shared" ca="1" si="9"/>
        <v>0.66802746163057236</v>
      </c>
      <c r="J90" s="6">
        <f t="shared" ca="1" si="10"/>
        <v>10.116286067913574</v>
      </c>
      <c r="K90" s="8">
        <f t="shared" si="11"/>
        <v>-0.36586478812195988</v>
      </c>
      <c r="L90" s="27"/>
    </row>
    <row r="91" spans="4:12" ht="11.25" customHeight="1" x14ac:dyDescent="0.2">
      <c r="D91" s="14">
        <v>1908</v>
      </c>
      <c r="E91" s="2">
        <v>266</v>
      </c>
      <c r="F91" s="6">
        <f t="shared" si="12"/>
        <v>10.541961397767931</v>
      </c>
      <c r="G91" s="8">
        <f t="shared" si="6"/>
        <v>-0.55338652911255992</v>
      </c>
      <c r="H91" s="7">
        <v>28.048341213344205</v>
      </c>
      <c r="I91" s="8">
        <f t="shared" ca="1" si="9"/>
        <v>0.77071828588941571</v>
      </c>
      <c r="J91" s="6">
        <f t="shared" ca="1" si="10"/>
        <v>10.355729269802694</v>
      </c>
      <c r="K91" s="8">
        <f t="shared" si="11"/>
        <v>-0.34119021030703578</v>
      </c>
      <c r="L91" s="27"/>
    </row>
    <row r="92" spans="4:12" ht="11.25" customHeight="1" x14ac:dyDescent="0.2">
      <c r="D92" s="14">
        <v>1909</v>
      </c>
      <c r="E92" s="2">
        <v>268</v>
      </c>
      <c r="F92" s="6">
        <f t="shared" si="12"/>
        <v>10.809961397767932</v>
      </c>
      <c r="G92" s="8">
        <f t="shared" si="6"/>
        <v>-0.51355643877108192</v>
      </c>
      <c r="H92" s="7">
        <v>28.284528972408268</v>
      </c>
      <c r="I92" s="8">
        <f t="shared" ca="1" si="9"/>
        <v>0.86980455287402947</v>
      </c>
      <c r="J92" s="6">
        <f t="shared" ca="1" si="10"/>
        <v>10.59763824556355</v>
      </c>
      <c r="K92" s="8">
        <f t="shared" si="11"/>
        <v>-0.31653841931647259</v>
      </c>
      <c r="L92" s="27"/>
    </row>
    <row r="93" spans="4:12" ht="11.25" customHeight="1" x14ac:dyDescent="0.2">
      <c r="D93" s="14">
        <v>1910</v>
      </c>
      <c r="E93" s="2">
        <v>269</v>
      </c>
      <c r="F93" s="6">
        <f t="shared" si="12"/>
        <v>11.078961397767932</v>
      </c>
      <c r="G93" s="8">
        <f t="shared" si="6"/>
        <v>-0.47397463510045412</v>
      </c>
      <c r="H93" s="7">
        <v>28.531942627274109</v>
      </c>
      <c r="I93" s="8">
        <f t="shared" ca="1" si="9"/>
        <v>0.96203950549124784</v>
      </c>
      <c r="J93" s="6">
        <f t="shared" ca="1" si="10"/>
        <v>10.841890047079195</v>
      </c>
      <c r="K93" s="8">
        <f t="shared" si="11"/>
        <v>-0.29198659577505576</v>
      </c>
      <c r="L93" s="27"/>
    </row>
    <row r="94" spans="4:12" ht="11.25" customHeight="1" x14ac:dyDescent="0.2">
      <c r="D94" s="14">
        <v>1911</v>
      </c>
      <c r="E94" s="2">
        <v>276</v>
      </c>
      <c r="F94" s="6">
        <f t="shared" si="12"/>
        <v>11.354961397767932</v>
      </c>
      <c r="G94" s="8">
        <f t="shared" si="6"/>
        <v>-0.4337379416866316</v>
      </c>
      <c r="H94" s="7">
        <v>28.795609436360813</v>
      </c>
      <c r="I94" s="8">
        <f t="shared" ca="1" si="9"/>
        <v>1.0723457282706477</v>
      </c>
      <c r="J94" s="6">
        <f t="shared" ca="1" si="10"/>
        <v>11.088356228964185</v>
      </c>
      <c r="K94" s="8">
        <f t="shared" si="11"/>
        <v>-0.2669773870680418</v>
      </c>
      <c r="L94" s="27"/>
    </row>
    <row r="95" spans="4:12" ht="11.25" customHeight="1" x14ac:dyDescent="0.2">
      <c r="D95" s="14">
        <v>1912</v>
      </c>
      <c r="E95" s="2">
        <v>265</v>
      </c>
      <c r="F95" s="6">
        <f t="shared" si="12"/>
        <v>11.619961397767932</v>
      </c>
      <c r="G95" s="8">
        <f t="shared" si="6"/>
        <v>-0.39542792155746553</v>
      </c>
      <c r="H95" s="7">
        <v>29.035337770193088</v>
      </c>
      <c r="I95" s="8">
        <f t="shared" ca="1" si="9"/>
        <v>1.1294866147432003</v>
      </c>
      <c r="J95" s="6">
        <f t="shared" ca="1" si="10"/>
        <v>11.336903074053641</v>
      </c>
      <c r="K95" s="8">
        <f t="shared" si="11"/>
        <v>-0.24312125730161896</v>
      </c>
      <c r="L95" s="27"/>
    </row>
    <row r="96" spans="4:12" ht="11.25" customHeight="1" x14ac:dyDescent="0.2">
      <c r="D96" s="14">
        <v>1913</v>
      </c>
      <c r="E96" s="2">
        <v>292</v>
      </c>
      <c r="F96" s="6">
        <f t="shared" si="12"/>
        <v>11.911961397767932</v>
      </c>
      <c r="G96" s="8">
        <f t="shared" si="6"/>
        <v>-0.35354270859244008</v>
      </c>
      <c r="H96" s="7">
        <v>29.309615575313085</v>
      </c>
      <c r="I96" s="8">
        <f t="shared" ca="1" si="9"/>
        <v>1.2852826966727662</v>
      </c>
      <c r="J96" s="6">
        <f t="shared" ca="1" si="10"/>
        <v>11.58739184453222</v>
      </c>
      <c r="K96" s="8">
        <f t="shared" si="11"/>
        <v>-0.21699324431215053</v>
      </c>
      <c r="L96" s="27"/>
    </row>
    <row r="97" spans="4:12" ht="11.25" customHeight="1" x14ac:dyDescent="0.2">
      <c r="D97" s="14">
        <v>1914</v>
      </c>
      <c r="E97" s="2">
        <v>270</v>
      </c>
      <c r="F97" s="6">
        <f t="shared" si="12"/>
        <v>12.181961397767932</v>
      </c>
      <c r="G97" s="8">
        <f t="shared" si="6"/>
        <v>-0.31508527720489649</v>
      </c>
      <c r="H97" s="7">
        <v>29.553550442625912</v>
      </c>
      <c r="I97" s="8">
        <f t="shared" ca="1" si="9"/>
        <v>1.3464913040138526</v>
      </c>
      <c r="J97" s="6">
        <f t="shared" ca="1" si="10"/>
        <v>11.83967905795927</v>
      </c>
      <c r="K97" s="8">
        <f t="shared" si="11"/>
        <v>-0.19296530291374947</v>
      </c>
      <c r="L97" s="27"/>
    </row>
    <row r="98" spans="4:12" ht="11.25" customHeight="1" x14ac:dyDescent="0.2">
      <c r="D98" s="14">
        <v>1915</v>
      </c>
      <c r="E98" s="2">
        <v>257</v>
      </c>
      <c r="F98" s="6">
        <f t="shared" si="12"/>
        <v>12.438961397767931</v>
      </c>
      <c r="G98" s="8">
        <f t="shared" si="6"/>
        <v>-0.27869336156296748</v>
      </c>
      <c r="H98" s="7">
        <v>29.739394245095706</v>
      </c>
      <c r="I98" s="8">
        <f t="shared" ca="1" si="9"/>
        <v>1.3507033047496861</v>
      </c>
      <c r="J98" s="6">
        <f t="shared" ca="1" si="10"/>
        <v>12.093616787242453</v>
      </c>
      <c r="K98" s="8">
        <f t="shared" si="11"/>
        <v>-0.17019750881783202</v>
      </c>
      <c r="L98" s="27"/>
    </row>
    <row r="99" spans="4:12" ht="11.25" customHeight="1" x14ac:dyDescent="0.2">
      <c r="D99" s="14">
        <v>1916</v>
      </c>
      <c r="E99" s="2">
        <v>260</v>
      </c>
      <c r="F99" s="6">
        <f t="shared" si="12"/>
        <v>12.698961397767931</v>
      </c>
      <c r="G99" s="8">
        <f t="shared" si="6"/>
        <v>-0.24206220763968381</v>
      </c>
      <c r="H99" s="7">
        <v>29.880014595669689</v>
      </c>
      <c r="I99" s="8">
        <f t="shared" ca="1" si="9"/>
        <v>1.3615169352415251</v>
      </c>
      <c r="J99" s="6">
        <f t="shared" ca="1" si="10"/>
        <v>12.349052983411221</v>
      </c>
      <c r="K99" s="8">
        <f t="shared" si="11"/>
        <v>-0.14725333556128228</v>
      </c>
      <c r="L99" s="27"/>
    </row>
    <row r="100" spans="4:12" ht="11.25" customHeight="1" x14ac:dyDescent="0.2">
      <c r="D100" s="14">
        <v>1917</v>
      </c>
      <c r="E100" s="2">
        <v>252</v>
      </c>
      <c r="F100" s="6">
        <f t="shared" si="12"/>
        <v>12.950961397767932</v>
      </c>
      <c r="G100" s="8">
        <f t="shared" si="6"/>
        <v>-0.20671198698798374</v>
      </c>
      <c r="H100" s="7">
        <v>29.966376614575925</v>
      </c>
      <c r="I100" s="8">
        <f t="shared" ca="1" si="9"/>
        <v>1.3369840185459907</v>
      </c>
      <c r="J100" s="6">
        <f t="shared" ca="1" si="10"/>
        <v>12.605831819845905</v>
      </c>
      <c r="K100" s="8">
        <f t="shared" si="11"/>
        <v>-0.1250889977345423</v>
      </c>
      <c r="L100" s="27"/>
    </row>
    <row r="101" spans="4:12" ht="11.25" customHeight="1" x14ac:dyDescent="0.2">
      <c r="D101" s="14">
        <v>1918</v>
      </c>
      <c r="E101" s="2">
        <v>231</v>
      </c>
      <c r="F101" s="6">
        <f t="shared" si="12"/>
        <v>13.181961397767932</v>
      </c>
      <c r="G101" s="8">
        <f t="shared" si="6"/>
        <v>-0.1744208290662185</v>
      </c>
      <c r="H101" s="7">
        <v>29.972748863149938</v>
      </c>
      <c r="I101" s="8">
        <f t="shared" ca="1" si="9"/>
        <v>1.2280381917244085</v>
      </c>
      <c r="J101" s="6">
        <f t="shared" ca="1" si="10"/>
        <v>12.863794056430525</v>
      </c>
      <c r="K101" s="8">
        <f t="shared" si="11"/>
        <v>-0.10482580008282733</v>
      </c>
      <c r="L101" s="27"/>
    </row>
    <row r="102" spans="4:12" ht="11.25" customHeight="1" x14ac:dyDescent="0.2">
      <c r="D102" s="14">
        <v>1919</v>
      </c>
      <c r="E102" s="2">
        <v>233</v>
      </c>
      <c r="F102" s="6">
        <f t="shared" si="12"/>
        <v>13.414961397767932</v>
      </c>
      <c r="G102" s="8">
        <f t="shared" si="6"/>
        <v>-0.14194168213185598</v>
      </c>
      <c r="H102" s="7">
        <v>29.919927693222117</v>
      </c>
      <c r="I102" s="8">
        <f t="shared" ca="1" si="9"/>
        <v>1.1242798033522376</v>
      </c>
      <c r="J102" s="6">
        <f t="shared" ca="1" si="10"/>
        <v>13.122777421920119</v>
      </c>
      <c r="K102" s="8">
        <f t="shared" si="11"/>
        <v>-8.4430652612603088E-2</v>
      </c>
      <c r="L102" s="27"/>
    </row>
    <row r="103" spans="4:12" ht="11.25" customHeight="1" x14ac:dyDescent="0.2">
      <c r="D103" s="14">
        <v>1920</v>
      </c>
      <c r="E103" s="2">
        <v>233</v>
      </c>
      <c r="F103" s="6">
        <f t="shared" si="12"/>
        <v>13.647961397767933</v>
      </c>
      <c r="G103" s="8">
        <f t="shared" si="6"/>
        <v>-0.10953711146154523</v>
      </c>
      <c r="H103" s="7">
        <v>29.821887118487449</v>
      </c>
      <c r="I103" s="8">
        <f t="shared" ca="1" si="9"/>
        <v>1.0184635299249294</v>
      </c>
      <c r="J103" s="6">
        <f t="shared" ca="1" si="10"/>
        <v>13.382617012648781</v>
      </c>
      <c r="K103" s="8">
        <f t="shared" si="11"/>
        <v>-6.4070568359398825E-2</v>
      </c>
      <c r="L103" s="27"/>
    </row>
    <row r="104" spans="4:12" ht="11.25" customHeight="1" x14ac:dyDescent="0.2">
      <c r="D104" s="14">
        <v>1921</v>
      </c>
      <c r="E104" s="2">
        <v>166</v>
      </c>
      <c r="F104" s="6">
        <f t="shared" si="12"/>
        <v>13.813961397767933</v>
      </c>
      <c r="G104" s="8">
        <f t="shared" si="6"/>
        <v>-8.6486580321132323E-2</v>
      </c>
      <c r="H104" s="7">
        <v>29.604831432916839</v>
      </c>
      <c r="I104" s="8">
        <f t="shared" ca="1" si="9"/>
        <v>0.65452842472996053</v>
      </c>
      <c r="J104" s="6">
        <f t="shared" ca="1" si="10"/>
        <v>13.643145705554929</v>
      </c>
      <c r="K104" s="8">
        <f t="shared" si="11"/>
        <v>-4.9581778507099036E-2</v>
      </c>
      <c r="L104" s="27"/>
    </row>
    <row r="105" spans="4:12" ht="11.25" customHeight="1" x14ac:dyDescent="0.2">
      <c r="D105" s="14">
        <v>1922</v>
      </c>
      <c r="E105" s="2">
        <v>254</v>
      </c>
      <c r="F105" s="6">
        <f t="shared" si="12"/>
        <v>14.067961397767933</v>
      </c>
      <c r="G105" s="8">
        <f t="shared" si="6"/>
        <v>-5.1258796984574563E-2</v>
      </c>
      <c r="H105" s="7">
        <v>29.405457463321216</v>
      </c>
      <c r="I105" s="8">
        <f t="shared" ca="1" si="9"/>
        <v>0.62661692740653052</v>
      </c>
      <c r="J105" s="6">
        <f t="shared" ca="1" si="10"/>
        <v>13.904194583367751</v>
      </c>
      <c r="K105" s="8">
        <f t="shared" si="11"/>
        <v>-2.7431276078780997E-2</v>
      </c>
      <c r="L105" s="27"/>
    </row>
    <row r="106" spans="4:12" ht="11.25" customHeight="1" x14ac:dyDescent="0.2">
      <c r="D106" s="14">
        <v>1923</v>
      </c>
      <c r="E106" s="2">
        <v>280</v>
      </c>
      <c r="F106" s="6">
        <f t="shared" si="12"/>
        <v>14.347961397767932</v>
      </c>
      <c r="G106" s="8">
        <f t="shared" si="6"/>
        <v>-1.2460975213657946E-2</v>
      </c>
      <c r="H106" s="7">
        <v>29.25208586342891</v>
      </c>
      <c r="I106" s="8">
        <f t="shared" ca="1" si="9"/>
        <v>0.69721839307590017</v>
      </c>
      <c r="J106" s="6">
        <f t="shared" ca="1" si="10"/>
        <v>14.165593369684988</v>
      </c>
      <c r="K106" s="8">
        <f t="shared" si="11"/>
        <v>-3.028558375337925E-3</v>
      </c>
      <c r="L106" s="27"/>
    </row>
    <row r="107" spans="4:12" ht="11.25" customHeight="1" x14ac:dyDescent="0.2">
      <c r="D107" s="14">
        <v>1924</v>
      </c>
      <c r="E107" s="2">
        <v>271</v>
      </c>
      <c r="F107" s="6">
        <f t="shared" si="12"/>
        <v>14.618961397767933</v>
      </c>
      <c r="G107" s="8">
        <f t="shared" si="6"/>
        <v>2.5080545852001677E-2</v>
      </c>
      <c r="H107" s="7">
        <v>29.127658916792431</v>
      </c>
      <c r="I107" s="8">
        <f t="shared" ca="1" si="9"/>
        <v>0.733153031718075</v>
      </c>
      <c r="J107" s="6">
        <f t="shared" ca="1" si="10"/>
        <v>14.427170871579072</v>
      </c>
      <c r="K107" s="8">
        <f t="shared" si="11"/>
        <v>2.0587920414988397E-2</v>
      </c>
      <c r="L107" s="27"/>
    </row>
    <row r="108" spans="4:12" ht="11.25" customHeight="1" x14ac:dyDescent="0.2">
      <c r="D108" s="14">
        <v>1925</v>
      </c>
      <c r="E108" s="2">
        <v>247</v>
      </c>
      <c r="F108" s="6">
        <f t="shared" si="12"/>
        <v>14.865961397767933</v>
      </c>
      <c r="G108" s="8">
        <f t="shared" ref="G108:G171" si="13" xml:space="preserve"> -LN(F$1/F108-1)</f>
        <v>5.9312078604960621E-2</v>
      </c>
      <c r="H108" s="7">
        <v>29.003271248460365</v>
      </c>
      <c r="I108" s="8">
        <f t="shared" ref="I108:I139" ca="1" si="14" xml:space="preserve"> G108*(F$2-E$2)/LN(81) + AVERAGE(E$2:F$2) - D108</f>
        <v>0.6777506267537774</v>
      </c>
      <c r="J108" s="6">
        <f t="shared" ca="1" si="10"/>
        <v>14.688755427297171</v>
      </c>
      <c r="K108" s="8">
        <f t="shared" ref="K108:K139" si="15">NORMSINV(F108/F$5)</f>
        <v>4.2122571983528145E-2</v>
      </c>
      <c r="L108" s="27"/>
    </row>
    <row r="109" spans="4:12" ht="11.25" customHeight="1" x14ac:dyDescent="0.2">
      <c r="D109" s="14">
        <v>1926</v>
      </c>
      <c r="E109" s="2">
        <v>128</v>
      </c>
      <c r="F109" s="6">
        <f t="shared" si="12"/>
        <v>14.993961397767933</v>
      </c>
      <c r="G109" s="8">
        <f t="shared" si="13"/>
        <v>7.7063904819299867E-2</v>
      </c>
      <c r="H109" s="7">
        <v>28.769875226970601</v>
      </c>
      <c r="I109" s="8">
        <f t="shared" ca="1" si="14"/>
        <v>0.16760109505048604</v>
      </c>
      <c r="J109" s="6">
        <f t="shared" ca="1" si="10"/>
        <v>14.950175356572283</v>
      </c>
      <c r="K109" s="8">
        <f t="shared" si="15"/>
        <v>5.328928720590196E-2</v>
      </c>
      <c r="L109" s="27"/>
    </row>
    <row r="110" spans="4:12" ht="11.25" customHeight="1" x14ac:dyDescent="0.2">
      <c r="D110" s="14">
        <v>1927</v>
      </c>
      <c r="E110" s="2">
        <v>255</v>
      </c>
      <c r="F110" s="6">
        <f t="shared" si="12"/>
        <v>15.248961397767934</v>
      </c>
      <c r="G110" s="8">
        <f t="shared" si="13"/>
        <v>0.11246784788442576</v>
      </c>
      <c r="H110" s="7">
        <v>28.566929214965622</v>
      </c>
      <c r="I110" s="8">
        <f t="shared" ca="1" si="14"/>
        <v>0.14455061453122653</v>
      </c>
      <c r="J110" s="6">
        <f t="shared" ca="1" si="10"/>
        <v>15.21125941103749</v>
      </c>
      <c r="K110" s="8">
        <f t="shared" si="15"/>
        <v>7.5556680011076766E-2</v>
      </c>
      <c r="L110" s="27"/>
    </row>
    <row r="111" spans="4:12" ht="11.25" customHeight="1" x14ac:dyDescent="0.2">
      <c r="D111" s="14">
        <v>1928</v>
      </c>
      <c r="E111" s="2">
        <v>241</v>
      </c>
      <c r="F111" s="6">
        <f t="shared" si="12"/>
        <v>15.489961397767933</v>
      </c>
      <c r="G111" s="8">
        <f t="shared" si="13"/>
        <v>0.14599252097088999</v>
      </c>
      <c r="H111" s="7">
        <v>28.380267218083137</v>
      </c>
      <c r="I111" s="8">
        <f t="shared" ca="1" si="14"/>
        <v>6.9642862090404378E-2</v>
      </c>
      <c r="J111" s="6">
        <f t="shared" ca="1" si="10"/>
        <v>15.471837222234585</v>
      </c>
      <c r="K111" s="8">
        <f t="shared" si="15"/>
        <v>9.6635857756659768E-2</v>
      </c>
      <c r="L111" s="27"/>
    </row>
    <row r="112" spans="4:12" ht="11.25" customHeight="1" x14ac:dyDescent="0.2">
      <c r="D112" s="14">
        <v>1929</v>
      </c>
      <c r="E112" s="2">
        <v>262</v>
      </c>
      <c r="F112" s="6">
        <f t="shared" si="12"/>
        <v>15.751961397767934</v>
      </c>
      <c r="G112" s="8">
        <f t="shared" si="13"/>
        <v>0.1825322134194049</v>
      </c>
      <c r="H112" s="7">
        <v>28.226555788809943</v>
      </c>
      <c r="I112" s="8">
        <f t="shared" ca="1" si="14"/>
        <v>7.7932670767722811E-2</v>
      </c>
      <c r="J112" s="6">
        <f t="shared" ca="1" si="10"/>
        <v>15.731739744731208</v>
      </c>
      <c r="K112" s="8">
        <f t="shared" si="15"/>
        <v>0.11960094550474494</v>
      </c>
      <c r="L112" s="27"/>
    </row>
    <row r="113" spans="4:12" ht="11.25" customHeight="1" x14ac:dyDescent="0.2">
      <c r="D113" s="14">
        <v>1930</v>
      </c>
      <c r="E113" s="2">
        <v>248</v>
      </c>
      <c r="F113" s="6">
        <f t="shared" si="12"/>
        <v>15.999961397767933</v>
      </c>
      <c r="G113" s="8">
        <f t="shared" si="13"/>
        <v>0.21723132537894516</v>
      </c>
      <c r="H113" s="7">
        <v>28.091646101697044</v>
      </c>
      <c r="I113" s="8">
        <f t="shared" ca="1" si="14"/>
        <v>3.5432819633115287E-2</v>
      </c>
      <c r="J113" s="6">
        <f t="shared" ca="1" si="10"/>
        <v>15.990799691907235</v>
      </c>
      <c r="K113" s="8">
        <f t="shared" si="15"/>
        <v>0.14139696398903301</v>
      </c>
      <c r="L113" s="27"/>
    </row>
    <row r="114" spans="4:12" ht="11.25" customHeight="1" x14ac:dyDescent="0.2">
      <c r="D114" s="14">
        <v>1931</v>
      </c>
      <c r="E114" s="2">
        <v>223</v>
      </c>
      <c r="F114" s="6">
        <f t="shared" si="12"/>
        <v>16.222961397767932</v>
      </c>
      <c r="G114" s="8">
        <f t="shared" si="13"/>
        <v>0.24854357548196568</v>
      </c>
      <c r="H114" s="7">
        <v>27.956383824555381</v>
      </c>
      <c r="I114" s="8">
        <f t="shared" ca="1" si="14"/>
        <v>-0.10052535215186253</v>
      </c>
      <c r="J114" s="6">
        <f t="shared" ca="1" si="10"/>
        <v>16.248851962040682</v>
      </c>
      <c r="K114" s="8">
        <f t="shared" si="15"/>
        <v>0.16105303257390283</v>
      </c>
      <c r="L114" s="27"/>
    </row>
    <row r="115" spans="4:12" ht="11.25" customHeight="1" x14ac:dyDescent="0.2">
      <c r="D115" s="14">
        <v>1932</v>
      </c>
      <c r="E115" s="2">
        <v>212</v>
      </c>
      <c r="F115" s="6">
        <f t="shared" si="12"/>
        <v>16.434961397767932</v>
      </c>
      <c r="G115" s="8">
        <f t="shared" si="13"/>
        <v>0.27842387178753975</v>
      </c>
      <c r="H115" s="7">
        <v>27.816196041707695</v>
      </c>
      <c r="I115" s="8">
        <f t="shared" ca="1" si="14"/>
        <v>-0.27599738745675495</v>
      </c>
      <c r="J115" s="6">
        <f t="shared" ca="1" si="10"/>
        <v>16.50573405241488</v>
      </c>
      <c r="K115" s="8">
        <f t="shared" si="15"/>
        <v>0.17979728144987589</v>
      </c>
      <c r="L115" s="27"/>
    </row>
    <row r="116" spans="4:12" ht="11.25" customHeight="1" x14ac:dyDescent="0.2">
      <c r="D116" s="14">
        <v>1933</v>
      </c>
      <c r="E116" s="2">
        <v>210</v>
      </c>
      <c r="F116" s="6">
        <f t="shared" si="12"/>
        <v>16.644961397767933</v>
      </c>
      <c r="G116" s="8">
        <f t="shared" si="13"/>
        <v>0.30814450275408412</v>
      </c>
      <c r="H116" s="7">
        <v>27.673786495238843</v>
      </c>
      <c r="I116" s="8">
        <f t="shared" ca="1" si="14"/>
        <v>-0.45587528727082827</v>
      </c>
      <c r="J116" s="6">
        <f t="shared" ca="1" si="10"/>
        <v>16.761286459280765</v>
      </c>
      <c r="K116" s="8">
        <f t="shared" si="15"/>
        <v>0.19842717209579525</v>
      </c>
      <c r="L116" s="27"/>
    </row>
    <row r="117" spans="4:12" ht="11.25" customHeight="1" x14ac:dyDescent="0.2">
      <c r="D117" s="14">
        <v>1934</v>
      </c>
      <c r="E117" s="2">
        <v>224</v>
      </c>
      <c r="F117" s="6">
        <f t="shared" si="12"/>
        <v>16.868961397767933</v>
      </c>
      <c r="G117" s="8">
        <f t="shared" si="13"/>
        <v>0.33999637889235629</v>
      </c>
      <c r="H117" s="7">
        <v>27.541206487289234</v>
      </c>
      <c r="I117" s="8">
        <f t="shared" ca="1" si="14"/>
        <v>-0.57694281834756111</v>
      </c>
      <c r="J117" s="6">
        <f t="shared" ca="1" si="10"/>
        <v>17.015353061639225</v>
      </c>
      <c r="K117" s="8">
        <f t="shared" si="15"/>
        <v>0.21837542539687696</v>
      </c>
      <c r="L117" s="27"/>
    </row>
    <row r="118" spans="4:12" ht="11.25" customHeight="1" x14ac:dyDescent="0.2">
      <c r="D118" s="14">
        <v>1935</v>
      </c>
      <c r="E118" s="2">
        <v>226</v>
      </c>
      <c r="F118" s="6">
        <f t="shared" si="12"/>
        <v>17.094961397767932</v>
      </c>
      <c r="G118" s="8">
        <f t="shared" si="13"/>
        <v>0.37230677142038759</v>
      </c>
      <c r="H118" s="7">
        <v>27.420566764371898</v>
      </c>
      <c r="I118" s="8">
        <f t="shared" ca="1" si="14"/>
        <v>-0.68535787831888229</v>
      </c>
      <c r="J118" s="6">
        <f t="shared" ca="1" si="10"/>
        <v>17.267781486956885</v>
      </c>
      <c r="K118" s="8">
        <f t="shared" si="15"/>
        <v>0.23859027506132546</v>
      </c>
      <c r="L118" s="27"/>
    </row>
    <row r="119" spans="4:12" ht="11.25" customHeight="1" x14ac:dyDescent="0.2">
      <c r="D119" s="14">
        <v>1936</v>
      </c>
      <c r="E119" s="2">
        <v>232</v>
      </c>
      <c r="F119" s="6">
        <f t="shared" si="12"/>
        <v>17.326961397767931</v>
      </c>
      <c r="G119" s="8">
        <f t="shared" si="13"/>
        <v>0.40567619061672933</v>
      </c>
      <c r="H119" s="7">
        <v>27.315754382346618</v>
      </c>
      <c r="I119" s="8">
        <f t="shared" ca="1" si="14"/>
        <v>-0.76454976411400821</v>
      </c>
      <c r="J119" s="6">
        <f t="shared" ca="1" si="10"/>
        <v>17.518423457091995</v>
      </c>
      <c r="K119" s="8">
        <f t="shared" si="15"/>
        <v>0.25944380495725133</v>
      </c>
      <c r="L119" s="27"/>
    </row>
    <row r="120" spans="4:12" ht="11.25" customHeight="1" x14ac:dyDescent="0.2">
      <c r="D120" s="14">
        <v>1937</v>
      </c>
      <c r="E120" s="2">
        <v>244</v>
      </c>
      <c r="F120" s="6">
        <f t="shared" si="12"/>
        <v>17.570961397767931</v>
      </c>
      <c r="G120" s="8">
        <f t="shared" si="13"/>
        <v>0.44101404994849269</v>
      </c>
      <c r="H120" s="7">
        <v>27.233124119929002</v>
      </c>
      <c r="I120" s="8">
        <f t="shared" ca="1" si="14"/>
        <v>-0.78942378365059085</v>
      </c>
      <c r="J120" s="6">
        <f t="shared" ca="1" si="10"/>
        <v>17.767135112883594</v>
      </c>
      <c r="K120" s="8">
        <f t="shared" si="15"/>
        <v>0.28149856521981159</v>
      </c>
      <c r="L120" s="27"/>
    </row>
    <row r="121" spans="4:12" ht="11.25" customHeight="1" x14ac:dyDescent="0.2">
      <c r="D121" s="14">
        <v>1938</v>
      </c>
      <c r="E121" s="2">
        <v>231</v>
      </c>
      <c r="F121" s="6">
        <f t="shared" si="12"/>
        <v>17.801961397767933</v>
      </c>
      <c r="G121" s="8">
        <f t="shared" si="13"/>
        <v>0.47472040120217224</v>
      </c>
      <c r="H121" s="7">
        <v>27.16395829608156</v>
      </c>
      <c r="I121" s="8">
        <f t="shared" ca="1" si="14"/>
        <v>-0.85931824144699931</v>
      </c>
      <c r="J121" s="6">
        <f t="shared" ca="1" si="10"/>
        <v>18.013777316043992</v>
      </c>
      <c r="K121" s="8">
        <f t="shared" si="15"/>
        <v>0.30250504980180959</v>
      </c>
      <c r="L121" s="27"/>
    </row>
    <row r="122" spans="4:12" ht="11.25" customHeight="1" x14ac:dyDescent="0.2">
      <c r="D122" s="14">
        <v>1939</v>
      </c>
      <c r="E122" s="2">
        <v>235</v>
      </c>
      <c r="F122" s="6">
        <f t="shared" si="12"/>
        <v>18.036961397767932</v>
      </c>
      <c r="G122" s="8">
        <f t="shared" si="13"/>
        <v>0.50928435552148532</v>
      </c>
      <c r="H122" s="7">
        <v>27.11010935189994</v>
      </c>
      <c r="I122" s="8">
        <f t="shared" ca="1" si="14"/>
        <v>-0.90554768257197793</v>
      </c>
      <c r="J122" s="6">
        <f t="shared" ca="1" si="10"/>
        <v>18.258215927189561</v>
      </c>
      <c r="K122" s="8">
        <f t="shared" si="15"/>
        <v>0.324013215490843</v>
      </c>
      <c r="L122" s="27"/>
    </row>
    <row r="123" spans="4:12" ht="11.25" customHeight="1" x14ac:dyDescent="0.2">
      <c r="D123" s="14">
        <v>1940</v>
      </c>
      <c r="E123" s="2">
        <v>228</v>
      </c>
      <c r="F123" s="6">
        <f t="shared" si="12"/>
        <v>18.264961397767934</v>
      </c>
      <c r="G123" s="8">
        <f t="shared" si="13"/>
        <v>0.54310563929121114</v>
      </c>
      <c r="H123" s="7">
        <v>27.067240690202091</v>
      </c>
      <c r="I123" s="8">
        <f t="shared" ca="1" si="14"/>
        <v>-0.97227064994649481</v>
      </c>
      <c r="J123" s="6">
        <f t="shared" ca="1" si="10"/>
        <v>18.50032205904559</v>
      </c>
      <c r="K123" s="8">
        <f t="shared" si="15"/>
        <v>0.34502487681426164</v>
      </c>
      <c r="L123" s="27"/>
    </row>
    <row r="124" spans="4:12" ht="11.25" customHeight="1" x14ac:dyDescent="0.2">
      <c r="D124" s="14">
        <v>1941</v>
      </c>
      <c r="E124" s="2">
        <v>210</v>
      </c>
      <c r="F124" s="6">
        <f t="shared" si="12"/>
        <v>18.474961397767935</v>
      </c>
      <c r="G124" s="8">
        <f t="shared" si="13"/>
        <v>0.57452696159100825</v>
      </c>
      <c r="H124" s="7">
        <v>27.026253663850579</v>
      </c>
      <c r="I124" s="8">
        <f t="shared" ca="1" si="14"/>
        <v>-1.1052190431305462</v>
      </c>
      <c r="J124" s="6">
        <f t="shared" ca="1" si="10"/>
        <v>18.739972304064551</v>
      </c>
      <c r="K124" s="8">
        <f t="shared" si="15"/>
        <v>0.36451321068993114</v>
      </c>
      <c r="L124" s="27"/>
    </row>
    <row r="125" spans="4:12" ht="11.25" customHeight="1" x14ac:dyDescent="0.2">
      <c r="D125" s="14">
        <v>1942</v>
      </c>
      <c r="E125" s="2">
        <v>208</v>
      </c>
      <c r="F125" s="6">
        <f t="shared" si="12"/>
        <v>18.682961397767933</v>
      </c>
      <c r="G125" s="8">
        <f t="shared" si="13"/>
        <v>0.60592353856701608</v>
      </c>
      <c r="H125" s="7">
        <v>26.987695577646083</v>
      </c>
      <c r="I125" s="8">
        <f t="shared" ca="1" si="14"/>
        <v>-1.2388502679455087</v>
      </c>
      <c r="J125" s="6">
        <f t="shared" ca="1" si="10"/>
        <v>18.977048935901745</v>
      </c>
      <c r="K125" s="8">
        <f t="shared" si="15"/>
        <v>0.3839533705392239</v>
      </c>
      <c r="L125" s="27"/>
    </row>
    <row r="126" spans="4:12" ht="11.25" customHeight="1" x14ac:dyDescent="0.2">
      <c r="D126" s="14">
        <v>1943</v>
      </c>
      <c r="E126" s="2">
        <v>202</v>
      </c>
      <c r="F126" s="6">
        <f t="shared" si="12"/>
        <v>18.884961397767935</v>
      </c>
      <c r="G126" s="8">
        <f t="shared" si="13"/>
        <v>0.63669427849211768</v>
      </c>
      <c r="H126" s="7">
        <v>26.950150655300693</v>
      </c>
      <c r="I126" s="8">
        <f t="shared" ca="1" si="14"/>
        <v>-1.3897510721694744</v>
      </c>
      <c r="J126" s="6">
        <f t="shared" ca="1" si="10"/>
        <v>19.211440084394901</v>
      </c>
      <c r="K126" s="8">
        <f t="shared" si="15"/>
        <v>0.40297261097901393</v>
      </c>
      <c r="L126" s="27"/>
    </row>
    <row r="127" spans="4:12" ht="11.25" customHeight="1" x14ac:dyDescent="0.2">
      <c r="D127" s="14">
        <v>1944</v>
      </c>
      <c r="E127" s="2">
        <v>196</v>
      </c>
      <c r="F127" s="6">
        <f t="shared" si="12"/>
        <v>19.080961397767936</v>
      </c>
      <c r="G127" s="8">
        <f t="shared" si="13"/>
        <v>0.66683231644498431</v>
      </c>
      <c r="H127" s="7">
        <v>26.912541303541104</v>
      </c>
      <c r="I127" s="8">
        <f t="shared" ca="1" si="14"/>
        <v>-1.5581108889846291</v>
      </c>
      <c r="J127" s="6">
        <f t="shared" ca="1" si="10"/>
        <v>19.443039883893281</v>
      </c>
      <c r="K127" s="8">
        <f t="shared" si="15"/>
        <v>0.42156726256909666</v>
      </c>
      <c r="L127" s="27"/>
    </row>
    <row r="128" spans="4:12" ht="11.25" customHeight="1" x14ac:dyDescent="0.2">
      <c r="D128" s="14">
        <v>1945</v>
      </c>
      <c r="E128" s="2">
        <v>186</v>
      </c>
      <c r="F128" s="6">
        <f t="shared" si="12"/>
        <v>19.266961397767936</v>
      </c>
      <c r="G128" s="8">
        <f t="shared" si="13"/>
        <v>0.69570519817252185</v>
      </c>
      <c r="H128" s="7">
        <v>26.87234663146825</v>
      </c>
      <c r="I128" s="8">
        <f t="shared" ca="1" si="14"/>
        <v>-1.7613818953284408</v>
      </c>
      <c r="J128" s="6">
        <f t="shared" ca="1" si="10"/>
        <v>19.671748594974623</v>
      </c>
      <c r="K128" s="8">
        <f t="shared" si="15"/>
        <v>0.43934894087465376</v>
      </c>
      <c r="L128" s="27"/>
    </row>
    <row r="129" spans="4:12" ht="11.25" customHeight="1" x14ac:dyDescent="0.2">
      <c r="D129" s="14">
        <v>1946</v>
      </c>
      <c r="E129" s="2">
        <v>193</v>
      </c>
      <c r="F129" s="6">
        <f t="shared" si="12"/>
        <v>19.459961397767938</v>
      </c>
      <c r="G129" s="8">
        <f t="shared" si="13"/>
        <v>0.72596257445000556</v>
      </c>
      <c r="H129" s="7">
        <v>26.834637840746456</v>
      </c>
      <c r="I129" s="8">
        <f t="shared" ca="1" si="14"/>
        <v>-1.9264486462079731</v>
      </c>
      <c r="J129" s="6">
        <f t="shared" ca="1" si="10"/>
        <v>19.897472699773139</v>
      </c>
      <c r="K129" s="8">
        <f t="shared" si="15"/>
        <v>0.45794795431938995</v>
      </c>
      <c r="L129" s="27"/>
    </row>
    <row r="130" spans="4:12" ht="11.25" customHeight="1" x14ac:dyDescent="0.2">
      <c r="D130" s="14">
        <v>1947</v>
      </c>
      <c r="E130" s="2">
        <v>200</v>
      </c>
      <c r="F130" s="6">
        <f t="shared" si="12"/>
        <v>19.659961397767937</v>
      </c>
      <c r="G130" s="8">
        <f t="shared" si="13"/>
        <v>0.75765719919047969</v>
      </c>
      <c r="H130" s="7">
        <v>26.803470079028248</v>
      </c>
      <c r="I130" s="8">
        <f t="shared" ca="1" si="14"/>
        <v>-2.0518554306056558</v>
      </c>
      <c r="J130" s="6">
        <f t="shared" ca="1" si="10"/>
        <v>20.120124971317203</v>
      </c>
      <c r="K130" s="8">
        <f t="shared" si="15"/>
        <v>0.47739025208210706</v>
      </c>
      <c r="L130" s="27"/>
    </row>
    <row r="131" spans="4:12" ht="11.25" customHeight="1" x14ac:dyDescent="0.2">
      <c r="D131" s="14">
        <v>1948</v>
      </c>
      <c r="E131" s="2">
        <v>211</v>
      </c>
      <c r="F131" s="6">
        <f t="shared" si="12"/>
        <v>19.870961397767935</v>
      </c>
      <c r="G131" s="8">
        <f t="shared" si="13"/>
        <v>0.79149394467213408</v>
      </c>
      <c r="H131" s="7">
        <v>26.783733610743184</v>
      </c>
      <c r="I131" s="8">
        <f t="shared" ca="1" si="14"/>
        <v>-2.1181517417739997</v>
      </c>
      <c r="J131" s="6">
        <f t="shared" ca="1" si="10"/>
        <v>20.339624517439283</v>
      </c>
      <c r="K131" s="8">
        <f t="shared" si="15"/>
        <v>0.49809956342463507</v>
      </c>
      <c r="L131" s="27"/>
    </row>
    <row r="132" spans="4:12" ht="11.25" customHeight="1" x14ac:dyDescent="0.2">
      <c r="D132" s="14">
        <v>1949</v>
      </c>
      <c r="E132" s="2">
        <v>219</v>
      </c>
      <c r="F132" s="6">
        <f t="shared" si="12"/>
        <v>20.089961397767937</v>
      </c>
      <c r="G132" s="8">
        <f t="shared" si="13"/>
        <v>0.82707555634546914</v>
      </c>
      <c r="H132" s="7">
        <v>26.778324727457264</v>
      </c>
      <c r="I132" s="8">
        <f t="shared" ca="1" si="14"/>
        <v>-2.1362995689050877</v>
      </c>
      <c r="J132" s="6">
        <f t="shared" ca="1" si="10"/>
        <v>20.555896799972611</v>
      </c>
      <c r="K132" s="8">
        <f t="shared" si="15"/>
        <v>0.51982255242161612</v>
      </c>
      <c r="L132" s="27"/>
    </row>
    <row r="133" spans="4:12" ht="11.25" customHeight="1" x14ac:dyDescent="0.2">
      <c r="D133" s="14">
        <v>1950</v>
      </c>
      <c r="E133" s="2">
        <v>220</v>
      </c>
      <c r="F133" s="6">
        <f t="shared" si="12"/>
        <v>20.309961397767935</v>
      </c>
      <c r="G133" s="8">
        <f t="shared" si="13"/>
        <v>0.863325821539071</v>
      </c>
      <c r="H133" s="7">
        <v>26.786891710933958</v>
      </c>
      <c r="I133" s="8">
        <f t="shared" ca="1" si="14"/>
        <v>-2.1359963231113852</v>
      </c>
      <c r="J133" s="6">
        <f t="shared" ca="1" si="10"/>
        <v>20.768873630087246</v>
      </c>
      <c r="K133" s="8">
        <f t="shared" si="15"/>
        <v>0.54189459265264361</v>
      </c>
      <c r="L133" s="27"/>
    </row>
    <row r="134" spans="4:12" ht="11.25" customHeight="1" x14ac:dyDescent="0.2">
      <c r="D134" s="14">
        <v>1951</v>
      </c>
      <c r="E134" s="2">
        <v>226</v>
      </c>
      <c r="F134" s="6">
        <f t="shared" si="12"/>
        <v>20.535961397767934</v>
      </c>
      <c r="G134" s="8">
        <f t="shared" si="13"/>
        <v>0.90112998585163717</v>
      </c>
      <c r="H134" s="7">
        <v>26.810989968541396</v>
      </c>
      <c r="I134" s="8">
        <f t="shared" ca="1" si="14"/>
        <v>-2.0928142094242048</v>
      </c>
      <c r="J134" s="6">
        <f t="shared" ca="1" si="10"/>
        <v>20.978493140742255</v>
      </c>
      <c r="K134" s="8">
        <f t="shared" si="15"/>
        <v>0.56484702641934448</v>
      </c>
      <c r="L134" s="27"/>
    </row>
    <row r="135" spans="4:12" ht="11.25" customHeight="1" x14ac:dyDescent="0.2">
      <c r="D135" s="14">
        <v>1952</v>
      </c>
      <c r="E135" s="2">
        <v>228</v>
      </c>
      <c r="F135" s="6">
        <f t="shared" si="12"/>
        <v>20.763961397767936</v>
      </c>
      <c r="G135" s="8">
        <f t="shared" si="13"/>
        <v>0.93989048995423452</v>
      </c>
      <c r="H135" s="7">
        <v>26.850282318011743</v>
      </c>
      <c r="I135" s="8">
        <f t="shared" ca="1" si="14"/>
        <v>-2.0232425013180091</v>
      </c>
      <c r="J135" s="6">
        <f t="shared" ca="1" si="10"/>
        <v>21.184699737340107</v>
      </c>
      <c r="K135" s="8">
        <f t="shared" si="15"/>
        <v>0.58830817796361834</v>
      </c>
      <c r="L135" s="27"/>
    </row>
    <row r="136" spans="4:12" ht="11.25" customHeight="1" x14ac:dyDescent="0.2">
      <c r="D136" s="14">
        <v>1953</v>
      </c>
      <c r="E136" s="2">
        <v>227</v>
      </c>
      <c r="F136" s="6">
        <f t="shared" si="12"/>
        <v>20.990961397767936</v>
      </c>
      <c r="G136" s="8">
        <f t="shared" si="13"/>
        <v>0.97914625582841452</v>
      </c>
      <c r="H136" s="7">
        <v>26.903168529701851</v>
      </c>
      <c r="I136" s="8">
        <f t="shared" ca="1" si="14"/>
        <v>-1.9400043564287444</v>
      </c>
      <c r="J136" s="6">
        <f t="shared" ca="1" si="10"/>
        <v>21.387444027763316</v>
      </c>
      <c r="K136" s="8">
        <f t="shared" si="15"/>
        <v>0.61199264306919388</v>
      </c>
      <c r="L136" s="27"/>
    </row>
    <row r="137" spans="4:12" ht="11.25" customHeight="1" x14ac:dyDescent="0.2">
      <c r="D137" s="14">
        <v>1954</v>
      </c>
      <c r="E137" s="2">
        <v>227</v>
      </c>
      <c r="F137" s="6">
        <f t="shared" si="12"/>
        <v>21.217961397767937</v>
      </c>
      <c r="G137" s="8">
        <f t="shared" si="13"/>
        <v>1.0191142367779567</v>
      </c>
      <c r="H137" s="7">
        <v>26.968528267084253</v>
      </c>
      <c r="I137" s="8">
        <f t="shared" ca="1" si="14"/>
        <v>-1.8371130849268411</v>
      </c>
      <c r="J137" s="6">
        <f t="shared" ca="1" si="10"/>
        <v>21.586682733052498</v>
      </c>
      <c r="K137" s="8">
        <f t="shared" si="15"/>
        <v>0.63602551363231674</v>
      </c>
      <c r="L137" s="27"/>
    </row>
    <row r="138" spans="4:12" ht="11.25" customHeight="1" x14ac:dyDescent="0.2">
      <c r="D138" s="14">
        <v>1955</v>
      </c>
      <c r="E138" s="2">
        <v>225</v>
      </c>
      <c r="F138" s="6">
        <f t="shared" si="12"/>
        <v>21.442961397767938</v>
      </c>
      <c r="G138" s="8">
        <f t="shared" si="13"/>
        <v>1.0594844524733003</v>
      </c>
      <c r="H138" s="7">
        <v>27.044521793878946</v>
      </c>
      <c r="I138" s="8">
        <f t="shared" ca="1" si="14"/>
        <v>-1.7231223988512738</v>
      </c>
      <c r="J138" s="6">
        <f t="shared" ca="1" si="10"/>
        <v>21.782378580048675</v>
      </c>
      <c r="K138" s="8">
        <f t="shared" si="15"/>
        <v>0.660214768543115</v>
      </c>
      <c r="L138" s="27"/>
    </row>
    <row r="139" spans="4:12" ht="11.25" customHeight="1" x14ac:dyDescent="0.2">
      <c r="D139" s="14">
        <v>1956</v>
      </c>
      <c r="E139" s="2">
        <v>226</v>
      </c>
      <c r="F139" s="6">
        <f t="shared" si="12"/>
        <v>21.668961397767937</v>
      </c>
      <c r="G139" s="8">
        <f t="shared" si="13"/>
        <v>1.1008462072396989</v>
      </c>
      <c r="H139" s="7">
        <v>27.130674325482666</v>
      </c>
      <c r="I139" s="8">
        <f t="shared" ca="1" si="14"/>
        <v>-1.5817708163569932</v>
      </c>
      <c r="J139" s="6">
        <f t="shared" ca="1" si="10"/>
        <v>21.974500177371521</v>
      </c>
      <c r="K139" s="8">
        <f t="shared" si="15"/>
        <v>0.68490683637048622</v>
      </c>
      <c r="L139" s="27"/>
    </row>
    <row r="140" spans="4:12" ht="11.25" customHeight="1" x14ac:dyDescent="0.2">
      <c r="D140" s="14">
        <v>1957</v>
      </c>
      <c r="E140" s="2">
        <v>227</v>
      </c>
      <c r="F140" s="6">
        <f t="shared" si="12"/>
        <v>21.895961397767937</v>
      </c>
      <c r="G140" s="8">
        <f t="shared" si="13"/>
        <v>1.1432719774214737</v>
      </c>
      <c r="H140" s="7">
        <v>27.226502725397655</v>
      </c>
      <c r="I140" s="8">
        <f t="shared" ref="I140:I171" ca="1" si="16" xml:space="preserve"> G140*(F$2-E$2)/LN(81) + AVERAGE(E$2:F$2) - D140</f>
        <v>-1.4110583983517699</v>
      </c>
      <c r="J140" s="6">
        <f t="shared" ref="J140:J203" ca="1" si="17">F$1/(1+EXP((AVERAGE(E$2:F$2)-D140)*LN(81)/(F$2-E$2)))</f>
        <v>22.163021876139993</v>
      </c>
      <c r="K140" s="8">
        <f t="shared" ref="K140:K171" si="18">NORMSINV(F140/F$5)</f>
        <v>0.71013587808193235</v>
      </c>
      <c r="L140" s="27"/>
    </row>
    <row r="141" spans="4:12" ht="11.25" customHeight="1" x14ac:dyDescent="0.2">
      <c r="D141" s="14">
        <v>1958</v>
      </c>
      <c r="E141" s="2">
        <v>219</v>
      </c>
      <c r="F141" s="6">
        <f t="shared" si="12"/>
        <v>22.114961397767939</v>
      </c>
      <c r="G141" s="8">
        <f t="shared" si="13"/>
        <v>1.1851028483857906</v>
      </c>
      <c r="H141" s="7">
        <v>27.328024130311725</v>
      </c>
      <c r="I141" s="8">
        <f t="shared" ca="1" si="16"/>
        <v>-1.2567618497193962</v>
      </c>
      <c r="J141" s="6">
        <f t="shared" ca="1" si="17"/>
        <v>22.347923616862257</v>
      </c>
      <c r="K141" s="8">
        <f t="shared" si="18"/>
        <v>0.73491170338083056</v>
      </c>
      <c r="L141" s="27"/>
    </row>
    <row r="142" spans="4:12" ht="11.25" customHeight="1" x14ac:dyDescent="0.2">
      <c r="D142" s="14">
        <v>1959</v>
      </c>
      <c r="E142" s="2">
        <v>209</v>
      </c>
      <c r="F142" s="6">
        <f t="shared" ref="F142:F192" si="19">F141+E142/1000</f>
        <v>22.323961397767938</v>
      </c>
      <c r="G142" s="8">
        <f t="shared" si="13"/>
        <v>1.2259101632447689</v>
      </c>
      <c r="H142" s="7">
        <v>27.431131234570138</v>
      </c>
      <c r="I142" s="8">
        <f t="shared" ca="1" si="16"/>
        <v>-1.130709687409535</v>
      </c>
      <c r="J142" s="6">
        <f t="shared" ca="1" si="17"/>
        <v>22.529190763929691</v>
      </c>
      <c r="K142" s="8">
        <f t="shared" si="18"/>
        <v>0.75898431417677437</v>
      </c>
      <c r="L142" s="27"/>
    </row>
    <row r="143" spans="4:12" ht="11.25" customHeight="1" x14ac:dyDescent="0.2">
      <c r="D143" s="14">
        <v>1960</v>
      </c>
      <c r="E143" s="2">
        <v>197</v>
      </c>
      <c r="F143" s="6">
        <f t="shared" si="19"/>
        <v>22.520961397767937</v>
      </c>
      <c r="G143" s="8">
        <f t="shared" si="13"/>
        <v>1.2652251116910262</v>
      </c>
      <c r="H143" s="7">
        <v>27.531741792266292</v>
      </c>
      <c r="I143" s="8">
        <f t="shared" ca="1" si="16"/>
        <v>-1.0458384367036615</v>
      </c>
      <c r="J143" s="6">
        <f t="shared" ca="1" si="17"/>
        <v>22.70681392914512</v>
      </c>
      <c r="K143" s="8">
        <f t="shared" si="18"/>
        <v>0.7820844501047397</v>
      </c>
      <c r="L143" s="27"/>
    </row>
    <row r="144" spans="4:12" ht="11.25" customHeight="1" x14ac:dyDescent="0.2">
      <c r="D144" s="14">
        <v>1961</v>
      </c>
      <c r="E144" s="2">
        <v>194</v>
      </c>
      <c r="F144" s="6">
        <f t="shared" si="19"/>
        <v>22.714961397767937</v>
      </c>
      <c r="G144" s="8">
        <f t="shared" si="13"/>
        <v>1.3048058671387606</v>
      </c>
      <c r="H144" s="7">
        <v>27.629903969459168</v>
      </c>
      <c r="I144" s="8">
        <f t="shared" ca="1" si="16"/>
        <v>-0.95363240913707159</v>
      </c>
      <c r="J144" s="6">
        <f t="shared" ca="1" si="17"/>
        <v>22.880788785699597</v>
      </c>
      <c r="K144" s="8">
        <f t="shared" si="18"/>
        <v>0.80524808594869834</v>
      </c>
      <c r="L144" s="27"/>
    </row>
    <row r="145" spans="4:12" ht="11.25" customHeight="1" x14ac:dyDescent="0.2">
      <c r="D145" s="14">
        <v>1962</v>
      </c>
      <c r="E145" s="2">
        <v>201</v>
      </c>
      <c r="F145" s="6">
        <f t="shared" si="19"/>
        <v>22.915961397767937</v>
      </c>
      <c r="G145" s="8">
        <f t="shared" si="13"/>
        <v>1.346785074276287</v>
      </c>
      <c r="H145" s="7">
        <v>27.729235377342821</v>
      </c>
      <c r="I145" s="8">
        <f t="shared" ca="1" si="16"/>
        <v>-0.79524261719348033</v>
      </c>
      <c r="J145" s="6">
        <f t="shared" ca="1" si="17"/>
        <v>23.051115873985879</v>
      </c>
      <c r="K145" s="8">
        <f t="shared" si="18"/>
        <v>0.82971237012164345</v>
      </c>
      <c r="L145" s="27"/>
    </row>
    <row r="146" spans="4:12" ht="11.25" customHeight="1" x14ac:dyDescent="0.2">
      <c r="D146" s="14">
        <v>1963</v>
      </c>
      <c r="E146" s="2">
        <v>199</v>
      </c>
      <c r="F146" s="6">
        <f t="shared" si="19"/>
        <v>23.114961397767939</v>
      </c>
      <c r="G146" s="8">
        <f t="shared" si="13"/>
        <v>1.389391655914934</v>
      </c>
      <c r="H146" s="7">
        <v>27.829486807023819</v>
      </c>
      <c r="I146" s="8">
        <f t="shared" ca="1" si="16"/>
        <v>-0.61954082087027018</v>
      </c>
      <c r="J146" s="6">
        <f t="shared" ca="1" si="17"/>
        <v>23.217800400601416</v>
      </c>
      <c r="K146" s="8">
        <f t="shared" si="18"/>
        <v>0.85443253650494611</v>
      </c>
      <c r="L146" s="27"/>
    </row>
    <row r="147" spans="4:12" ht="11.25" customHeight="1" x14ac:dyDescent="0.2">
      <c r="D147" s="14">
        <v>1964</v>
      </c>
      <c r="E147" s="2">
        <v>198</v>
      </c>
      <c r="F147" s="6">
        <f t="shared" si="19"/>
        <v>23.312961397767939</v>
      </c>
      <c r="G147" s="8">
        <f t="shared" si="13"/>
        <v>1.4328954030026495</v>
      </c>
      <c r="H147" s="7">
        <v>27.930788087686103</v>
      </c>
      <c r="I147" s="8">
        <f t="shared" ca="1" si="16"/>
        <v>-0.41908230881199415</v>
      </c>
      <c r="J147" s="6">
        <f t="shared" ca="1" si="17"/>
        <v>23.380852031849891</v>
      </c>
      <c r="K147" s="8">
        <f t="shared" si="18"/>
        <v>0.87955790523058486</v>
      </c>
      <c r="L147" s="27"/>
    </row>
    <row r="148" spans="4:12" ht="11.25" customHeight="1" x14ac:dyDescent="0.2">
      <c r="D148" s="14">
        <v>1965</v>
      </c>
      <c r="E148" s="2">
        <v>192</v>
      </c>
      <c r="F148" s="6">
        <f t="shared" si="19"/>
        <v>23.504961397767939</v>
      </c>
      <c r="G148" s="8">
        <f t="shared" si="13"/>
        <v>1.4762216943909705</v>
      </c>
      <c r="H148" s="7">
        <v>28.031520035077431</v>
      </c>
      <c r="I148" s="8">
        <f t="shared" ca="1" si="16"/>
        <v>-0.22352057505690937</v>
      </c>
      <c r="J148" s="6">
        <f t="shared" ca="1" si="17"/>
        <v>23.540284682999729</v>
      </c>
      <c r="K148" s="8">
        <f t="shared" si="18"/>
        <v>0.90446384894336918</v>
      </c>
      <c r="L148" s="27"/>
    </row>
    <row r="149" spans="4:12" ht="11.25" customHeight="1" x14ac:dyDescent="0.2">
      <c r="D149" s="14">
        <v>1966</v>
      </c>
      <c r="E149" s="2">
        <v>179</v>
      </c>
      <c r="F149" s="6">
        <f t="shared" si="19"/>
        <v>23.683961397767938</v>
      </c>
      <c r="G149" s="8">
        <f t="shared" si="13"/>
        <v>1.5177042257170346</v>
      </c>
      <c r="H149" s="7">
        <v>28.128015079156736</v>
      </c>
      <c r="I149" s="8">
        <f t="shared" ca="1" si="16"/>
        <v>-7.8836239436441247E-2</v>
      </c>
      <c r="J149" s="6">
        <f t="shared" ca="1" si="17"/>
        <v>23.696116304501047</v>
      </c>
      <c r="K149" s="8">
        <f t="shared" si="18"/>
        <v>0.92819967708800721</v>
      </c>
      <c r="L149" s="27"/>
    </row>
    <row r="150" spans="4:12" ht="11.25" customHeight="1" x14ac:dyDescent="0.2">
      <c r="D150" s="14">
        <v>1967</v>
      </c>
      <c r="E150" s="2">
        <v>178</v>
      </c>
      <c r="F150" s="6">
        <f t="shared" si="19"/>
        <v>23.861961397767939</v>
      </c>
      <c r="G150" s="8">
        <f t="shared" si="13"/>
        <v>1.5600776301236525</v>
      </c>
      <c r="H150" s="7">
        <v>28.221306043554165</v>
      </c>
      <c r="I150" s="8">
        <f t="shared" ca="1" si="16"/>
        <v>9.0431177971368015E-2</v>
      </c>
      <c r="J150" s="6">
        <f t="shared" ca="1" si="17"/>
        <v>23.848368666300711</v>
      </c>
      <c r="K150" s="8">
        <f t="shared" si="18"/>
        <v>0.95233317821542862</v>
      </c>
      <c r="L150" s="27"/>
    </row>
    <row r="151" spans="4:12" ht="11.25" customHeight="1" x14ac:dyDescent="0.2">
      <c r="D151" s="14">
        <v>1968</v>
      </c>
      <c r="E151" s="2">
        <v>170</v>
      </c>
      <c r="F151" s="6">
        <f t="shared" si="19"/>
        <v>24.03196139776794</v>
      </c>
      <c r="G151" s="8">
        <f t="shared" si="13"/>
        <v>1.6016707686479195</v>
      </c>
      <c r="H151" s="7">
        <v>28.309990861408149</v>
      </c>
      <c r="I151" s="8">
        <f t="shared" ca="1" si="16"/>
        <v>0.2381676495906504</v>
      </c>
      <c r="J151" s="6">
        <f t="shared" ca="1" si="17"/>
        <v>23.997067141329161</v>
      </c>
      <c r="K151" s="8">
        <f t="shared" si="18"/>
        <v>0.97591155755918557</v>
      </c>
      <c r="L151" s="27"/>
    </row>
    <row r="152" spans="4:12" ht="11.25" customHeight="1" x14ac:dyDescent="0.2">
      <c r="D152" s="14">
        <v>1969</v>
      </c>
      <c r="E152" s="2">
        <v>156</v>
      </c>
      <c r="F152" s="6">
        <f t="shared" si="19"/>
        <v>24.187961397767939</v>
      </c>
      <c r="G152" s="8">
        <f t="shared" si="13"/>
        <v>1.6408768152353346</v>
      </c>
      <c r="H152" s="7">
        <v>28.391123686006335</v>
      </c>
      <c r="I152" s="8">
        <f t="shared" ca="1" si="16"/>
        <v>0.32003382206357855</v>
      </c>
      <c r="J152" s="6">
        <f t="shared" ca="1" si="17"/>
        <v>24.142240489163804</v>
      </c>
      <c r="K152" s="8">
        <f t="shared" si="18"/>
        <v>0.99803591696873484</v>
      </c>
      <c r="L152" s="27"/>
    </row>
    <row r="153" spans="4:12" ht="11.25" customHeight="1" x14ac:dyDescent="0.2">
      <c r="D153" s="14">
        <v>1970</v>
      </c>
      <c r="E153" s="2">
        <v>147</v>
      </c>
      <c r="F153" s="6">
        <f t="shared" si="19"/>
        <v>24.334961397767938</v>
      </c>
      <c r="G153" s="8">
        <f t="shared" si="13"/>
        <v>1.6787955265366661</v>
      </c>
      <c r="H153" s="7">
        <v>28.46396080784606</v>
      </c>
      <c r="I153" s="8">
        <f t="shared" ca="1" si="16"/>
        <v>0.36637678778993177</v>
      </c>
      <c r="J153" s="6">
        <f t="shared" ca="1" si="17"/>
        <v>24.28392064080241</v>
      </c>
      <c r="K153" s="8">
        <f t="shared" si="18"/>
        <v>1.0193405024851976</v>
      </c>
      <c r="L153" s="27"/>
    </row>
    <row r="154" spans="4:12" ht="11.25" customHeight="1" x14ac:dyDescent="0.2">
      <c r="D154" s="14">
        <v>1971</v>
      </c>
      <c r="E154" s="2">
        <v>149</v>
      </c>
      <c r="F154" s="6">
        <f t="shared" si="19"/>
        <v>24.483961397767938</v>
      </c>
      <c r="G154" s="8">
        <f t="shared" si="13"/>
        <v>1.7182632582078701</v>
      </c>
      <c r="H154" s="7">
        <v>28.531147249636465</v>
      </c>
      <c r="I154" s="8">
        <f t="shared" ca="1" si="16"/>
        <v>0.45546399539989579</v>
      </c>
      <c r="J154" s="6">
        <f t="shared" ca="1" si="17"/>
        <v>24.422142485407779</v>
      </c>
      <c r="K154" s="8">
        <f t="shared" si="18"/>
        <v>1.0414177990018203</v>
      </c>
      <c r="L154" s="27"/>
    </row>
    <row r="155" spans="4:12" ht="11.25" customHeight="1" x14ac:dyDescent="0.2">
      <c r="D155" s="14">
        <v>1972</v>
      </c>
      <c r="E155" s="2">
        <v>122</v>
      </c>
      <c r="F155" s="6">
        <f t="shared" si="19"/>
        <v>24.605961397767938</v>
      </c>
      <c r="G155" s="8">
        <f t="shared" si="13"/>
        <v>1.7514054641126604</v>
      </c>
      <c r="H155" s="7">
        <v>28.586715979791386</v>
      </c>
      <c r="I155" s="8">
        <f t="shared" ca="1" si="16"/>
        <v>0.37000230187209127</v>
      </c>
      <c r="J155" s="6">
        <f t="shared" ca="1" si="17"/>
        <v>24.556943659811594</v>
      </c>
      <c r="K155" s="8">
        <f t="shared" si="18"/>
        <v>1.0598798097497257</v>
      </c>
      <c r="L155" s="27"/>
    </row>
    <row r="156" spans="4:12" ht="11.25" customHeight="1" x14ac:dyDescent="0.2">
      <c r="D156" s="14">
        <v>1973</v>
      </c>
      <c r="E156" s="2">
        <v>132</v>
      </c>
      <c r="F156" s="6">
        <f t="shared" si="19"/>
        <v>24.73796139776794</v>
      </c>
      <c r="G156" s="8">
        <f t="shared" si="13"/>
        <v>1.7881579020853926</v>
      </c>
      <c r="H156" s="7">
        <v>28.636003159231581</v>
      </c>
      <c r="I156" s="8">
        <f t="shared" ca="1" si="16"/>
        <v>0.38416268935088738</v>
      </c>
      <c r="J156" s="6">
        <f t="shared" ca="1" si="17"/>
        <v>24.688364341492775</v>
      </c>
      <c r="K156" s="8">
        <f t="shared" si="18"/>
        <v>1.0802708198462943</v>
      </c>
      <c r="L156" s="27"/>
    </row>
    <row r="157" spans="4:12" ht="11.25" customHeight="1" x14ac:dyDescent="0.2">
      <c r="D157" s="14">
        <v>1974</v>
      </c>
      <c r="E157" s="2">
        <v>110</v>
      </c>
      <c r="F157" s="6">
        <f t="shared" si="19"/>
        <v>24.847961397767939</v>
      </c>
      <c r="G157" s="8">
        <f t="shared" si="13"/>
        <v>1.8195381176723702</v>
      </c>
      <c r="H157" s="7">
        <v>28.675005887138187</v>
      </c>
      <c r="I157" s="8">
        <f t="shared" ca="1" si="16"/>
        <v>0.25007998230648809</v>
      </c>
      <c r="J157" s="6">
        <f t="shared" ca="1" si="17"/>
        <v>24.816447045673545</v>
      </c>
      <c r="K157" s="8">
        <f t="shared" si="18"/>
        <v>1.0976129598890936</v>
      </c>
      <c r="L157" s="27"/>
    </row>
    <row r="158" spans="4:12" ht="11.25" customHeight="1" x14ac:dyDescent="0.2">
      <c r="D158" s="14">
        <v>1975</v>
      </c>
      <c r="E158" s="2">
        <v>129</v>
      </c>
      <c r="F158" s="6">
        <f t="shared" si="19"/>
        <v>24.976961397767941</v>
      </c>
      <c r="G158" s="8">
        <f t="shared" si="13"/>
        <v>1.857267196866065</v>
      </c>
      <c r="H158" s="7">
        <v>28.710735616928151</v>
      </c>
      <c r="I158" s="8">
        <f t="shared" ca="1" si="16"/>
        <v>0.2911901694099015</v>
      </c>
      <c r="J158" s="6">
        <f t="shared" ca="1" si="17"/>
        <v>24.941236427105661</v>
      </c>
      <c r="K158" s="8">
        <f t="shared" si="18"/>
        <v>1.1183807020455916</v>
      </c>
      <c r="L158" s="27"/>
    </row>
    <row r="159" spans="4:12" ht="11.25" customHeight="1" x14ac:dyDescent="0.2">
      <c r="D159" s="14">
        <v>1976</v>
      </c>
      <c r="E159" s="2">
        <v>124</v>
      </c>
      <c r="F159" s="6">
        <f t="shared" si="19"/>
        <v>25.100961397767939</v>
      </c>
      <c r="G159" s="8">
        <f t="shared" si="13"/>
        <v>1.8945403151793754</v>
      </c>
      <c r="H159" s="7">
        <v>28.743069163547347</v>
      </c>
      <c r="I159" s="8">
        <f t="shared" ca="1" si="16"/>
        <v>0.31971840308028732</v>
      </c>
      <c r="J159" s="6">
        <f t="shared" ca="1" si="17"/>
        <v>25.06277908705064</v>
      </c>
      <c r="K159" s="8">
        <f t="shared" si="18"/>
        <v>1.1388086487528588</v>
      </c>
      <c r="L159" s="27"/>
    </row>
    <row r="160" spans="4:12" ht="11.25" customHeight="1" x14ac:dyDescent="0.2">
      <c r="D160" s="14">
        <v>1977</v>
      </c>
      <c r="E160" s="2">
        <v>122</v>
      </c>
      <c r="F160" s="6">
        <f t="shared" si="19"/>
        <v>25.222961397767939</v>
      </c>
      <c r="G160" s="8">
        <f t="shared" si="13"/>
        <v>1.9322417020849354</v>
      </c>
      <c r="H160" s="7">
        <v>28.7726316196885</v>
      </c>
      <c r="I160" s="8">
        <f t="shared" ca="1" si="16"/>
        <v>0.36006443892711104</v>
      </c>
      <c r="J160" s="6">
        <f t="shared" ca="1" si="17"/>
        <v>25.181123385891258</v>
      </c>
      <c r="K160" s="8">
        <f t="shared" si="18"/>
        <v>1.1593818530100173</v>
      </c>
      <c r="L160" s="27"/>
    </row>
    <row r="161" spans="3:12" ht="11.25" customHeight="1" x14ac:dyDescent="0.2">
      <c r="D161" s="14">
        <v>1978</v>
      </c>
      <c r="E161" s="2">
        <v>122</v>
      </c>
      <c r="F161" s="6">
        <f t="shared" si="19"/>
        <v>25.344961397767939</v>
      </c>
      <c r="G161" s="8">
        <f t="shared" si="13"/>
        <v>1.9710357691931673</v>
      </c>
      <c r="H161" s="7">
        <v>28.8004098857297</v>
      </c>
      <c r="I161" s="8">
        <f t="shared" ca="1" si="16"/>
        <v>0.4305622970434797</v>
      </c>
      <c r="J161" s="6">
        <f t="shared" ca="1" si="17"/>
        <v>25.296319261747708</v>
      </c>
      <c r="K161" s="8">
        <f t="shared" si="18"/>
        <v>1.1804578449568128</v>
      </c>
      <c r="L161" s="27"/>
    </row>
    <row r="162" spans="3:12" ht="11.25" customHeight="1" x14ac:dyDescent="0.2">
      <c r="D162" s="14">
        <v>1979</v>
      </c>
      <c r="E162" s="2">
        <v>121</v>
      </c>
      <c r="F162" s="6">
        <f t="shared" si="19"/>
        <v>25.465961397767938</v>
      </c>
      <c r="G162" s="8">
        <f t="shared" si="13"/>
        <v>2.010668670010701</v>
      </c>
      <c r="H162" s="7">
        <v>28.82700843173582</v>
      </c>
      <c r="I162" s="8">
        <f t="shared" ca="1" si="16"/>
        <v>0.52420724326020718</v>
      </c>
      <c r="J162" s="6">
        <f t="shared" ca="1" si="17"/>
        <v>25.40841805541103</v>
      </c>
      <c r="K162" s="8">
        <f t="shared" si="18"/>
        <v>1.2018922131643905</v>
      </c>
      <c r="L162" s="27"/>
    </row>
    <row r="163" spans="3:12" ht="11.25" customHeight="1" x14ac:dyDescent="0.2">
      <c r="D163" s="14">
        <v>1980</v>
      </c>
      <c r="E163" s="2">
        <v>130</v>
      </c>
      <c r="F163" s="6">
        <f t="shared" si="19"/>
        <v>25.595961397767937</v>
      </c>
      <c r="G163" s="8">
        <f t="shared" si="13"/>
        <v>2.0546309226914321</v>
      </c>
      <c r="H163" s="7">
        <v>28.855227058803589</v>
      </c>
      <c r="I163" s="8">
        <f t="shared" ca="1" si="16"/>
        <v>0.73731792849457634</v>
      </c>
      <c r="J163" s="6">
        <f t="shared" ca="1" si="17"/>
        <v>25.517472341848716</v>
      </c>
      <c r="K163" s="8">
        <f t="shared" si="18"/>
        <v>1.225553713116601</v>
      </c>
      <c r="L163" s="27"/>
    </row>
    <row r="164" spans="3:12" ht="11.25" customHeight="1" x14ac:dyDescent="0.2">
      <c r="D164" s="14">
        <v>1981</v>
      </c>
      <c r="E164" s="2">
        <v>127.47</v>
      </c>
      <c r="F164" s="6">
        <f t="shared" si="19"/>
        <v>25.723431397767936</v>
      </c>
      <c r="G164" s="8">
        <f t="shared" si="13"/>
        <v>2.0992383708041027</v>
      </c>
      <c r="H164" s="7">
        <v>28.884860774699398</v>
      </c>
      <c r="I164" s="8">
        <f t="shared" ca="1" si="16"/>
        <v>0.96823237547505414</v>
      </c>
      <c r="J164" s="6">
        <f t="shared" ca="1" si="17"/>
        <v>25.623535768482959</v>
      </c>
      <c r="K164" s="8">
        <f t="shared" si="18"/>
        <v>1.2494406605281481</v>
      </c>
      <c r="L164" s="27"/>
    </row>
    <row r="165" spans="3:12" ht="11.25" customHeight="1" x14ac:dyDescent="0.2">
      <c r="D165" s="14">
        <v>1982</v>
      </c>
      <c r="E165" s="2">
        <v>124.71</v>
      </c>
      <c r="F165" s="6">
        <f t="shared" si="19"/>
        <v>25.848141397767936</v>
      </c>
      <c r="G165" s="8">
        <f t="shared" si="13"/>
        <v>2.1444388860971277</v>
      </c>
      <c r="H165" s="7">
        <v>28.915657268267747</v>
      </c>
      <c r="I165" s="8">
        <f t="shared" ca="1" si="16"/>
        <v>1.2155121379178127</v>
      </c>
      <c r="J165" s="6">
        <f t="shared" ca="1" si="17"/>
        <v>25.726662900391318</v>
      </c>
      <c r="K165" s="8">
        <f t="shared" si="18"/>
        <v>1.2735212959307358</v>
      </c>
      <c r="L165" s="27"/>
    </row>
    <row r="166" spans="3:12" ht="11.25" customHeight="1" x14ac:dyDescent="0.2">
      <c r="D166" s="14">
        <v>1983</v>
      </c>
      <c r="E166" s="2">
        <v>119.25</v>
      </c>
      <c r="F166" s="6">
        <f t="shared" si="19"/>
        <v>25.967391397767937</v>
      </c>
      <c r="G166" s="8">
        <f t="shared" si="13"/>
        <v>2.1892248643999164</v>
      </c>
      <c r="H166" s="7">
        <v>28.946756321413311</v>
      </c>
      <c r="I166" s="8">
        <f t="shared" ca="1" si="16"/>
        <v>1.4513530130966501</v>
      </c>
      <c r="J166" s="6">
        <f t="shared" ca="1" si="17"/>
        <v>25.826909072532178</v>
      </c>
      <c r="K166" s="8">
        <f t="shared" si="18"/>
        <v>1.2972594865210461</v>
      </c>
      <c r="L166" s="27"/>
    </row>
    <row r="167" spans="3:12" ht="11.25" customHeight="1" x14ac:dyDescent="0.2">
      <c r="D167" s="14">
        <v>1984</v>
      </c>
      <c r="E167" s="2">
        <v>51.18</v>
      </c>
      <c r="F167" s="6">
        <f t="shared" si="19"/>
        <v>26.018571397767936</v>
      </c>
      <c r="G167" s="8">
        <f t="shared" si="13"/>
        <v>2.2089475920102548</v>
      </c>
      <c r="H167" s="7">
        <v>28.963741115581403</v>
      </c>
      <c r="I167" s="8">
        <f t="shared" ca="1" si="16"/>
        <v>0.99558926458780661</v>
      </c>
      <c r="J167" s="6">
        <f t="shared" ca="1" si="17"/>
        <v>25.924330249053625</v>
      </c>
      <c r="K167" s="8">
        <f t="shared" si="18"/>
        <v>1.307675250529533</v>
      </c>
      <c r="L167" s="27"/>
    </row>
    <row r="168" spans="3:12" ht="11.25" customHeight="1" x14ac:dyDescent="0.2">
      <c r="D168" s="14">
        <v>1985</v>
      </c>
      <c r="E168" s="2">
        <v>94.11</v>
      </c>
      <c r="F168" s="6">
        <f t="shared" si="19"/>
        <v>26.112681397767936</v>
      </c>
      <c r="G168" s="8">
        <f t="shared" si="13"/>
        <v>2.2460498934946651</v>
      </c>
      <c r="H168" s="7">
        <v>28.978374936849296</v>
      </c>
      <c r="I168" s="8">
        <f t="shared" ca="1" si="16"/>
        <v>1.0194039154066559</v>
      </c>
      <c r="J168" s="6">
        <f t="shared" ca="1" si="17"/>
        <v>26.018982889704418</v>
      </c>
      <c r="K168" s="8">
        <f t="shared" si="18"/>
        <v>1.3272070193984864</v>
      </c>
      <c r="L168" s="27"/>
    </row>
    <row r="169" spans="3:12" ht="11.25" customHeight="1" x14ac:dyDescent="0.2">
      <c r="C169" s="6"/>
      <c r="D169" s="14">
        <v>1986</v>
      </c>
      <c r="E169" s="2">
        <v>108.1</v>
      </c>
      <c r="F169" s="6">
        <f t="shared" si="19"/>
        <v>26.220781397767936</v>
      </c>
      <c r="G169" s="8">
        <f t="shared" si="13"/>
        <v>2.29008895195257</v>
      </c>
      <c r="H169" s="7">
        <v>28.994306043463052</v>
      </c>
      <c r="I169" s="8">
        <f t="shared" ca="1" si="16"/>
        <v>1.2346340077072</v>
      </c>
      <c r="J169" s="6">
        <f t="shared" ca="1" si="17"/>
        <v>26.110923823328864</v>
      </c>
      <c r="K169" s="8">
        <f t="shared" si="18"/>
        <v>1.3502860492674553</v>
      </c>
      <c r="L169" s="27"/>
    </row>
    <row r="170" spans="3:12" ht="11.25" customHeight="1" x14ac:dyDescent="0.2">
      <c r="C170" s="6"/>
      <c r="D170" s="14">
        <v>1987</v>
      </c>
      <c r="E170" s="2">
        <v>104.53</v>
      </c>
      <c r="F170" s="6">
        <f t="shared" si="19"/>
        <v>26.325311397767937</v>
      </c>
      <c r="G170" s="8">
        <f t="shared" si="13"/>
        <v>2.334233792883567</v>
      </c>
      <c r="H170" s="7">
        <v>29.01115122342657</v>
      </c>
      <c r="I170" s="8">
        <f t="shared" ca="1" si="16"/>
        <v>1.4527831007549139</v>
      </c>
      <c r="J170" s="6">
        <f t="shared" ca="1" si="17"/>
        <v>26.200210128394609</v>
      </c>
      <c r="K170" s="8">
        <f t="shared" si="18"/>
        <v>1.3733083927418379</v>
      </c>
      <c r="L170" s="27"/>
    </row>
    <row r="171" spans="3:12" ht="11.25" customHeight="1" x14ac:dyDescent="0.2">
      <c r="C171" s="6"/>
      <c r="D171" s="14">
        <v>1988</v>
      </c>
      <c r="E171" s="2">
        <v>104.07</v>
      </c>
      <c r="F171" s="6">
        <f t="shared" si="19"/>
        <v>26.429381397767937</v>
      </c>
      <c r="G171" s="8">
        <f t="shared" si="13"/>
        <v>2.3798385018236332</v>
      </c>
      <c r="H171" s="7">
        <v>29.029193133469999</v>
      </c>
      <c r="I171" s="8">
        <f t="shared" ca="1" si="16"/>
        <v>1.7112163324179619</v>
      </c>
      <c r="J171" s="6">
        <f t="shared" ca="1" si="17"/>
        <v>26.286899020472251</v>
      </c>
      <c r="K171" s="8">
        <f t="shared" si="18"/>
        <v>1.3969762058256021</v>
      </c>
      <c r="L171" s="27"/>
    </row>
    <row r="172" spans="3:12" ht="11.25" customHeight="1" x14ac:dyDescent="0.2">
      <c r="C172" s="6"/>
      <c r="D172" s="14">
        <v>1989</v>
      </c>
      <c r="E172" s="2">
        <v>99.82</v>
      </c>
      <c r="F172" s="6">
        <f t="shared" si="19"/>
        <v>26.529201397767938</v>
      </c>
      <c r="G172" s="8">
        <f t="shared" ref="G172:G192" si="20" xml:space="preserve"> -LN(F$1/F172-1)</f>
        <v>2.425265989784485</v>
      </c>
      <c r="H172" s="7">
        <v>29.047886902988559</v>
      </c>
      <c r="I172" s="8">
        <f t="shared" ref="I172:I192" ca="1" si="21" xml:space="preserve"> G172*(F$2-E$2)/LN(81) + AVERAGE(E$2:F$2) - D172</f>
        <v>1.964759262733196</v>
      </c>
      <c r="J172" s="6">
        <f t="shared" ca="1" si="17"/>
        <v>26.371047746559551</v>
      </c>
      <c r="K172" s="8">
        <f t="shared" ref="K172:K192" si="22">NORMSINV(F172/F$5)</f>
        <v>1.4204371565380183</v>
      </c>
      <c r="L172" s="27"/>
    </row>
    <row r="173" spans="3:12" ht="11.25" customHeight="1" x14ac:dyDescent="0.2">
      <c r="C173" s="6"/>
      <c r="D173" s="14">
        <v>1990</v>
      </c>
      <c r="E173" s="2">
        <v>92.76</v>
      </c>
      <c r="F173" s="6">
        <f t="shared" si="19"/>
        <v>26.621961397767937</v>
      </c>
      <c r="G173" s="8">
        <f t="shared" si="20"/>
        <v>2.4690879406457649</v>
      </c>
      <c r="H173" s="7">
        <v>29.066160613194654</v>
      </c>
      <c r="I173" s="8">
        <f t="shared" ca="1" si="21"/>
        <v>2.1739984075902612</v>
      </c>
      <c r="J173" s="6">
        <f t="shared" ca="1" si="17"/>
        <v>26.452713486119343</v>
      </c>
      <c r="K173" s="8">
        <f t="shared" si="22"/>
        <v>1.4429624677315145</v>
      </c>
      <c r="L173" s="27"/>
    </row>
    <row r="174" spans="3:12" ht="11.25" customHeight="1" x14ac:dyDescent="0.2">
      <c r="C174" s="6"/>
      <c r="D174" s="14">
        <v>1991</v>
      </c>
      <c r="E174" s="2">
        <v>94.2</v>
      </c>
      <c r="F174" s="6">
        <f t="shared" si="19"/>
        <v>26.716161397767937</v>
      </c>
      <c r="G174" s="8">
        <f t="shared" si="20"/>
        <v>2.5153134417723293</v>
      </c>
      <c r="H174" s="7">
        <v>29.084801535784443</v>
      </c>
      <c r="I174" s="8">
        <f t="shared" ca="1" si="21"/>
        <v>2.44956200880506</v>
      </c>
      <c r="J174" s="6">
        <f t="shared" ca="1" si="17"/>
        <v>26.531953258680002</v>
      </c>
      <c r="K174" s="8">
        <f t="shared" si="22"/>
        <v>1.466612430695023</v>
      </c>
      <c r="L174" s="27"/>
    </row>
    <row r="175" spans="3:12" ht="11.25" customHeight="1" x14ac:dyDescent="0.2">
      <c r="C175" s="6"/>
      <c r="D175" s="14">
        <v>1992</v>
      </c>
      <c r="E175" s="2">
        <v>84.49</v>
      </c>
      <c r="F175" s="6">
        <f t="shared" si="19"/>
        <v>26.800651397767936</v>
      </c>
      <c r="G175" s="8">
        <f t="shared" si="20"/>
        <v>2.5583785001110986</v>
      </c>
      <c r="H175" s="7">
        <v>29.102230221875068</v>
      </c>
      <c r="I175" s="8">
        <f t="shared" ca="1" si="21"/>
        <v>2.6379151810233452</v>
      </c>
      <c r="J175" s="6">
        <f t="shared" ca="1" si="17"/>
        <v>26.608823837829753</v>
      </c>
      <c r="K175" s="8">
        <f t="shared" si="22"/>
        <v>1.4885454527047384</v>
      </c>
      <c r="L175" s="27"/>
    </row>
    <row r="176" spans="3:12" ht="11.25" customHeight="1" x14ac:dyDescent="0.2">
      <c r="C176" s="6"/>
      <c r="D176" s="14">
        <v>1993</v>
      </c>
      <c r="E176" s="2">
        <v>68.2</v>
      </c>
      <c r="F176" s="6">
        <f t="shared" si="19"/>
        <v>26.868851397767937</v>
      </c>
      <c r="G176" s="8">
        <f t="shared" si="20"/>
        <v>2.5943367812710001</v>
      </c>
      <c r="H176" s="7">
        <v>29.115828149755671</v>
      </c>
      <c r="I176" s="8">
        <f t="shared" ca="1" si="21"/>
        <v>2.6301613112325413</v>
      </c>
      <c r="J176" s="6">
        <f t="shared" ca="1" si="17"/>
        <v>26.683381671421145</v>
      </c>
      <c r="K176" s="8">
        <f t="shared" si="22"/>
        <v>1.506786846618118</v>
      </c>
      <c r="L176" s="27"/>
    </row>
    <row r="177" spans="3:12" ht="11.25" customHeight="1" x14ac:dyDescent="0.2">
      <c r="C177" s="6"/>
      <c r="D177" s="14">
        <v>1994</v>
      </c>
      <c r="E177" s="2">
        <v>48.97</v>
      </c>
      <c r="F177" s="6">
        <f t="shared" si="19"/>
        <v>26.917821397767938</v>
      </c>
      <c r="G177" s="8">
        <f t="shared" si="20"/>
        <v>2.6208601375070071</v>
      </c>
      <c r="H177" s="7">
        <v>29.123019222808249</v>
      </c>
      <c r="I177" s="8">
        <f t="shared" ca="1" si="21"/>
        <v>2.3620566281501851</v>
      </c>
      <c r="J177" s="6">
        <f t="shared" ca="1" si="17"/>
        <v>26.755682807789505</v>
      </c>
      <c r="K177" s="8">
        <f t="shared" si="22"/>
        <v>1.5202007813875458</v>
      </c>
      <c r="L177" s="27"/>
    </row>
    <row r="178" spans="3:12" ht="11.25" customHeight="1" x14ac:dyDescent="0.2">
      <c r="C178" s="6"/>
      <c r="D178" s="14">
        <v>1995</v>
      </c>
      <c r="E178" s="2">
        <v>53.04</v>
      </c>
      <c r="F178" s="6">
        <f t="shared" si="19"/>
        <v>26.970861397767937</v>
      </c>
      <c r="G178" s="8">
        <f t="shared" si="20"/>
        <v>2.6502910374580417</v>
      </c>
      <c r="H178" s="7">
        <v>29.125923706233824</v>
      </c>
      <c r="I178" s="8">
        <f t="shared" ca="1" si="21"/>
        <v>2.1741837833701538</v>
      </c>
      <c r="J178" s="6">
        <f t="shared" ca="1" si="17"/>
        <v>26.825782827779275</v>
      </c>
      <c r="K178" s="8">
        <f t="shared" si="22"/>
        <v>1.5350450540829823</v>
      </c>
      <c r="L178" s="27"/>
    </row>
    <row r="179" spans="3:12" ht="11.25" customHeight="1" x14ac:dyDescent="0.2">
      <c r="C179" s="6"/>
      <c r="D179" s="14">
        <v>1996</v>
      </c>
      <c r="E179" s="2">
        <v>50.2</v>
      </c>
      <c r="F179" s="6">
        <f t="shared" si="19"/>
        <v>27.021061397767937</v>
      </c>
      <c r="G179" s="8">
        <f t="shared" si="20"/>
        <v>2.6788561426802091</v>
      </c>
      <c r="H179" s="7">
        <v>29.125056403921096</v>
      </c>
      <c r="I179" s="8">
        <f t="shared" ca="1" si="21"/>
        <v>1.9624198781289124</v>
      </c>
      <c r="J179" s="6">
        <f t="shared" ca="1" si="17"/>
        <v>26.893736782363831</v>
      </c>
      <c r="K179" s="8">
        <f t="shared" si="22"/>
        <v>1.5494130396805712</v>
      </c>
      <c r="L179" s="27"/>
    </row>
    <row r="180" spans="3:12" ht="11.25" customHeight="1" x14ac:dyDescent="0.2">
      <c r="C180" s="6"/>
      <c r="D180" s="14">
        <v>1997</v>
      </c>
      <c r="E180" s="2">
        <v>48.5</v>
      </c>
      <c r="F180" s="6">
        <f t="shared" si="19"/>
        <v>27.069561397767938</v>
      </c>
      <c r="G180" s="8">
        <f t="shared" si="20"/>
        <v>2.7071461897612727</v>
      </c>
      <c r="H180" s="7">
        <v>29.121017728055367</v>
      </c>
      <c r="I180" s="8">
        <f t="shared" ca="1" si="21"/>
        <v>1.7430659166534497</v>
      </c>
      <c r="J180" s="6">
        <f t="shared" ca="1" si="17"/>
        <v>26.95959913563869</v>
      </c>
      <c r="K180" s="8">
        <f t="shared" si="22"/>
        <v>1.5636050074063734</v>
      </c>
      <c r="L180" s="27"/>
    </row>
    <row r="181" spans="3:12" ht="11.25" customHeight="1" x14ac:dyDescent="0.2">
      <c r="C181" s="6"/>
      <c r="D181" s="14">
        <v>1998</v>
      </c>
      <c r="E181" s="2">
        <v>41.178000000000004</v>
      </c>
      <c r="F181" s="6">
        <f t="shared" si="19"/>
        <v>27.110739397767937</v>
      </c>
      <c r="G181" s="8">
        <f t="shared" si="20"/>
        <v>2.731727363186053</v>
      </c>
      <c r="H181" s="7">
        <v>29.113463263230269</v>
      </c>
      <c r="I181" s="8">
        <f t="shared" ca="1" si="21"/>
        <v>1.4213679216429682</v>
      </c>
      <c r="J181" s="6">
        <f t="shared" ca="1" si="17"/>
        <v>27.023423712963577</v>
      </c>
      <c r="K181" s="8">
        <f t="shared" si="22"/>
        <v>1.5759065618996897</v>
      </c>
      <c r="L181" s="27"/>
    </row>
    <row r="182" spans="3:12" ht="11.25" customHeight="1" x14ac:dyDescent="0.2">
      <c r="C182" s="6"/>
      <c r="D182" s="14">
        <v>1999</v>
      </c>
      <c r="E182" s="2">
        <v>37.076999999999998</v>
      </c>
      <c r="F182" s="6">
        <f t="shared" si="19"/>
        <v>27.147816397767937</v>
      </c>
      <c r="G182" s="8">
        <f t="shared" si="20"/>
        <v>2.7543235097852206</v>
      </c>
      <c r="H182" s="7">
        <v>29.102605164864045</v>
      </c>
      <c r="I182" s="8">
        <f t="shared" ca="1" si="21"/>
        <v>1.0448943611011146</v>
      </c>
      <c r="J182" s="6">
        <f t="shared" ca="1" si="17"/>
        <v>27.085263654026249</v>
      </c>
      <c r="K182" s="8">
        <f t="shared" si="22"/>
        <v>1.5871907340821125</v>
      </c>
      <c r="L182" s="27"/>
    </row>
    <row r="183" spans="3:12" ht="11.25" customHeight="1" x14ac:dyDescent="0.2">
      <c r="C183" s="6"/>
      <c r="D183" s="14">
        <v>2000</v>
      </c>
      <c r="E183" s="2">
        <v>31.197782666666601</v>
      </c>
      <c r="F183" s="6">
        <f t="shared" si="19"/>
        <v>27.179014180434603</v>
      </c>
      <c r="G183" s="8">
        <f t="shared" si="20"/>
        <v>2.7736911162495903</v>
      </c>
      <c r="H183" s="7">
        <v>29.088403193358833</v>
      </c>
      <c r="I183" s="8">
        <f t="shared" ca="1" si="21"/>
        <v>0.57933126814441493</v>
      </c>
      <c r="J183" s="6">
        <f t="shared" ca="1" si="17"/>
        <v>27.145171370600053</v>
      </c>
      <c r="K183" s="8">
        <f t="shared" si="22"/>
        <v>1.5968446667925644</v>
      </c>
      <c r="L183" s="27"/>
    </row>
    <row r="184" spans="3:12" ht="11.25" customHeight="1" x14ac:dyDescent="0.2">
      <c r="C184" s="6"/>
      <c r="D184" s="14">
        <v>2001</v>
      </c>
      <c r="E184" s="2">
        <v>31.930256000000004</v>
      </c>
      <c r="F184" s="6">
        <f t="shared" si="19"/>
        <v>27.210944436434602</v>
      </c>
      <c r="G184" s="8">
        <f t="shared" si="20"/>
        <v>2.7938622854859849</v>
      </c>
      <c r="H184" s="7">
        <v>29.07167845513505</v>
      </c>
      <c r="I184" s="8">
        <f t="shared" ca="1" si="21"/>
        <v>0.13594198397936452</v>
      </c>
      <c r="J184" s="6">
        <f t="shared" ca="1" si="17"/>
        <v>27.203198508767279</v>
      </c>
      <c r="K184" s="8">
        <f t="shared" si="22"/>
        <v>1.6068818298146106</v>
      </c>
      <c r="L184" s="27"/>
    </row>
    <row r="185" spans="3:12" ht="11.25" customHeight="1" x14ac:dyDescent="0.2">
      <c r="C185" s="6"/>
      <c r="D185" s="14">
        <v>2002</v>
      </c>
      <c r="E185" s="2">
        <v>29.989155</v>
      </c>
      <c r="F185" s="6">
        <f t="shared" si="19"/>
        <v>27.240933591434601</v>
      </c>
      <c r="G185" s="8">
        <f t="shared" si="20"/>
        <v>2.8131407137081248</v>
      </c>
      <c r="H185" s="7">
        <v>29.052778808261124</v>
      </c>
      <c r="I185" s="8">
        <f t="shared" ca="1" si="21"/>
        <v>-0.33208192642746326</v>
      </c>
      <c r="J185" s="6">
        <f t="shared" ca="1" si="17"/>
        <v>27.259395915381713</v>
      </c>
      <c r="K185" s="8">
        <f t="shared" si="22"/>
        <v>1.6164585409505126</v>
      </c>
      <c r="L185" s="27"/>
    </row>
    <row r="186" spans="3:12" ht="11.25" customHeight="1" x14ac:dyDescent="0.2">
      <c r="C186" s="6"/>
      <c r="D186" s="14">
        <v>2003</v>
      </c>
      <c r="E186" s="2">
        <v>28.278728999999998</v>
      </c>
      <c r="F186" s="6">
        <f t="shared" si="19"/>
        <v>27.269212320434601</v>
      </c>
      <c r="G186" s="8">
        <f t="shared" si="20"/>
        <v>2.8316265563097076</v>
      </c>
      <c r="H186" s="7">
        <v>29.032023887717614</v>
      </c>
      <c r="I186" s="8">
        <f t="shared" ca="1" si="21"/>
        <v>-0.8219767380421672</v>
      </c>
      <c r="J186" s="6">
        <f t="shared" ca="1" si="17"/>
        <v>27.313813608546536</v>
      </c>
      <c r="K186" s="8">
        <f t="shared" si="22"/>
        <v>1.6256268976585448</v>
      </c>
      <c r="L186" s="27"/>
    </row>
    <row r="187" spans="3:12" ht="11.25" customHeight="1" x14ac:dyDescent="0.2">
      <c r="C187" s="6"/>
      <c r="D187" s="14">
        <v>2004</v>
      </c>
      <c r="E187" s="2">
        <v>25.096057000000002</v>
      </c>
      <c r="F187" s="6">
        <f t="shared" si="19"/>
        <v>27.2943083774346</v>
      </c>
      <c r="G187" s="8">
        <f t="shared" si="20"/>
        <v>2.8482901440021147</v>
      </c>
      <c r="H187" s="7">
        <v>29.00952755090076</v>
      </c>
      <c r="I187" s="8">
        <f t="shared" ca="1" si="21"/>
        <v>-1.3621555266315681</v>
      </c>
      <c r="J187" s="6">
        <f t="shared" ca="1" si="17"/>
        <v>27.366500751886836</v>
      </c>
      <c r="K187" s="8">
        <f t="shared" si="22"/>
        <v>1.6338794113007811</v>
      </c>
      <c r="L187" s="27"/>
    </row>
    <row r="188" spans="3:12" ht="11.25" customHeight="1" x14ac:dyDescent="0.2">
      <c r="C188" s="6"/>
      <c r="D188" s="14">
        <v>2005</v>
      </c>
      <c r="E188" s="2">
        <v>20.498293</v>
      </c>
      <c r="F188" s="6">
        <f t="shared" si="19"/>
        <v>27.314806670434599</v>
      </c>
      <c r="G188" s="8">
        <f t="shared" si="20"/>
        <v>2.8620867130076291</v>
      </c>
      <c r="H188" s="7">
        <v>28.985259476389682</v>
      </c>
      <c r="I188" s="8">
        <f t="shared" ca="1" si="21"/>
        <v>-1.9814478908851925</v>
      </c>
      <c r="J188" s="6">
        <f t="shared" ca="1" si="17"/>
        <v>27.417505632400292</v>
      </c>
      <c r="K188" s="8">
        <f t="shared" si="22"/>
        <v>1.6407035365298965</v>
      </c>
      <c r="L188" s="27"/>
    </row>
    <row r="189" spans="3:12" ht="11.25" customHeight="1" x14ac:dyDescent="0.2">
      <c r="C189" s="103"/>
      <c r="D189" s="14">
        <v>2006</v>
      </c>
      <c r="E189" s="2">
        <v>18.517161999999999</v>
      </c>
      <c r="F189" s="6">
        <f t="shared" si="19"/>
        <v>27.333323832434598</v>
      </c>
      <c r="G189" s="8">
        <f t="shared" si="20"/>
        <v>2.874697503952262</v>
      </c>
      <c r="H189" s="7">
        <v>28.959458400912041</v>
      </c>
      <c r="I189" s="8">
        <f t="shared" ca="1" si="21"/>
        <v>-2.6334610541939583</v>
      </c>
      <c r="J189" s="6">
        <f t="shared" ca="1" si="17"/>
        <v>27.466875641674491</v>
      </c>
      <c r="K189" s="8">
        <f t="shared" si="22"/>
        <v>1.6469344928506788</v>
      </c>
      <c r="L189" s="27"/>
    </row>
    <row r="190" spans="3:12" ht="11.25" customHeight="1" x14ac:dyDescent="0.2">
      <c r="C190" s="334"/>
      <c r="D190" s="14">
        <v>2007</v>
      </c>
      <c r="E190" s="2">
        <v>17.007327</v>
      </c>
      <c r="F190" s="6">
        <f t="shared" si="19"/>
        <v>27.350331159434599</v>
      </c>
      <c r="G190" s="8">
        <f t="shared" si="20"/>
        <v>2.8864065329791235</v>
      </c>
      <c r="H190" s="7">
        <v>28.9323719996409</v>
      </c>
      <c r="I190" s="8">
        <f t="shared" ca="1" si="21"/>
        <v>-3.3103577698975641</v>
      </c>
      <c r="J190" s="6">
        <f t="shared" ca="1" si="17"/>
        <v>27.51465726026473</v>
      </c>
      <c r="K190" s="8">
        <f t="shared" si="22"/>
        <v>1.6527142763626279</v>
      </c>
      <c r="L190" s="27"/>
    </row>
    <row r="191" spans="3:12" ht="11.25" customHeight="1" x14ac:dyDescent="0.2">
      <c r="C191" s="103"/>
      <c r="D191" s="14">
        <v>2008</v>
      </c>
      <c r="E191" s="104">
        <v>18.053242571428601</v>
      </c>
      <c r="F191" s="6">
        <f>F190+E191/1000</f>
        <v>27.368384402006029</v>
      </c>
      <c r="G191" s="8">
        <f t="shared" si="20"/>
        <v>2.8989712853144525</v>
      </c>
      <c r="H191" s="7">
        <v>28.904414193479557</v>
      </c>
      <c r="I191" s="8">
        <f t="shared" ca="1" si="21"/>
        <v>-3.9636413396453918</v>
      </c>
      <c r="J191" s="6">
        <f t="shared" ca="1" si="17"/>
        <v>27.560896045032148</v>
      </c>
      <c r="K191" s="8">
        <f t="shared" si="22"/>
        <v>1.6589105246994751</v>
      </c>
      <c r="L191" s="27"/>
    </row>
    <row r="192" spans="3:12" ht="11.25" customHeight="1" x14ac:dyDescent="0.2">
      <c r="C192" s="337"/>
      <c r="D192" s="14">
        <v>2009</v>
      </c>
      <c r="E192" s="104">
        <v>17.873633820922901</v>
      </c>
      <c r="F192" s="6">
        <f t="shared" si="19"/>
        <v>27.386258035826952</v>
      </c>
      <c r="G192" s="8">
        <f t="shared" si="20"/>
        <v>2.911551895433933</v>
      </c>
      <c r="H192" s="7">
        <v>28.875830974615702</v>
      </c>
      <c r="I192" s="8">
        <f t="shared" ca="1" si="21"/>
        <v>-4.6164873238230939</v>
      </c>
      <c r="J192" s="6">
        <f t="shared" ca="1" si="17"/>
        <v>27.60563661924828</v>
      </c>
      <c r="K192" s="8">
        <f t="shared" si="22"/>
        <v>1.6651085192723356</v>
      </c>
      <c r="L192" s="27"/>
    </row>
    <row r="193" spans="4:10" ht="11.25" customHeight="1" x14ac:dyDescent="0.2">
      <c r="D193" s="14">
        <v>2010</v>
      </c>
      <c r="J193" s="6">
        <f t="shared" ca="1" si="17"/>
        <v>27.648922665278949</v>
      </c>
    </row>
    <row r="194" spans="4:10" ht="11.25" customHeight="1" x14ac:dyDescent="0.2">
      <c r="D194" s="14">
        <v>2011</v>
      </c>
      <c r="J194" s="6">
        <f t="shared" ca="1" si="17"/>
        <v>27.690796919667012</v>
      </c>
    </row>
    <row r="195" spans="4:10" ht="11.25" customHeight="1" x14ac:dyDescent="0.2">
      <c r="D195" s="14">
        <v>2012</v>
      </c>
      <c r="J195" s="6">
        <f t="shared" ca="1" si="17"/>
        <v>27.731301170440894</v>
      </c>
    </row>
    <row r="196" spans="4:10" ht="11.25" customHeight="1" x14ac:dyDescent="0.2">
      <c r="D196" s="14">
        <v>2013</v>
      </c>
      <c r="J196" s="6">
        <f t="shared" ca="1" si="17"/>
        <v>27.770476256482695</v>
      </c>
    </row>
    <row r="197" spans="4:10" ht="11.25" customHeight="1" x14ac:dyDescent="0.2">
      <c r="D197" s="14">
        <v>2014</v>
      </c>
      <c r="J197" s="6">
        <f t="shared" ca="1" si="17"/>
        <v>27.808362068797102</v>
      </c>
    </row>
    <row r="198" spans="4:10" ht="11.25" customHeight="1" x14ac:dyDescent="0.2">
      <c r="D198" s="14">
        <v>2015</v>
      </c>
      <c r="J198" s="6">
        <f t="shared" ca="1" si="17"/>
        <v>27.844997553529506</v>
      </c>
    </row>
    <row r="199" spans="4:10" ht="11.25" customHeight="1" x14ac:dyDescent="0.2">
      <c r="D199" s="14">
        <v>2016</v>
      </c>
      <c r="J199" s="6">
        <f t="shared" ca="1" si="17"/>
        <v>27.880420716588908</v>
      </c>
    </row>
    <row r="200" spans="4:10" ht="11.25" customHeight="1" x14ac:dyDescent="0.2">
      <c r="D200" s="14">
        <v>2017</v>
      </c>
      <c r="J200" s="6">
        <f t="shared" ca="1" si="17"/>
        <v>27.914668629738458</v>
      </c>
    </row>
    <row r="201" spans="4:10" ht="11.25" customHeight="1" x14ac:dyDescent="0.2">
      <c r="D201" s="14">
        <v>2018</v>
      </c>
      <c r="J201" s="6">
        <f t="shared" ca="1" si="17"/>
        <v>27.947777438023419</v>
      </c>
    </row>
    <row r="202" spans="4:10" ht="11.25" customHeight="1" x14ac:dyDescent="0.2">
      <c r="D202" s="14">
        <v>2019</v>
      </c>
      <c r="J202" s="6">
        <f t="shared" ca="1" si="17"/>
        <v>27.9797823684133</v>
      </c>
    </row>
    <row r="203" spans="4:10" ht="11.25" customHeight="1" x14ac:dyDescent="0.2">
      <c r="D203" s="14">
        <v>2020</v>
      </c>
      <c r="J203" s="6">
        <f t="shared" ca="1" si="17"/>
        <v>28.010717739541686</v>
      </c>
    </row>
    <row r="204" spans="4:10" ht="11.25" customHeight="1" x14ac:dyDescent="0.2">
      <c r="D204" s="14">
        <v>2021</v>
      </c>
      <c r="J204" s="6">
        <f t="shared" ref="J204:J267" ca="1" si="23">F$1/(1+EXP((AVERAGE(E$2:F$2)-D204)*LN(81)/(F$2-E$2)))</f>
        <v>28.040616972433941</v>
      </c>
    </row>
    <row r="205" spans="4:10" ht="11.25" customHeight="1" x14ac:dyDescent="0.2">
      <c r="D205" s="14">
        <v>2022</v>
      </c>
      <c r="J205" s="6">
        <f t="shared" ca="1" si="23"/>
        <v>28.069512602119271</v>
      </c>
    </row>
    <row r="206" spans="4:10" ht="11.25" customHeight="1" x14ac:dyDescent="0.2">
      <c r="D206" s="14">
        <v>2023</v>
      </c>
      <c r="J206" s="6">
        <f t="shared" ca="1" si="23"/>
        <v>28.097436290029965</v>
      </c>
    </row>
    <row r="207" spans="4:10" ht="11.25" customHeight="1" x14ac:dyDescent="0.2">
      <c r="D207" s="14">
        <v>2024</v>
      </c>
      <c r="J207" s="6">
        <f t="shared" ca="1" si="23"/>
        <v>28.124418837096552</v>
      </c>
    </row>
    <row r="208" spans="4:10" ht="11.25" customHeight="1" x14ac:dyDescent="0.2">
      <c r="D208" s="14">
        <v>2025</v>
      </c>
      <c r="J208" s="6">
        <f t="shared" ca="1" si="23"/>
        <v>28.150490197453518</v>
      </c>
    </row>
    <row r="209" spans="4:10" ht="11.25" customHeight="1" x14ac:dyDescent="0.2">
      <c r="D209" s="14">
        <v>2026</v>
      </c>
      <c r="J209" s="6">
        <f t="shared" ca="1" si="23"/>
        <v>28.175679492675581</v>
      </c>
    </row>
    <row r="210" spans="4:10" ht="11.25" customHeight="1" x14ac:dyDescent="0.2">
      <c r="D210" s="14">
        <v>2027</v>
      </c>
      <c r="J210" s="6">
        <f t="shared" ca="1" si="23"/>
        <v>28.200015026470158</v>
      </c>
    </row>
    <row r="211" spans="4:10" ht="11.25" customHeight="1" x14ac:dyDescent="0.2">
      <c r="D211" s="14">
        <v>2028</v>
      </c>
      <c r="J211" s="6">
        <f t="shared" ca="1" si="23"/>
        <v>28.22352429975653</v>
      </c>
    </row>
    <row r="212" spans="4:10" ht="11.25" customHeight="1" x14ac:dyDescent="0.2">
      <c r="D212" s="14">
        <v>2029</v>
      </c>
      <c r="J212" s="6">
        <f t="shared" ca="1" si="23"/>
        <v>28.246234026067189</v>
      </c>
    </row>
    <row r="213" spans="4:10" ht="11.25" customHeight="1" x14ac:dyDescent="0.2">
      <c r="D213" s="14">
        <v>2030</v>
      </c>
      <c r="J213" s="6">
        <f t="shared" ca="1" si="23"/>
        <v>28.268170147211517</v>
      </c>
    </row>
    <row r="214" spans="4:10" ht="11.25" customHeight="1" x14ac:dyDescent="0.2">
      <c r="D214" s="14">
        <v>2031</v>
      </c>
      <c r="J214" s="6">
        <f t="shared" ca="1" si="23"/>
        <v>28.289357849146356</v>
      </c>
    </row>
    <row r="215" spans="4:10" ht="11.25" customHeight="1" x14ac:dyDescent="0.2">
      <c r="D215" s="14">
        <v>2032</v>
      </c>
      <c r="J215" s="6">
        <f t="shared" ca="1" si="23"/>
        <v>28.309821578002246</v>
      </c>
    </row>
    <row r="216" spans="4:10" ht="11.25" customHeight="1" x14ac:dyDescent="0.2">
      <c r="D216" s="14">
        <v>2033</v>
      </c>
      <c r="J216" s="6">
        <f t="shared" ca="1" si="23"/>
        <v>28.32958505621809</v>
      </c>
    </row>
    <row r="217" spans="4:10" ht="11.25" customHeight="1" x14ac:dyDescent="0.2">
      <c r="D217" s="14">
        <v>2034</v>
      </c>
      <c r="J217" s="6">
        <f t="shared" ca="1" si="23"/>
        <v>28.34867129874079</v>
      </c>
    </row>
    <row r="218" spans="4:10" ht="11.25" customHeight="1" x14ac:dyDescent="0.2">
      <c r="D218" s="14">
        <v>2035</v>
      </c>
      <c r="J218" s="6">
        <f t="shared" ca="1" si="23"/>
        <v>28.367102629250041</v>
      </c>
    </row>
    <row r="219" spans="4:10" ht="11.25" customHeight="1" x14ac:dyDescent="0.2">
      <c r="D219" s="14">
        <v>2036</v>
      </c>
      <c r="J219" s="6">
        <f t="shared" ca="1" si="23"/>
        <v>28.384900696371613</v>
      </c>
    </row>
    <row r="220" spans="4:10" ht="11.25" customHeight="1" x14ac:dyDescent="0.2">
      <c r="D220" s="14">
        <v>2037</v>
      </c>
      <c r="J220" s="6">
        <f t="shared" ca="1" si="23"/>
        <v>28.402086489846006</v>
      </c>
    </row>
    <row r="221" spans="4:10" ht="11.25" customHeight="1" x14ac:dyDescent="0.2">
      <c r="D221" s="14">
        <v>2038</v>
      </c>
      <c r="J221" s="6">
        <f t="shared" ca="1" si="23"/>
        <v>28.418680356621927</v>
      </c>
    </row>
    <row r="222" spans="4:10" ht="11.25" customHeight="1" x14ac:dyDescent="0.2">
      <c r="D222" s="14">
        <v>2039</v>
      </c>
      <c r="J222" s="6">
        <f t="shared" ca="1" si="23"/>
        <v>28.434702016847233</v>
      </c>
    </row>
    <row r="223" spans="4:10" ht="11.25" customHeight="1" x14ac:dyDescent="0.2">
      <c r="D223" s="14">
        <v>2040</v>
      </c>
      <c r="J223" s="6">
        <f t="shared" ca="1" si="23"/>
        <v>28.450170579732283</v>
      </c>
    </row>
    <row r="224" spans="4:10" ht="11.25" customHeight="1" x14ac:dyDescent="0.2">
      <c r="D224" s="14">
        <v>2041</v>
      </c>
      <c r="J224" s="6">
        <f t="shared" ca="1" si="23"/>
        <v>28.465104559263402</v>
      </c>
    </row>
    <row r="225" spans="4:10" ht="11.25" customHeight="1" x14ac:dyDescent="0.2">
      <c r="D225" s="14">
        <v>2042</v>
      </c>
      <c r="J225" s="6">
        <f t="shared" ca="1" si="23"/>
        <v>28.479521889746216</v>
      </c>
    </row>
    <row r="226" spans="4:10" ht="11.25" customHeight="1" x14ac:dyDescent="0.2">
      <c r="D226" s="14">
        <v>2043</v>
      </c>
      <c r="J226" s="6">
        <f t="shared" ca="1" si="23"/>
        <v>28.493439941161004</v>
      </c>
    </row>
    <row r="227" spans="4:10" ht="11.25" customHeight="1" x14ac:dyDescent="0.2">
      <c r="D227" s="14">
        <v>2044</v>
      </c>
      <c r="J227" s="6">
        <f t="shared" ca="1" si="23"/>
        <v>28.506875534314016</v>
      </c>
    </row>
    <row r="228" spans="4:10" ht="11.25" customHeight="1" x14ac:dyDescent="0.2">
      <c r="D228" s="14">
        <v>2045</v>
      </c>
      <c r="J228" s="6">
        <f t="shared" ca="1" si="23"/>
        <v>28.519844955770665</v>
      </c>
    </row>
    <row r="229" spans="4:10" ht="11.25" customHeight="1" x14ac:dyDescent="0.2">
      <c r="D229" s="14">
        <v>2046</v>
      </c>
      <c r="J229" s="6">
        <f t="shared" ca="1" si="23"/>
        <v>28.5323639725584</v>
      </c>
    </row>
    <row r="230" spans="4:10" ht="11.25" customHeight="1" x14ac:dyDescent="0.2">
      <c r="D230" s="14">
        <v>2047</v>
      </c>
      <c r="J230" s="6">
        <f t="shared" ca="1" si="23"/>
        <v>28.544447846628277</v>
      </c>
    </row>
    <row r="231" spans="4:10" ht="11.25" customHeight="1" x14ac:dyDescent="0.2">
      <c r="D231" s="14">
        <v>2048</v>
      </c>
      <c r="J231" s="6">
        <f t="shared" ca="1" si="23"/>
        <v>28.556111349066267</v>
      </c>
    </row>
    <row r="232" spans="4:10" ht="11.25" customHeight="1" x14ac:dyDescent="0.2">
      <c r="D232" s="14">
        <v>2049</v>
      </c>
      <c r="J232" s="6">
        <f t="shared" ca="1" si="23"/>
        <v>28.567368774046244</v>
      </c>
    </row>
    <row r="233" spans="4:10" ht="11.25" customHeight="1" x14ac:dyDescent="0.2">
      <c r="D233" s="14">
        <v>2050</v>
      </c>
      <c r="J233" s="6">
        <f t="shared" ca="1" si="23"/>
        <v>28.578233952518222</v>
      </c>
    </row>
    <row r="234" spans="4:10" ht="11.25" customHeight="1" x14ac:dyDescent="0.2">
      <c r="D234" s="14">
        <v>2051</v>
      </c>
      <c r="J234" s="6">
        <f t="shared" ca="1" si="23"/>
        <v>28.588720265626417</v>
      </c>
    </row>
    <row r="235" spans="4:10" ht="11.25" customHeight="1" x14ac:dyDescent="0.2">
      <c r="D235" s="14">
        <v>2052</v>
      </c>
      <c r="J235" s="6">
        <f t="shared" ca="1" si="23"/>
        <v>28.598840657852804</v>
      </c>
    </row>
    <row r="236" spans="4:10" ht="11.25" customHeight="1" x14ac:dyDescent="0.2">
      <c r="D236" s="14">
        <v>2053</v>
      </c>
      <c r="J236" s="6">
        <f t="shared" ca="1" si="23"/>
        <v>28.608607649882984</v>
      </c>
    </row>
    <row r="237" spans="4:10" ht="11.25" customHeight="1" x14ac:dyDescent="0.2">
      <c r="D237" s="14">
        <v>2054</v>
      </c>
      <c r="J237" s="6">
        <f t="shared" ca="1" si="23"/>
        <v>28.618033351191855</v>
      </c>
    </row>
    <row r="238" spans="4:10" ht="11.25" customHeight="1" x14ac:dyDescent="0.2">
      <c r="D238" s="14">
        <v>2055</v>
      </c>
      <c r="J238" s="6">
        <f t="shared" ca="1" si="23"/>
        <v>28.627129472347672</v>
      </c>
    </row>
    <row r="239" spans="4:10" ht="11.25" customHeight="1" x14ac:dyDescent="0.2">
      <c r="D239" s="14">
        <v>2056</v>
      </c>
      <c r="J239" s="6">
        <f t="shared" ca="1" si="23"/>
        <v>28.635907337033657</v>
      </c>
    </row>
    <row r="240" spans="4:10" ht="11.25" customHeight="1" x14ac:dyDescent="0.2">
      <c r="D240" s="14">
        <v>2057</v>
      </c>
      <c r="J240" s="6">
        <f t="shared" ca="1" si="23"/>
        <v>28.644377893787119</v>
      </c>
    </row>
    <row r="241" spans="4:10" ht="11.25" customHeight="1" x14ac:dyDescent="0.2">
      <c r="D241" s="14">
        <v>2058</v>
      </c>
      <c r="J241" s="6">
        <f t="shared" ca="1" si="23"/>
        <v>28.652551727456625</v>
      </c>
    </row>
    <row r="242" spans="4:10" ht="11.25" customHeight="1" x14ac:dyDescent="0.2">
      <c r="D242" s="14">
        <v>2059</v>
      </c>
      <c r="J242" s="6">
        <f t="shared" ca="1" si="23"/>
        <v>28.660439070378462</v>
      </c>
    </row>
    <row r="243" spans="4:10" ht="11.25" customHeight="1" x14ac:dyDescent="0.2">
      <c r="D243" s="14">
        <v>2060</v>
      </c>
      <c r="J243" s="6">
        <f t="shared" ca="1" si="23"/>
        <v>28.668049813273885</v>
      </c>
    </row>
    <row r="244" spans="4:10" ht="11.25" customHeight="1" x14ac:dyDescent="0.2">
      <c r="D244" s="14">
        <v>2061</v>
      </c>
      <c r="J244" s="6">
        <f t="shared" ca="1" si="23"/>
        <v>28.67539351586942</v>
      </c>
    </row>
    <row r="245" spans="4:10" ht="11.25" customHeight="1" x14ac:dyDescent="0.2">
      <c r="D245" s="14">
        <v>2062</v>
      </c>
      <c r="J245" s="6">
        <f t="shared" ca="1" si="23"/>
        <v>28.682479417242767</v>
      </c>
    </row>
    <row r="246" spans="4:10" ht="11.25" customHeight="1" x14ac:dyDescent="0.2">
      <c r="D246" s="14">
        <v>2063</v>
      </c>
      <c r="J246" s="6">
        <f t="shared" ca="1" si="23"/>
        <v>28.689316445897166</v>
      </c>
    </row>
    <row r="247" spans="4:10" ht="11.25" customHeight="1" x14ac:dyDescent="0.2">
      <c r="D247" s="14">
        <v>2064</v>
      </c>
      <c r="J247" s="6">
        <f t="shared" ca="1" si="23"/>
        <v>28.695913229567498</v>
      </c>
    </row>
    <row r="248" spans="4:10" ht="11.25" customHeight="1" x14ac:dyDescent="0.2">
      <c r="D248" s="14">
        <v>2065</v>
      </c>
      <c r="J248" s="6">
        <f t="shared" ca="1" si="23"/>
        <v>28.702278104761739</v>
      </c>
    </row>
    <row r="249" spans="4:10" ht="11.25" customHeight="1" x14ac:dyDescent="0.2">
      <c r="D249" s="14">
        <v>2066</v>
      </c>
      <c r="J249" s="6">
        <f t="shared" ca="1" si="23"/>
        <v>28.708419126041534</v>
      </c>
    </row>
    <row r="250" spans="4:10" ht="11.25" customHeight="1" x14ac:dyDescent="0.2">
      <c r="D250" s="14">
        <v>2067</v>
      </c>
      <c r="J250" s="6">
        <f t="shared" ca="1" si="23"/>
        <v>28.714344075045954</v>
      </c>
    </row>
    <row r="251" spans="4:10" ht="11.25" customHeight="1" x14ac:dyDescent="0.2">
      <c r="D251" s="14">
        <v>2068</v>
      </c>
      <c r="J251" s="6">
        <f t="shared" ca="1" si="23"/>
        <v>28.72006046926262</v>
      </c>
    </row>
    <row r="252" spans="4:10" ht="11.25" customHeight="1" x14ac:dyDescent="0.2">
      <c r="D252" s="14">
        <v>2069</v>
      </c>
      <c r="J252" s="6">
        <f t="shared" ca="1" si="23"/>
        <v>28.725575570550724</v>
      </c>
    </row>
    <row r="253" spans="4:10" ht="11.25" customHeight="1" x14ac:dyDescent="0.2">
      <c r="D253" s="14">
        <v>2070</v>
      </c>
      <c r="J253" s="6">
        <f t="shared" ca="1" si="23"/>
        <v>28.730896393420377</v>
      </c>
    </row>
    <row r="254" spans="4:10" ht="11.25" customHeight="1" x14ac:dyDescent="0.2">
      <c r="D254" s="14">
        <v>2071</v>
      </c>
      <c r="J254" s="6">
        <f t="shared" ca="1" si="23"/>
        <v>28.736029713072984</v>
      </c>
    </row>
    <row r="255" spans="4:10" ht="11.25" customHeight="1" x14ac:dyDescent="0.2">
      <c r="D255" s="14">
        <v>2072</v>
      </c>
      <c r="J255" s="6">
        <f t="shared" ca="1" si="23"/>
        <v>28.740982073207462</v>
      </c>
    </row>
    <row r="256" spans="4:10" ht="11.25" customHeight="1" x14ac:dyDescent="0.2">
      <c r="D256" s="14">
        <v>2073</v>
      </c>
      <c r="J256" s="6">
        <f t="shared" ca="1" si="23"/>
        <v>28.745759793597106</v>
      </c>
    </row>
    <row r="257" spans="4:10" ht="11.25" customHeight="1" x14ac:dyDescent="0.2">
      <c r="D257" s="14">
        <v>2074</v>
      </c>
      <c r="J257" s="6">
        <f t="shared" ca="1" si="23"/>
        <v>28.750368977441941</v>
      </c>
    </row>
    <row r="258" spans="4:10" ht="11.25" customHeight="1" x14ac:dyDescent="0.2">
      <c r="D258" s="14">
        <v>2075</v>
      </c>
      <c r="J258" s="6">
        <f t="shared" ca="1" si="23"/>
        <v>28.754815518501605</v>
      </c>
    </row>
    <row r="259" spans="4:10" ht="11.25" customHeight="1" x14ac:dyDescent="0.2">
      <c r="D259" s="14">
        <v>2076</v>
      </c>
      <c r="J259" s="6">
        <f t="shared" ca="1" si="23"/>
        <v>28.75910510801371</v>
      </c>
    </row>
    <row r="260" spans="4:10" ht="11.25" customHeight="1" x14ac:dyDescent="0.2">
      <c r="D260" s="14">
        <v>2077</v>
      </c>
      <c r="J260" s="6">
        <f t="shared" ca="1" si="23"/>
        <v>28.763243241402566</v>
      </c>
    </row>
    <row r="261" spans="4:10" ht="11.25" customHeight="1" x14ac:dyDescent="0.2">
      <c r="D261" s="14">
        <v>2078</v>
      </c>
      <c r="J261" s="6">
        <f t="shared" ca="1" si="23"/>
        <v>28.767235224783349</v>
      </c>
    </row>
    <row r="262" spans="4:10" ht="11.25" customHeight="1" x14ac:dyDescent="0.2">
      <c r="D262" s="14">
        <v>2079</v>
      </c>
      <c r="J262" s="6">
        <f t="shared" ca="1" si="23"/>
        <v>28.771086181266636</v>
      </c>
    </row>
    <row r="263" spans="4:10" ht="11.25" customHeight="1" x14ac:dyDescent="0.2">
      <c r="D263" s="14">
        <v>2080</v>
      </c>
      <c r="J263" s="6">
        <f t="shared" ca="1" si="23"/>
        <v>28.774801057068263</v>
      </c>
    </row>
    <row r="264" spans="4:10" ht="11.25" customHeight="1" x14ac:dyDescent="0.2">
      <c r="D264" s="14">
        <v>2081</v>
      </c>
      <c r="J264" s="6">
        <f t="shared" ca="1" si="23"/>
        <v>28.778384627429372</v>
      </c>
    </row>
    <row r="265" spans="4:10" ht="11.25" customHeight="1" x14ac:dyDescent="0.2">
      <c r="D265" s="14">
        <v>2082</v>
      </c>
      <c r="J265" s="6">
        <f t="shared" ca="1" si="23"/>
        <v>28.781841502351639</v>
      </c>
    </row>
    <row r="266" spans="4:10" ht="11.25" customHeight="1" x14ac:dyDescent="0.2">
      <c r="D266" s="14">
        <v>2083</v>
      </c>
      <c r="J266" s="6">
        <f t="shared" ca="1" si="23"/>
        <v>28.785176132152298</v>
      </c>
    </row>
    <row r="267" spans="4:10" ht="11.25" customHeight="1" x14ac:dyDescent="0.2">
      <c r="D267" s="14">
        <v>2084</v>
      </c>
      <c r="J267" s="6">
        <f t="shared" ca="1" si="23"/>
        <v>28.78839281284402</v>
      </c>
    </row>
    <row r="268" spans="4:10" ht="11.25" customHeight="1" x14ac:dyDescent="0.2">
      <c r="D268" s="14">
        <v>2085</v>
      </c>
      <c r="J268" s="6">
        <f t="shared" ref="J268:J333" ca="1" si="24">F$1/(1+EXP((AVERAGE(E$2:F$2)-D268)*LN(81)/(F$2-E$2)))</f>
        <v>28.791495691344057</v>
      </c>
    </row>
    <row r="269" spans="4:10" ht="11.25" customHeight="1" x14ac:dyDescent="0.2">
      <c r="D269" s="14">
        <v>2086</v>
      </c>
      <c r="J269" s="6">
        <f t="shared" ca="1" si="24"/>
        <v>28.794488770517493</v>
      </c>
    </row>
    <row r="270" spans="4:10" ht="11.25" customHeight="1" x14ac:dyDescent="0.2">
      <c r="D270" s="14">
        <v>2087</v>
      </c>
      <c r="J270" s="6">
        <f t="shared" ca="1" si="24"/>
        <v>28.797375914059177</v>
      </c>
    </row>
    <row r="271" spans="4:10" ht="11.25" customHeight="1" x14ac:dyDescent="0.2">
      <c r="D271" s="14">
        <v>2088</v>
      </c>
      <c r="J271" s="6">
        <f t="shared" ca="1" si="24"/>
        <v>28.800160851218696</v>
      </c>
    </row>
    <row r="272" spans="4:10" ht="11.25" customHeight="1" x14ac:dyDescent="0.2">
      <c r="D272" s="14">
        <v>2089</v>
      </c>
      <c r="J272" s="6">
        <f t="shared" ca="1" si="24"/>
        <v>28.802847181372972</v>
      </c>
    </row>
    <row r="273" spans="4:10" ht="11.25" customHeight="1" x14ac:dyDescent="0.2">
      <c r="D273" s="14">
        <v>2090</v>
      </c>
      <c r="J273" s="6">
        <f t="shared" ca="1" si="24"/>
        <v>28.805438378450766</v>
      </c>
    </row>
    <row r="274" spans="4:10" ht="11.25" customHeight="1" x14ac:dyDescent="0.2">
      <c r="D274" s="14">
        <v>2091</v>
      </c>
      <c r="J274" s="6">
        <f t="shared" ca="1" si="24"/>
        <v>28.807937795213331</v>
      </c>
    </row>
    <row r="275" spans="4:10" ht="11.25" customHeight="1" x14ac:dyDescent="0.2">
      <c r="D275" s="14">
        <v>2092</v>
      </c>
      <c r="J275" s="6">
        <f t="shared" ca="1" si="24"/>
        <v>28.810348667395445</v>
      </c>
    </row>
    <row r="276" spans="4:10" ht="11.25" customHeight="1" x14ac:dyDescent="0.2">
      <c r="D276" s="14">
        <v>2093</v>
      </c>
      <c r="J276" s="6">
        <f t="shared" ca="1" si="24"/>
        <v>28.812674117710902</v>
      </c>
    </row>
    <row r="277" spans="4:10" ht="11.25" customHeight="1" x14ac:dyDescent="0.2">
      <c r="D277" s="14">
        <v>2094</v>
      </c>
      <c r="J277" s="6">
        <f t="shared" ca="1" si="24"/>
        <v>28.814917159726459</v>
      </c>
    </row>
    <row r="278" spans="4:10" ht="11.25" customHeight="1" x14ac:dyDescent="0.2">
      <c r="D278" s="14">
        <v>2095</v>
      </c>
      <c r="J278" s="6">
        <f t="shared" ca="1" si="24"/>
        <v>28.817080701608209</v>
      </c>
    </row>
    <row r="279" spans="4:10" ht="11.25" customHeight="1" x14ac:dyDescent="0.2">
      <c r="D279" s="14">
        <v>2096</v>
      </c>
      <c r="J279" s="6">
        <f t="shared" ca="1" si="24"/>
        <v>28.819167549744098</v>
      </c>
    </row>
    <row r="280" spans="4:10" ht="11.25" customHeight="1" x14ac:dyDescent="0.2">
      <c r="D280" s="14">
        <v>2097</v>
      </c>
      <c r="J280" s="6">
        <f t="shared" ca="1" si="24"/>
        <v>28.821180412246541</v>
      </c>
    </row>
    <row r="281" spans="4:10" ht="11.25" customHeight="1" x14ac:dyDescent="0.2">
      <c r="D281" s="14">
        <v>2098</v>
      </c>
      <c r="J281" s="6">
        <f t="shared" ca="1" si="24"/>
        <v>28.823121902338571</v>
      </c>
    </row>
    <row r="282" spans="4:10" ht="11.25" customHeight="1" x14ac:dyDescent="0.2">
      <c r="D282" s="14">
        <v>2099</v>
      </c>
      <c r="J282" s="6">
        <f t="shared" ca="1" si="24"/>
        <v>28.824994541627206</v>
      </c>
    </row>
    <row r="283" spans="4:10" ht="11.25" customHeight="1" x14ac:dyDescent="0.2">
      <c r="D283" s="14">
        <v>2100</v>
      </c>
      <c r="J283" s="6">
        <f t="shared" ca="1" si="24"/>
        <v>28.826800763267585</v>
      </c>
    </row>
    <row r="284" spans="4:10" ht="11.25" customHeight="1" x14ac:dyDescent="0.2">
      <c r="D284" s="14">
        <v>2101</v>
      </c>
      <c r="J284" s="6">
        <f t="shared" ca="1" si="24"/>
        <v>28.828542915021046</v>
      </c>
    </row>
    <row r="285" spans="4:10" ht="11.25" customHeight="1" x14ac:dyDescent="0.2">
      <c r="D285" s="14">
        <v>2102</v>
      </c>
      <c r="J285" s="6">
        <f t="shared" ca="1" si="24"/>
        <v>28.83022326221073</v>
      </c>
    </row>
    <row r="286" spans="4:10" ht="11.25" customHeight="1" x14ac:dyDescent="0.2">
      <c r="D286" s="14">
        <v>2103</v>
      </c>
      <c r="J286" s="6">
        <f t="shared" ca="1" si="24"/>
        <v>28.831843990577699</v>
      </c>
    </row>
    <row r="287" spans="4:10" ht="11.25" customHeight="1" x14ac:dyDescent="0.2">
      <c r="D287" s="14">
        <v>2104</v>
      </c>
      <c r="J287" s="6">
        <f t="shared" ca="1" si="24"/>
        <v>28.833407209040864</v>
      </c>
    </row>
    <row r="288" spans="4:10" ht="11.25" customHeight="1" x14ac:dyDescent="0.2">
      <c r="D288" s="14">
        <v>2105</v>
      </c>
      <c r="J288" s="6">
        <f t="shared" ca="1" si="24"/>
        <v>28.834914952363675</v>
      </c>
    </row>
    <row r="289" spans="4:10" ht="11.25" customHeight="1" x14ac:dyDescent="0.2">
      <c r="D289" s="14">
        <v>2106</v>
      </c>
      <c r="J289" s="6">
        <f t="shared" ca="1" si="24"/>
        <v>28.836369183730596</v>
      </c>
    </row>
    <row r="290" spans="4:10" ht="11.25" customHeight="1" x14ac:dyDescent="0.2">
      <c r="D290" s="14">
        <v>2107</v>
      </c>
      <c r="J290" s="6">
        <f t="shared" ca="1" si="24"/>
        <v>28.83777179723624</v>
      </c>
    </row>
    <row r="291" spans="4:10" ht="11.25" customHeight="1" x14ac:dyDescent="0.2">
      <c r="D291" s="14">
        <v>2108</v>
      </c>
      <c r="J291" s="6">
        <f t="shared" ca="1" si="24"/>
        <v>28.839124620289962</v>
      </c>
    </row>
    <row r="292" spans="4:10" ht="11.25" customHeight="1" x14ac:dyDescent="0.2">
      <c r="D292" s="14">
        <v>2109</v>
      </c>
      <c r="J292" s="6">
        <f t="shared" ca="1" si="24"/>
        <v>28.840429415938655</v>
      </c>
    </row>
    <row r="293" spans="4:10" ht="11.25" customHeight="1" x14ac:dyDescent="0.2">
      <c r="D293" s="14">
        <v>2110</v>
      </c>
      <c r="J293" s="6">
        <f t="shared" ca="1" si="24"/>
        <v>28.841687885110371</v>
      </c>
    </row>
    <row r="294" spans="4:10" ht="11.25" customHeight="1" x14ac:dyDescent="0.2">
      <c r="D294" s="14">
        <v>2111</v>
      </c>
      <c r="J294" s="6">
        <f t="shared" ca="1" si="24"/>
        <v>28.842901668781394</v>
      </c>
    </row>
    <row r="295" spans="4:10" ht="11.25" customHeight="1" x14ac:dyDescent="0.2">
      <c r="D295" s="14">
        <v>2112</v>
      </c>
      <c r="J295" s="6">
        <f t="shared" ca="1" si="24"/>
        <v>28.844072350069197</v>
      </c>
    </row>
    <row r="296" spans="4:10" ht="11.25" customHeight="1" x14ac:dyDescent="0.2">
      <c r="D296" s="14">
        <v>2113</v>
      </c>
      <c r="J296" s="6">
        <f t="shared" ca="1" si="24"/>
        <v>28.845201456253736</v>
      </c>
    </row>
    <row r="297" spans="4:10" ht="11.25" customHeight="1" x14ac:dyDescent="0.2">
      <c r="D297" s="14">
        <v>2114</v>
      </c>
      <c r="J297" s="6">
        <f t="shared" ca="1" si="24"/>
        <v>28.846290460729492</v>
      </c>
    </row>
    <row r="298" spans="4:10" ht="11.25" customHeight="1" x14ac:dyDescent="0.2">
      <c r="D298" s="14">
        <v>2115</v>
      </c>
      <c r="J298" s="6">
        <f t="shared" ca="1" si="24"/>
        <v>28.84734078489041</v>
      </c>
    </row>
    <row r="299" spans="4:10" ht="11.25" customHeight="1" x14ac:dyDescent="0.2">
      <c r="D299" s="14">
        <v>2116</v>
      </c>
      <c r="J299" s="6">
        <f t="shared" ca="1" si="24"/>
        <v>28.848353799950143</v>
      </c>
    </row>
    <row r="300" spans="4:10" ht="11.25" customHeight="1" x14ac:dyDescent="0.2">
      <c r="D300" s="14">
        <v>2117</v>
      </c>
      <c r="J300" s="6">
        <f t="shared" ca="1" si="24"/>
        <v>28.849330828699518</v>
      </c>
    </row>
    <row r="301" spans="4:10" ht="11.25" customHeight="1" x14ac:dyDescent="0.2">
      <c r="D301" s="14">
        <v>2118</v>
      </c>
      <c r="J301" s="6">
        <f t="shared" ca="1" si="24"/>
        <v>28.850273147203524</v>
      </c>
    </row>
    <row r="302" spans="4:10" ht="11.25" customHeight="1" x14ac:dyDescent="0.2">
      <c r="D302" s="14">
        <v>2119</v>
      </c>
      <c r="J302" s="6">
        <f t="shared" ca="1" si="24"/>
        <v>28.851181986439702</v>
      </c>
    </row>
    <row r="303" spans="4:10" ht="11.25" customHeight="1" x14ac:dyDescent="0.2">
      <c r="D303" s="14">
        <v>2120</v>
      </c>
      <c r="J303" s="6">
        <f t="shared" ca="1" si="24"/>
        <v>28.852058533879923</v>
      </c>
    </row>
    <row r="304" spans="4:10" ht="11.25" customHeight="1" x14ac:dyDescent="0.2">
      <c r="D304" s="14">
        <v>2121</v>
      </c>
      <c r="J304" s="6">
        <f t="shared" ca="1" si="24"/>
        <v>28.852903935017515</v>
      </c>
    </row>
    <row r="305" spans="4:10" ht="11.25" customHeight="1" x14ac:dyDescent="0.2">
      <c r="D305" s="14">
        <v>2122</v>
      </c>
      <c r="J305" s="6">
        <f t="shared" ca="1" si="24"/>
        <v>28.853719294841458</v>
      </c>
    </row>
    <row r="306" spans="4:10" ht="11.25" customHeight="1" x14ac:dyDescent="0.2">
      <c r="D306" s="14">
        <v>2123</v>
      </c>
      <c r="J306" s="6">
        <f t="shared" ca="1" si="24"/>
        <v>28.854505679259539</v>
      </c>
    </row>
    <row r="307" spans="4:10" ht="11.25" customHeight="1" x14ac:dyDescent="0.2">
      <c r="D307" s="14">
        <v>2124</v>
      </c>
      <c r="J307" s="6">
        <f t="shared" ca="1" si="24"/>
        <v>28.855264116472114</v>
      </c>
    </row>
    <row r="308" spans="4:10" ht="11.25" customHeight="1" x14ac:dyDescent="0.2">
      <c r="D308" s="14">
        <v>2125</v>
      </c>
      <c r="J308" s="6">
        <f t="shared" ca="1" si="24"/>
        <v>28.855995598298183</v>
      </c>
    </row>
    <row r="309" spans="4:10" ht="11.25" customHeight="1" x14ac:dyDescent="0.2">
      <c r="D309" s="14">
        <v>2126</v>
      </c>
      <c r="J309" s="6">
        <f t="shared" ca="1" si="24"/>
        <v>28.856701081455384</v>
      </c>
    </row>
    <row r="310" spans="4:10" ht="11.25" customHeight="1" x14ac:dyDescent="0.2">
      <c r="D310" s="14">
        <v>2127</v>
      </c>
      <c r="J310" s="6">
        <f t="shared" ca="1" si="24"/>
        <v>28.85738148879544</v>
      </c>
    </row>
    <row r="311" spans="4:10" ht="11.25" customHeight="1" x14ac:dyDescent="0.2">
      <c r="D311" s="14">
        <v>2128</v>
      </c>
      <c r="J311" s="6">
        <f t="shared" ca="1" si="24"/>
        <v>28.858037710496642</v>
      </c>
    </row>
    <row r="312" spans="4:10" ht="11.25" customHeight="1" x14ac:dyDescent="0.2">
      <c r="D312" s="14">
        <v>2129</v>
      </c>
      <c r="J312" s="6">
        <f t="shared" ca="1" si="24"/>
        <v>28.858670605214748</v>
      </c>
    </row>
    <row r="313" spans="4:10" ht="11.25" customHeight="1" x14ac:dyDescent="0.2">
      <c r="D313" s="14">
        <v>2130</v>
      </c>
      <c r="J313" s="6">
        <f t="shared" ca="1" si="24"/>
        <v>28.859281001193757</v>
      </c>
    </row>
    <row r="314" spans="4:10" ht="11.25" customHeight="1" x14ac:dyDescent="0.2">
      <c r="D314" s="14">
        <v>2131</v>
      </c>
      <c r="J314" s="6">
        <f t="shared" ca="1" si="24"/>
        <v>28.859869697337956</v>
      </c>
    </row>
    <row r="315" spans="4:10" ht="11.25" customHeight="1" x14ac:dyDescent="0.2">
      <c r="D315" s="14">
        <v>2132</v>
      </c>
      <c r="J315" s="6">
        <f t="shared" ca="1" si="24"/>
        <v>28.860437464246509</v>
      </c>
    </row>
    <row r="316" spans="4:10" ht="11.25" customHeight="1" x14ac:dyDescent="0.2">
      <c r="D316" s="14">
        <v>2133</v>
      </c>
      <c r="J316" s="6">
        <f t="shared" ca="1" si="24"/>
        <v>28.860985045211876</v>
      </c>
    </row>
    <row r="317" spans="4:10" ht="11.25" customHeight="1" x14ac:dyDescent="0.2">
      <c r="D317" s="14">
        <v>2134</v>
      </c>
      <c r="J317" s="6">
        <f t="shared" ca="1" si="24"/>
        <v>28.861513157183374</v>
      </c>
    </row>
    <row r="318" spans="4:10" ht="11.25" customHeight="1" x14ac:dyDescent="0.2">
      <c r="D318" s="14">
        <v>2135</v>
      </c>
      <c r="J318" s="6">
        <f t="shared" ca="1" si="24"/>
        <v>28.862022491696987</v>
      </c>
    </row>
    <row r="319" spans="4:10" ht="11.25" customHeight="1" x14ac:dyDescent="0.2">
      <c r="D319" s="14">
        <v>2136</v>
      </c>
      <c r="J319" s="6">
        <f t="shared" ca="1" si="24"/>
        <v>28.862513715772618</v>
      </c>
    </row>
    <row r="320" spans="4:10" ht="11.25" customHeight="1" x14ac:dyDescent="0.2">
      <c r="D320" s="14">
        <v>2137</v>
      </c>
      <c r="J320" s="6">
        <f t="shared" ca="1" si="24"/>
        <v>28.862987472779949</v>
      </c>
    </row>
    <row r="321" spans="4:10" ht="11.25" customHeight="1" x14ac:dyDescent="0.2">
      <c r="D321" s="14">
        <v>2138</v>
      </c>
      <c r="J321" s="6">
        <f t="shared" ca="1" si="24"/>
        <v>28.863444383273904</v>
      </c>
    </row>
    <row r="322" spans="4:10" ht="11.25" customHeight="1" x14ac:dyDescent="0.2">
      <c r="D322" s="14">
        <v>2139</v>
      </c>
      <c r="J322" s="6">
        <f t="shared" ca="1" si="24"/>
        <v>28.863885045800853</v>
      </c>
    </row>
    <row r="323" spans="4:10" ht="11.25" customHeight="1" x14ac:dyDescent="0.2">
      <c r="D323" s="14">
        <v>2140</v>
      </c>
      <c r="J323" s="6">
        <f t="shared" ca="1" si="24"/>
        <v>28.8643100376765</v>
      </c>
    </row>
    <row r="324" spans="4:10" ht="11.25" customHeight="1" x14ac:dyDescent="0.2">
      <c r="D324" s="14">
        <v>2141</v>
      </c>
      <c r="J324" s="6">
        <f t="shared" ca="1" si="24"/>
        <v>28.86471991573648</v>
      </c>
    </row>
    <row r="325" spans="4:10" ht="11.25" customHeight="1" x14ac:dyDescent="0.2">
      <c r="D325" s="14">
        <v>2142</v>
      </c>
      <c r="J325" s="6">
        <f t="shared" ca="1" si="24"/>
        <v>28.865115217060602</v>
      </c>
    </row>
    <row r="326" spans="4:10" ht="11.25" customHeight="1" x14ac:dyDescent="0.2">
      <c r="D326" s="14">
        <v>2143</v>
      </c>
      <c r="J326" s="6">
        <f t="shared" ca="1" si="24"/>
        <v>28.865496459671572</v>
      </c>
    </row>
    <row r="327" spans="4:10" ht="11.25" customHeight="1" x14ac:dyDescent="0.2">
      <c r="D327" s="14">
        <v>2144</v>
      </c>
      <c r="J327" s="6">
        <f t="shared" ca="1" si="24"/>
        <v>28.865864143209258</v>
      </c>
    </row>
    <row r="328" spans="4:10" ht="11.25" customHeight="1" x14ac:dyDescent="0.2">
      <c r="D328" s="14">
        <v>2145</v>
      </c>
      <c r="J328" s="6">
        <f t="shared" ca="1" si="24"/>
        <v>28.866218749581172</v>
      </c>
    </row>
    <row r="329" spans="4:10" ht="11.25" customHeight="1" x14ac:dyDescent="0.2">
      <c r="D329" s="14">
        <v>2146</v>
      </c>
      <c r="J329" s="6">
        <f t="shared" ca="1" si="24"/>
        <v>28.866560743590053</v>
      </c>
    </row>
    <row r="330" spans="4:10" ht="11.25" customHeight="1" x14ac:dyDescent="0.2">
      <c r="D330" s="14">
        <v>2147</v>
      </c>
      <c r="J330" s="6">
        <f t="shared" ca="1" si="24"/>
        <v>28.866890573539415</v>
      </c>
    </row>
    <row r="331" spans="4:10" ht="11.25" customHeight="1" x14ac:dyDescent="0.2">
      <c r="D331" s="14">
        <v>2148</v>
      </c>
      <c r="J331" s="6">
        <f t="shared" ca="1" si="24"/>
        <v>28.867208671817707</v>
      </c>
    </row>
    <row r="332" spans="4:10" ht="11.25" customHeight="1" x14ac:dyDescent="0.2">
      <c r="D332" s="14">
        <v>2149</v>
      </c>
      <c r="J332" s="6">
        <f t="shared" ca="1" si="24"/>
        <v>28.867515455461952</v>
      </c>
    </row>
    <row r="333" spans="4:10" ht="11.25" customHeight="1" x14ac:dyDescent="0.2">
      <c r="D333" s="14">
        <v>2150</v>
      </c>
      <c r="J333" s="6">
        <f t="shared" ca="1" si="24"/>
        <v>28.867811326701471</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D1:U359"/>
  <sheetViews>
    <sheetView topLeftCell="A66" zoomScaleNormal="100" workbookViewId="0">
      <selection activeCell="A81" sqref="A81"/>
    </sheetView>
  </sheetViews>
  <sheetFormatPr baseColWidth="10" defaultColWidth="9.1640625" defaultRowHeight="11" x14ac:dyDescent="0.15"/>
  <cols>
    <col min="1" max="1" width="9.1640625" style="42"/>
    <col min="2" max="2" width="90.6640625" style="42" customWidth="1"/>
    <col min="3" max="3" width="9.1640625" style="42"/>
    <col min="4" max="4" width="4.5" style="42" bestFit="1" customWidth="1"/>
    <col min="5" max="5" width="5.6640625" style="42" bestFit="1" customWidth="1"/>
    <col min="6" max="6" width="4.5" style="42" bestFit="1" customWidth="1"/>
    <col min="7" max="7" width="7.1640625" style="42" bestFit="1" customWidth="1"/>
    <col min="8" max="8" width="8.6640625" style="42" bestFit="1" customWidth="1"/>
    <col min="9" max="9" width="5.33203125" style="42" bestFit="1" customWidth="1"/>
    <col min="10" max="10" width="3.1640625" style="42" bestFit="1" customWidth="1"/>
    <col min="11" max="11" width="5.1640625" style="42" customWidth="1"/>
    <col min="12" max="12" width="7" style="42" customWidth="1"/>
    <col min="13" max="13" width="14.1640625" style="42" bestFit="1" customWidth="1"/>
    <col min="14" max="14" width="12" style="42" bestFit="1" customWidth="1"/>
    <col min="15" max="15" width="8.1640625" style="42" bestFit="1" customWidth="1"/>
    <col min="16" max="16" width="4" style="42" bestFit="1" customWidth="1"/>
    <col min="17" max="16384" width="9.1640625" style="42"/>
  </cols>
  <sheetData>
    <row r="1" spans="4:21" x14ac:dyDescent="0.15">
      <c r="E1" s="11">
        <f ca="1">RSQ(OFFSET(G8,E3-D8,0):OFFSET(G8,E4-D8,0),OFFSET(D8,E3-D8,0):OFFSET(D8,E4-D8,0))</f>
        <v>0.99867916015649238</v>
      </c>
      <c r="F1" s="55">
        <v>5.0501587499966902</v>
      </c>
      <c r="G1" s="116" t="s">
        <v>72</v>
      </c>
      <c r="H1" s="6"/>
    </row>
    <row r="2" spans="4:21" x14ac:dyDescent="0.15">
      <c r="E2" s="12">
        <f ca="1" xml:space="preserve"> (- INTERCEPT(OFFSET(G8,E3-D8,0):OFFSET(G8,E4-D8,0),OFFSET(D8,E3-D8,0):OFFSET(D8,E4-D8,0)) - LN(9))/SLOPE(OFFSET(G8,E3-D8,0):OFFSET(G8,E4-D8,0),OFFSET(D8,E3-D8,0):OFFSET(D8,E4-D8,0))</f>
        <v>1880.9037071821499</v>
      </c>
      <c r="F2" s="12">
        <f ca="1" xml:space="preserve"> (- INTERCEPT(OFFSET(G8,E3-D8,0):OFFSET(G8,E4-D8,0),OFFSET(D8,E3-D8,0):OFFSET(D8,E4-D8,0)) + LN(9))/SLOPE(OFFSET(G8,E3-D8,0):OFFSET(G8,E4-D8,0),OFFSET(D8,E3-D8,0):OFFSET(D8,E4-D8,0))</f>
        <v>1952.5893510196295</v>
      </c>
      <c r="G2" s="116" t="s">
        <v>152</v>
      </c>
      <c r="H2" s="6"/>
      <c r="I2" s="100"/>
    </row>
    <row r="3" spans="4:21" x14ac:dyDescent="0.15">
      <c r="E3" s="3">
        <v>1873</v>
      </c>
      <c r="F3" s="8">
        <f ca="1">(E3-AVERAGE(E$2:F$2))/(F$2-E$2)*LN(81)</f>
        <v>-2.6817349686234966</v>
      </c>
      <c r="G3" s="116" t="s">
        <v>74</v>
      </c>
      <c r="H3" s="8"/>
      <c r="I3" s="6"/>
    </row>
    <row r="4" spans="4:21" x14ac:dyDescent="0.15">
      <c r="E4" s="3">
        <f ca="1">OFFSET(D9,COUNT(E10:E301),0)</f>
        <v>2009</v>
      </c>
      <c r="F4" s="8">
        <f ca="1">(E4-AVERAGE(E$2:F$2))/(F$2-E$2)*LN(81)</f>
        <v>5.6552911504469927</v>
      </c>
      <c r="H4" s="12"/>
      <c r="I4" s="6"/>
    </row>
    <row r="5" spans="4:21" x14ac:dyDescent="0.15">
      <c r="E5" s="11">
        <f ca="1">RSQ(OFFSET(K8,E3-D8,0):OFFSET(K8,E4-D8,0),OFFSET(D8,E3-D8,0):OFFSET(D8,E4-D8,0))</f>
        <v>0.99507772196659261</v>
      </c>
      <c r="F5" s="27">
        <v>5.0370599981198279</v>
      </c>
      <c r="G5" s="116" t="s">
        <v>73</v>
      </c>
      <c r="H5" s="3"/>
      <c r="I5" s="3"/>
    </row>
    <row r="7" spans="4:21" x14ac:dyDescent="0.15">
      <c r="D7" s="43"/>
      <c r="E7" s="29" t="s">
        <v>0</v>
      </c>
      <c r="F7" s="48" t="s">
        <v>1</v>
      </c>
      <c r="G7" s="48" t="s">
        <v>2</v>
      </c>
      <c r="H7" s="209" t="s">
        <v>217</v>
      </c>
      <c r="I7" s="69" t="s">
        <v>27</v>
      </c>
      <c r="J7" s="77" t="s">
        <v>41</v>
      </c>
      <c r="K7" s="59" t="s">
        <v>3</v>
      </c>
      <c r="N7" s="42" t="s">
        <v>166</v>
      </c>
      <c r="O7" s="141" t="s">
        <v>67</v>
      </c>
      <c r="P7" s="130" t="s">
        <v>40</v>
      </c>
      <c r="R7" s="11"/>
      <c r="S7" s="57"/>
      <c r="T7" s="3"/>
    </row>
    <row r="8" spans="4:21" x14ac:dyDescent="0.15">
      <c r="D8" s="44">
        <v>1799</v>
      </c>
      <c r="E8" s="16"/>
      <c r="F8" s="49">
        <v>0</v>
      </c>
      <c r="J8" s="6"/>
      <c r="M8" s="61" t="s">
        <v>21</v>
      </c>
      <c r="N8" s="200">
        <v>1892</v>
      </c>
      <c r="O8" s="47">
        <f t="shared" ref="O8:O16" si="0">LOOKUP(N8,D$82:D$293,F$82:F$293) + P8</f>
        <v>7.9299308141907758</v>
      </c>
      <c r="P8" s="47">
        <v>7.0086915827798233</v>
      </c>
      <c r="R8" s="55"/>
      <c r="S8" s="55"/>
      <c r="T8" s="68"/>
    </row>
    <row r="9" spans="4:21" x14ac:dyDescent="0.15">
      <c r="D9" s="44">
        <v>1800</v>
      </c>
      <c r="E9" s="21">
        <v>2.2679618519018917E-4</v>
      </c>
      <c r="F9" s="6">
        <f>F8+E9/1000</f>
        <v>2.2679618519018918E-7</v>
      </c>
      <c r="G9" s="8">
        <f t="shared" ref="G9:G72" si="1" xml:space="preserve"> -LN(F$1/F9-1)</f>
        <v>-16.918633718910716</v>
      </c>
      <c r="H9" s="3"/>
      <c r="I9" s="6">
        <f t="shared" ref="I9:I72" ca="1" si="2" xml:space="preserve"> G9*(F$2-E$2)/LN(81) + AVERAGE(E$2:F$2) - D9</f>
        <v>-159.24327264731346</v>
      </c>
      <c r="J9" s="6"/>
      <c r="K9" s="6">
        <f>NORMSINV(F9/F$5)</f>
        <v>-5.3457347221764708</v>
      </c>
      <c r="M9" s="61" t="s">
        <v>22</v>
      </c>
      <c r="N9" s="200">
        <v>1921</v>
      </c>
      <c r="O9" s="47">
        <f t="shared" si="0"/>
        <v>12.02411155247967</v>
      </c>
      <c r="P9" s="47">
        <v>9.1230852017657327</v>
      </c>
      <c r="R9" s="6"/>
      <c r="S9" s="46"/>
      <c r="T9" s="67"/>
    </row>
    <row r="10" spans="4:21" x14ac:dyDescent="0.15">
      <c r="D10" s="44">
        <v>1801</v>
      </c>
      <c r="E10" s="21">
        <v>2.2679618519018917E-4</v>
      </c>
      <c r="F10" s="6">
        <f t="shared" ref="F10:F73" si="3">F9+E10/1000</f>
        <v>4.5359237038037835E-7</v>
      </c>
      <c r="G10" s="8">
        <f t="shared" si="1"/>
        <v>-16.225486493442041</v>
      </c>
      <c r="I10" s="6">
        <f t="shared" ca="1" si="2"/>
        <v>-148.93612051447963</v>
      </c>
      <c r="J10" s="6"/>
      <c r="K10" s="6">
        <f t="shared" ref="K10:K73" si="4">NORMSINV(F10/F$5)</f>
        <v>-5.2187836100309726</v>
      </c>
      <c r="M10" s="61" t="s">
        <v>23</v>
      </c>
      <c r="N10" s="201">
        <v>1944</v>
      </c>
      <c r="O10" s="47">
        <f t="shared" si="0"/>
        <v>14.189600848456632</v>
      </c>
      <c r="P10" s="47">
        <v>9.9769872647313615</v>
      </c>
      <c r="R10" s="6"/>
      <c r="S10" s="46"/>
      <c r="T10" s="64"/>
    </row>
    <row r="11" spans="4:21" x14ac:dyDescent="0.15">
      <c r="D11" s="44">
        <v>1802</v>
      </c>
      <c r="E11" s="21">
        <v>2.2679618519018917E-4</v>
      </c>
      <c r="F11" s="6">
        <f t="shared" si="3"/>
        <v>6.803885555705675E-7</v>
      </c>
      <c r="G11" s="8">
        <f t="shared" si="1"/>
        <v>-15.82002134042515</v>
      </c>
      <c r="I11" s="6">
        <f t="shared" ca="1" si="2"/>
        <v>-143.3218602227721</v>
      </c>
      <c r="J11" s="6"/>
      <c r="K11" s="6">
        <f t="shared" si="4"/>
        <v>-5.1431616013002488</v>
      </c>
      <c r="M11" s="61" t="s">
        <v>24</v>
      </c>
      <c r="N11" s="200">
        <v>1964</v>
      </c>
      <c r="O11" s="47">
        <f t="shared" si="0"/>
        <v>15.344410588511511</v>
      </c>
      <c r="P11" s="47">
        <v>10.523342992824777</v>
      </c>
      <c r="R11" s="13"/>
      <c r="S11" s="37"/>
      <c r="T11" s="3"/>
    </row>
    <row r="12" spans="4:21" x14ac:dyDescent="0.15">
      <c r="D12" s="44">
        <v>1803</v>
      </c>
      <c r="E12" s="21">
        <v>2.7215542222822699E-4</v>
      </c>
      <c r="F12" s="6">
        <f t="shared" si="3"/>
        <v>9.5254397779879448E-7</v>
      </c>
      <c r="G12" s="8">
        <f t="shared" si="1"/>
        <v>-15.483549049913458</v>
      </c>
      <c r="I12" s="6">
        <f t="shared" ca="1" si="2"/>
        <v>-138.83306471511287</v>
      </c>
      <c r="J12" s="6"/>
      <c r="K12" s="6">
        <f t="shared" si="4"/>
        <v>-5.0796080994619333</v>
      </c>
      <c r="M12" s="61" t="s">
        <v>25</v>
      </c>
      <c r="N12" s="200">
        <v>1978</v>
      </c>
      <c r="O12" s="47">
        <f t="shared" si="0"/>
        <v>8.2005475721735959</v>
      </c>
      <c r="P12" s="47">
        <v>3.2666851617443715</v>
      </c>
      <c r="R12" s="12"/>
      <c r="S12" s="54"/>
      <c r="T12" s="3"/>
    </row>
    <row r="13" spans="4:21" x14ac:dyDescent="0.15">
      <c r="D13" s="44">
        <v>1804</v>
      </c>
      <c r="E13" s="21">
        <v>3.1751465926626481E-4</v>
      </c>
      <c r="F13" s="6">
        <f t="shared" si="3"/>
        <v>1.2700586370650592E-6</v>
      </c>
      <c r="G13" s="8">
        <f t="shared" si="1"/>
        <v>-15.19586691458945</v>
      </c>
      <c r="I13" s="6">
        <f t="shared" ca="1" si="2"/>
        <v>-135.14017184836644</v>
      </c>
      <c r="J13" s="6"/>
      <c r="K13" s="6">
        <f t="shared" si="4"/>
        <v>-5.0246750355635355</v>
      </c>
      <c r="M13" s="61" t="s">
        <v>25</v>
      </c>
      <c r="N13" s="200">
        <v>1991</v>
      </c>
      <c r="O13" s="47">
        <f t="shared" si="0"/>
        <v>5.6773623133740649</v>
      </c>
      <c r="P13" s="47">
        <v>0.69308914194121807</v>
      </c>
      <c r="R13" s="6"/>
      <c r="S13" s="54"/>
      <c r="T13" s="3"/>
    </row>
    <row r="14" spans="4:21" x14ac:dyDescent="0.15">
      <c r="D14" s="44">
        <v>1805</v>
      </c>
      <c r="E14" s="21">
        <v>3.6287389630430264E-4</v>
      </c>
      <c r="F14" s="6">
        <f t="shared" si="3"/>
        <v>1.6329325333693619E-6</v>
      </c>
      <c r="G14" s="8">
        <f t="shared" si="1"/>
        <v>-14.944552414454567</v>
      </c>
      <c r="I14" s="6">
        <f t="shared" ca="1" si="2"/>
        <v>-132.04053589542605</v>
      </c>
      <c r="J14" s="6"/>
      <c r="K14" s="6">
        <f t="shared" si="4"/>
        <v>-4.9762236472775312</v>
      </c>
      <c r="M14" s="61" t="s">
        <v>25</v>
      </c>
      <c r="N14" s="200">
        <v>2001</v>
      </c>
      <c r="O14" s="47">
        <f t="shared" si="0"/>
        <v>5.7137895319245127</v>
      </c>
      <c r="P14" s="47">
        <v>0.69036758771893569</v>
      </c>
      <c r="R14" s="3"/>
      <c r="S14" s="8"/>
      <c r="T14" s="57"/>
    </row>
    <row r="15" spans="4:21" x14ac:dyDescent="0.15">
      <c r="D15" s="44">
        <v>1806</v>
      </c>
      <c r="E15" s="21">
        <v>3.6287389630430264E-4</v>
      </c>
      <c r="F15" s="6">
        <f t="shared" si="3"/>
        <v>1.9958064296736647E-6</v>
      </c>
      <c r="G15" s="8">
        <f t="shared" si="1"/>
        <v>-14.74388164713843</v>
      </c>
      <c r="I15" s="6">
        <f t="shared" ca="1" si="2"/>
        <v>-129.76703957129121</v>
      </c>
      <c r="J15" s="6"/>
      <c r="K15" s="6">
        <f t="shared" si="4"/>
        <v>-4.9372179488844372</v>
      </c>
      <c r="M15" s="61" t="s">
        <v>25</v>
      </c>
      <c r="N15" s="201">
        <v>2005</v>
      </c>
      <c r="O15" s="47">
        <f t="shared" si="0"/>
        <v>5.718387807342733</v>
      </c>
      <c r="P15" s="47">
        <v>0.68946040297817501</v>
      </c>
      <c r="R15" s="3"/>
      <c r="S15" s="8"/>
      <c r="T15" s="10"/>
    </row>
    <row r="16" spans="4:21" x14ac:dyDescent="0.15">
      <c r="D16" s="44">
        <v>1807</v>
      </c>
      <c r="E16" s="21">
        <v>4.0823313334234046E-4</v>
      </c>
      <c r="F16" s="6">
        <f t="shared" si="3"/>
        <v>2.4040395630160054E-6</v>
      </c>
      <c r="G16" s="8">
        <f t="shared" si="1"/>
        <v>-14.557779286668831</v>
      </c>
      <c r="I16" s="6">
        <f t="shared" ca="1" si="2"/>
        <v>-127.73119433554575</v>
      </c>
      <c r="J16" s="6"/>
      <c r="K16" s="6">
        <f t="shared" si="4"/>
        <v>-4.9007858171812906</v>
      </c>
      <c r="M16" s="341" t="s">
        <v>25</v>
      </c>
      <c r="N16" s="42">
        <v>2008</v>
      </c>
      <c r="O16" s="47">
        <f t="shared" si="0"/>
        <v>5.7218414336722221</v>
      </c>
      <c r="P16" s="56">
        <v>0.68855321766000011</v>
      </c>
      <c r="R16" s="12"/>
      <c r="S16" s="12"/>
      <c r="T16" s="58"/>
      <c r="U16" s="57"/>
    </row>
    <row r="17" spans="4:21" x14ac:dyDescent="0.15">
      <c r="D17" s="44">
        <v>1808</v>
      </c>
      <c r="E17" s="21">
        <v>8.6182550372271868E-4</v>
      </c>
      <c r="F17" s="6">
        <f t="shared" si="3"/>
        <v>3.2658650667387242E-6</v>
      </c>
      <c r="G17" s="8">
        <f t="shared" si="1"/>
        <v>-14.251404910551651</v>
      </c>
      <c r="I17" s="6">
        <f t="shared" ca="1" si="2"/>
        <v>-123.73337922055816</v>
      </c>
      <c r="J17" s="6"/>
      <c r="K17" s="6">
        <f t="shared" si="4"/>
        <v>-4.8402537249783837</v>
      </c>
      <c r="R17" s="89"/>
      <c r="S17" s="90"/>
      <c r="T17" s="91"/>
      <c r="U17" s="57"/>
    </row>
    <row r="18" spans="4:21" x14ac:dyDescent="0.15">
      <c r="D18" s="44">
        <v>1809</v>
      </c>
      <c r="E18" s="21">
        <v>1.3154178741030971E-3</v>
      </c>
      <c r="F18" s="6">
        <f t="shared" si="3"/>
        <v>4.5812829408418212E-6</v>
      </c>
      <c r="G18" s="8">
        <f t="shared" si="1"/>
        <v>-13.912950252255646</v>
      </c>
      <c r="I18" s="6">
        <f t="shared" ca="1" si="2"/>
        <v>-119.21224580069679</v>
      </c>
      <c r="J18" s="6"/>
      <c r="K18" s="6">
        <f t="shared" si="4"/>
        <v>-4.7725553969737389</v>
      </c>
      <c r="R18" s="12"/>
      <c r="S18" s="12"/>
      <c r="T18" s="58"/>
      <c r="U18" s="57"/>
    </row>
    <row r="19" spans="4:21" x14ac:dyDescent="0.15">
      <c r="D19" s="44">
        <v>1810</v>
      </c>
      <c r="E19" s="21">
        <v>1.9958064296736644E-3</v>
      </c>
      <c r="F19" s="6">
        <f t="shared" si="3"/>
        <v>6.5770893705154859E-6</v>
      </c>
      <c r="G19" s="8">
        <f t="shared" si="1"/>
        <v>-13.551336631479124</v>
      </c>
      <c r="I19" s="6">
        <f t="shared" ca="1" si="2"/>
        <v>-114.31332552346385</v>
      </c>
      <c r="J19" s="6"/>
      <c r="K19" s="6">
        <f t="shared" si="4"/>
        <v>-4.6992270863276024</v>
      </c>
      <c r="R19" s="11"/>
      <c r="S19" s="27"/>
      <c r="T19" s="63"/>
    </row>
    <row r="20" spans="4:21" x14ac:dyDescent="0.15">
      <c r="D20" s="44">
        <v>1811</v>
      </c>
      <c r="E20" s="21">
        <v>1.9958064296736644E-3</v>
      </c>
      <c r="F20" s="6">
        <f t="shared" si="3"/>
        <v>8.5728958001891506E-6</v>
      </c>
      <c r="G20" s="8">
        <f t="shared" si="1"/>
        <v>-13.286322963642693</v>
      </c>
      <c r="I20" s="6">
        <f t="shared" ca="1" si="2"/>
        <v>-110.99021818146912</v>
      </c>
      <c r="J20" s="6"/>
      <c r="K20" s="6">
        <f t="shared" si="4"/>
        <v>-4.6448080195066783</v>
      </c>
    </row>
    <row r="21" spans="4:21" x14ac:dyDescent="0.15">
      <c r="D21" s="44">
        <v>1812</v>
      </c>
      <c r="E21" s="21">
        <v>2.0865249037497402E-3</v>
      </c>
      <c r="F21" s="6">
        <f t="shared" si="3"/>
        <v>1.065942070393889E-5</v>
      </c>
      <c r="G21" s="8">
        <f t="shared" si="1"/>
        <v>-13.068484051397128</v>
      </c>
      <c r="I21" s="6">
        <f t="shared" ca="1" si="2"/>
        <v>-108.43666183628397</v>
      </c>
      <c r="J21" s="6"/>
      <c r="K21" s="6">
        <f t="shared" si="4"/>
        <v>-4.5996310963689417</v>
      </c>
    </row>
    <row r="22" spans="4:21" x14ac:dyDescent="0.15">
      <c r="D22" s="44">
        <v>1813</v>
      </c>
      <c r="E22" s="21">
        <v>2.0865249037497402E-3</v>
      </c>
      <c r="F22" s="6">
        <f t="shared" si="3"/>
        <v>1.274594560768863E-5</v>
      </c>
      <c r="G22" s="8">
        <f t="shared" si="1"/>
        <v>-12.889714483046324</v>
      </c>
      <c r="I22" s="6">
        <f t="shared" ca="1" si="2"/>
        <v>-106.5204347610088</v>
      </c>
      <c r="J22" s="6"/>
      <c r="K22" s="6">
        <f t="shared" si="4"/>
        <v>-4.5622486109962752</v>
      </c>
    </row>
    <row r="23" spans="4:21" x14ac:dyDescent="0.15">
      <c r="D23" s="44">
        <v>1814</v>
      </c>
      <c r="E23" s="21">
        <v>2.1772433778258159E-3</v>
      </c>
      <c r="F23" s="6">
        <f t="shared" si="3"/>
        <v>1.4923188985514445E-5</v>
      </c>
      <c r="G23" s="8">
        <f t="shared" si="1"/>
        <v>-12.732010970489767</v>
      </c>
      <c r="I23" s="6">
        <f t="shared" ca="1" si="2"/>
        <v>-104.94785343508124</v>
      </c>
      <c r="J23" s="6"/>
      <c r="K23" s="6">
        <f t="shared" si="4"/>
        <v>-4.5290354124640926</v>
      </c>
    </row>
    <row r="24" spans="4:21" x14ac:dyDescent="0.15">
      <c r="D24" s="44">
        <v>1815</v>
      </c>
      <c r="E24" s="21">
        <v>2.1772433778258159E-3</v>
      </c>
      <c r="F24" s="6">
        <f t="shared" si="3"/>
        <v>1.7100432363340262E-5</v>
      </c>
      <c r="G24" s="8">
        <f t="shared" si="1"/>
        <v>-12.595823102682012</v>
      </c>
      <c r="I24" s="6">
        <f t="shared" ca="1" si="2"/>
        <v>-103.72625190027406</v>
      </c>
      <c r="J24" s="6"/>
      <c r="K24" s="6">
        <f t="shared" si="4"/>
        <v>-4.5001721053455892</v>
      </c>
    </row>
    <row r="25" spans="4:21" x14ac:dyDescent="0.15">
      <c r="D25" s="44">
        <v>1816</v>
      </c>
      <c r="E25" s="21">
        <v>2.1772433778258159E-3</v>
      </c>
      <c r="F25" s="6">
        <f t="shared" si="3"/>
        <v>1.9277675741166079E-5</v>
      </c>
      <c r="G25" s="8">
        <f t="shared" si="1"/>
        <v>-12.475978690080302</v>
      </c>
      <c r="I25" s="6">
        <f t="shared" ca="1" si="2"/>
        <v>-102.77125741170585</v>
      </c>
      <c r="J25" s="6"/>
      <c r="K25" s="6">
        <f t="shared" si="4"/>
        <v>-4.4746310632876565</v>
      </c>
    </row>
    <row r="26" spans="4:21" x14ac:dyDescent="0.15">
      <c r="D26" s="44">
        <v>1817</v>
      </c>
      <c r="E26" s="21">
        <v>2.1772433778258159E-3</v>
      </c>
      <c r="F26" s="6">
        <f t="shared" si="3"/>
        <v>2.1454919118991895E-5</v>
      </c>
      <c r="G26" s="8">
        <f t="shared" si="1"/>
        <v>-12.368972039387298</v>
      </c>
      <c r="I26" s="6">
        <f t="shared" ca="1" si="2"/>
        <v>-102.02568239653829</v>
      </c>
      <c r="J26" s="6"/>
      <c r="K26" s="6">
        <f t="shared" si="4"/>
        <v>-4.4517122781177996</v>
      </c>
    </row>
    <row r="27" spans="4:21" x14ac:dyDescent="0.15">
      <c r="D27" s="44">
        <v>1818</v>
      </c>
      <c r="E27" s="21">
        <v>2.4493988000540432E-3</v>
      </c>
      <c r="F27" s="6">
        <f t="shared" si="3"/>
        <v>2.3904317919045937E-5</v>
      </c>
      <c r="G27" s="8">
        <f t="shared" si="1"/>
        <v>-12.260866394321472</v>
      </c>
      <c r="I27" s="6">
        <f t="shared" ca="1" si="2"/>
        <v>-101.26217973756002</v>
      </c>
      <c r="J27" s="6"/>
      <c r="K27" s="6">
        <f t="shared" si="4"/>
        <v>-4.4284476006627083</v>
      </c>
    </row>
    <row r="28" spans="4:21" x14ac:dyDescent="0.15">
      <c r="D28" s="44">
        <v>1819</v>
      </c>
      <c r="E28" s="21">
        <v>2.9029911704344211E-3</v>
      </c>
      <c r="F28" s="6">
        <f t="shared" si="3"/>
        <v>2.6807309089480359E-5</v>
      </c>
      <c r="G28" s="8">
        <f t="shared" si="1"/>
        <v>-12.146250350622184</v>
      </c>
      <c r="I28" s="6">
        <f t="shared" ca="1" si="2"/>
        <v>-100.39247443491649</v>
      </c>
      <c r="J28" s="6"/>
      <c r="K28" s="6">
        <f t="shared" si="4"/>
        <v>-4.4036588083559352</v>
      </c>
    </row>
    <row r="29" spans="4:21" x14ac:dyDescent="0.15">
      <c r="D29" s="44">
        <v>1820</v>
      </c>
      <c r="E29" s="21">
        <v>3.6877059711924757E-3</v>
      </c>
      <c r="F29" s="6">
        <f t="shared" si="3"/>
        <v>3.0495015060672834E-5</v>
      </c>
      <c r="G29" s="8">
        <f t="shared" si="1"/>
        <v>-12.017360968333296</v>
      </c>
      <c r="I29" s="6">
        <f t="shared" ca="1" si="2"/>
        <v>-99.289931424862516</v>
      </c>
      <c r="J29" s="6"/>
      <c r="K29" s="6">
        <f t="shared" si="4"/>
        <v>-4.3756293807236615</v>
      </c>
    </row>
    <row r="30" spans="4:21" x14ac:dyDescent="0.15">
      <c r="D30" s="44">
        <v>1821</v>
      </c>
      <c r="E30" s="21">
        <v>3.3257392596289337E-3</v>
      </c>
      <c r="F30" s="6">
        <f t="shared" si="3"/>
        <v>3.3820754320301769E-5</v>
      </c>
      <c r="G30" s="8">
        <f t="shared" si="1"/>
        <v>-11.913848892216608</v>
      </c>
      <c r="I30" s="6">
        <f t="shared" ca="1" si="2"/>
        <v>-98.601362605380473</v>
      </c>
      <c r="J30" s="6"/>
      <c r="K30" s="6">
        <f t="shared" si="4"/>
        <v>-4.3529991404366744</v>
      </c>
    </row>
    <row r="31" spans="4:21" x14ac:dyDescent="0.15">
      <c r="D31" s="44">
        <v>1822</v>
      </c>
      <c r="E31" s="21">
        <v>5.019453170629266E-3</v>
      </c>
      <c r="F31" s="6">
        <f t="shared" si="3"/>
        <v>3.8840207490931033E-5</v>
      </c>
      <c r="G31" s="8">
        <f t="shared" si="1"/>
        <v>-11.775466559876516</v>
      </c>
      <c r="I31" s="6">
        <f t="shared" ca="1" si="2"/>
        <v>-97.343963272637211</v>
      </c>
      <c r="J31" s="6"/>
      <c r="K31" s="6">
        <f t="shared" si="4"/>
        <v>-4.3225762368496046</v>
      </c>
    </row>
    <row r="32" spans="4:21" x14ac:dyDescent="0.15">
      <c r="D32" s="44">
        <v>1823</v>
      </c>
      <c r="E32" s="21">
        <v>9.1680089901282069E-3</v>
      </c>
      <c r="F32" s="6">
        <f t="shared" si="3"/>
        <v>4.8008216481059239E-5</v>
      </c>
      <c r="G32" s="8">
        <f t="shared" si="1"/>
        <v>-11.563548557128925</v>
      </c>
      <c r="I32" s="6">
        <f t="shared" ca="1" si="2"/>
        <v>-94.886993369694665</v>
      </c>
      <c r="J32" s="6"/>
      <c r="K32" s="6">
        <f t="shared" si="4"/>
        <v>-4.275603764821251</v>
      </c>
    </row>
    <row r="33" spans="4:11" x14ac:dyDescent="0.15">
      <c r="D33" s="44">
        <v>1824</v>
      </c>
      <c r="E33" s="21">
        <v>1.3859968469342839E-2</v>
      </c>
      <c r="F33" s="6">
        <f t="shared" si="3"/>
        <v>6.1868184950402078E-5</v>
      </c>
      <c r="G33" s="8">
        <f t="shared" si="1"/>
        <v>-11.309911912977666</v>
      </c>
      <c r="I33" s="6">
        <f t="shared" ca="1" si="2"/>
        <v>-91.749476812601642</v>
      </c>
      <c r="J33" s="6"/>
      <c r="K33" s="6">
        <f t="shared" si="4"/>
        <v>-4.2187578128689687</v>
      </c>
    </row>
    <row r="34" spans="4:11" x14ac:dyDescent="0.15">
      <c r="D34" s="44">
        <v>1825</v>
      </c>
      <c r="E34" s="21">
        <v>3.9116898836863069E-2</v>
      </c>
      <c r="F34" s="6">
        <f t="shared" si="3"/>
        <v>1.0098508378726515E-4</v>
      </c>
      <c r="G34" s="8">
        <f t="shared" si="1"/>
        <v>-10.819937419122624</v>
      </c>
      <c r="I34" s="6">
        <f t="shared" ca="1" si="2"/>
        <v>-84.756634975167799</v>
      </c>
      <c r="J34" s="6"/>
      <c r="K34" s="6">
        <f t="shared" si="4"/>
        <v>-4.1069209618585489</v>
      </c>
    </row>
    <row r="35" spans="4:11" x14ac:dyDescent="0.15">
      <c r="D35" s="44">
        <v>1826</v>
      </c>
      <c r="E35" s="21">
        <v>5.5694792789525133E-2</v>
      </c>
      <c r="F35" s="6">
        <f t="shared" si="3"/>
        <v>1.5667987657679028E-4</v>
      </c>
      <c r="G35" s="8">
        <f t="shared" si="1"/>
        <v>-10.380694490119593</v>
      </c>
      <c r="I35" s="6">
        <f t="shared" ca="1" si="2"/>
        <v>-78.591365550406636</v>
      </c>
      <c r="J35" s="6"/>
      <c r="K35" s="6">
        <f t="shared" si="4"/>
        <v>-4.0042640645215268</v>
      </c>
    </row>
    <row r="36" spans="4:11" x14ac:dyDescent="0.15">
      <c r="D36" s="44">
        <v>1827</v>
      </c>
      <c r="E36" s="21">
        <v>7.2308974131817624E-2</v>
      </c>
      <c r="F36" s="6">
        <f t="shared" si="3"/>
        <v>2.289888507086079E-4</v>
      </c>
      <c r="G36" s="8">
        <f t="shared" si="1"/>
        <v>-10.001211576963831</v>
      </c>
      <c r="I36" s="6">
        <f t="shared" ca="1" si="2"/>
        <v>-73.400947594160698</v>
      </c>
      <c r="J36" s="6"/>
      <c r="K36" s="6">
        <f t="shared" si="4"/>
        <v>-3.9136227978200591</v>
      </c>
    </row>
    <row r="37" spans="4:11" x14ac:dyDescent="0.15">
      <c r="D37" s="44">
        <v>1828</v>
      </c>
      <c r="E37" s="21">
        <v>9.338922595287534E-2</v>
      </c>
      <c r="F37" s="6">
        <f t="shared" si="3"/>
        <v>3.2237807666148327E-4</v>
      </c>
      <c r="G37" s="8">
        <f t="shared" si="1"/>
        <v>-9.6591413912359076</v>
      </c>
      <c r="I37" s="6">
        <f t="shared" ca="1" si="2"/>
        <v>-68.820834902348224</v>
      </c>
      <c r="J37" s="6"/>
      <c r="K37" s="6">
        <f t="shared" si="4"/>
        <v>-3.8302704861834793</v>
      </c>
    </row>
    <row r="38" spans="4:11" x14ac:dyDescent="0.15">
      <c r="D38" s="44">
        <v>1829</v>
      </c>
      <c r="E38" s="21">
        <v>0.13534016991987499</v>
      </c>
      <c r="F38" s="6">
        <f t="shared" si="3"/>
        <v>4.5771824658135828E-4</v>
      </c>
      <c r="G38" s="8">
        <f t="shared" si="1"/>
        <v>-9.3085857851901732</v>
      </c>
      <c r="I38" s="6">
        <f t="shared" ca="1" si="2"/>
        <v>-64.102301489916726</v>
      </c>
      <c r="J38" s="6"/>
      <c r="K38" s="6">
        <f t="shared" si="4"/>
        <v>-3.743132627090656</v>
      </c>
    </row>
    <row r="39" spans="4:11" x14ac:dyDescent="0.15">
      <c r="D39" s="44">
        <v>1830</v>
      </c>
      <c r="E39" s="21">
        <v>0.21299790528321805</v>
      </c>
      <c r="F39" s="6">
        <f t="shared" si="3"/>
        <v>6.7071615186457627E-4</v>
      </c>
      <c r="G39" s="8">
        <f t="shared" si="1"/>
        <v>-8.9264513917597519</v>
      </c>
      <c r="I39" s="6">
        <f t="shared" ca="1" si="2"/>
        <v>-58.868630542471919</v>
      </c>
      <c r="J39" s="6"/>
      <c r="K39" s="6">
        <f t="shared" si="4"/>
        <v>-3.6460399881652079</v>
      </c>
    </row>
    <row r="40" spans="4:11" x14ac:dyDescent="0.15">
      <c r="D40" s="44">
        <v>1831</v>
      </c>
      <c r="E40" s="21">
        <v>0.23401556135716325</v>
      </c>
      <c r="F40" s="6">
        <f t="shared" si="3"/>
        <v>9.0473171322173946E-4</v>
      </c>
      <c r="G40" s="8">
        <f t="shared" si="1"/>
        <v>-8.6271126209168525</v>
      </c>
      <c r="I40" s="6">
        <f t="shared" ca="1" si="2"/>
        <v>-54.985585646941217</v>
      </c>
      <c r="J40" s="6"/>
      <c r="K40" s="6">
        <f t="shared" si="4"/>
        <v>-3.5683546312009411</v>
      </c>
    </row>
    <row r="41" spans="4:11" x14ac:dyDescent="0.15">
      <c r="D41" s="44">
        <v>1832</v>
      </c>
      <c r="E41" s="21">
        <v>0.45536228780960258</v>
      </c>
      <c r="F41" s="6">
        <f t="shared" si="3"/>
        <v>1.3600940010313422E-3</v>
      </c>
      <c r="G41" s="8">
        <f t="shared" si="1"/>
        <v>-8.2193517883024718</v>
      </c>
      <c r="I41" s="6">
        <f t="shared" ca="1" si="2"/>
        <v>-49.33387645909238</v>
      </c>
      <c r="J41" s="6"/>
      <c r="K41" s="6">
        <f t="shared" si="4"/>
        <v>-3.4600700597001124</v>
      </c>
    </row>
    <row r="42" spans="4:11" x14ac:dyDescent="0.15">
      <c r="D42" s="44">
        <v>1833</v>
      </c>
      <c r="E42" s="21">
        <v>0.60171295892809085</v>
      </c>
      <c r="F42" s="6">
        <f t="shared" si="3"/>
        <v>1.9618069599594331E-3</v>
      </c>
      <c r="G42" s="8">
        <f t="shared" si="1"/>
        <v>-7.8529204506489068</v>
      </c>
      <c r="I42" s="6">
        <f t="shared" ca="1" si="2"/>
        <v>-44.356365868488638</v>
      </c>
      <c r="J42" s="6"/>
      <c r="K42" s="6">
        <f t="shared" si="4"/>
        <v>-3.3601685971897233</v>
      </c>
    </row>
    <row r="43" spans="4:11" x14ac:dyDescent="0.15">
      <c r="D43" s="44">
        <v>1834</v>
      </c>
      <c r="E43" s="21">
        <v>0.46419010252194548</v>
      </c>
      <c r="F43" s="6">
        <f t="shared" si="3"/>
        <v>2.4259970624813786E-3</v>
      </c>
      <c r="G43" s="8">
        <f t="shared" si="1"/>
        <v>-7.640451861969205</v>
      </c>
      <c r="I43" s="6">
        <f t="shared" ca="1" si="2"/>
        <v>-41.890414383181223</v>
      </c>
      <c r="J43" s="6"/>
      <c r="K43" s="6">
        <f t="shared" si="4"/>
        <v>-3.3010435926753008</v>
      </c>
    </row>
    <row r="44" spans="4:11" x14ac:dyDescent="0.15">
      <c r="D44" s="44">
        <v>1835</v>
      </c>
      <c r="E44" s="21">
        <v>0.68940506470898866</v>
      </c>
      <c r="F44" s="6">
        <f t="shared" si="3"/>
        <v>3.1154021271903674E-3</v>
      </c>
      <c r="G44" s="8">
        <f t="shared" si="1"/>
        <v>-7.3901996374335841</v>
      </c>
      <c r="I44" s="6">
        <f t="shared" ca="1" si="2"/>
        <v>-38.808107089097803</v>
      </c>
      <c r="J44" s="6"/>
      <c r="K44" s="6">
        <f t="shared" si="4"/>
        <v>-3.230210224912704</v>
      </c>
    </row>
    <row r="45" spans="4:11" x14ac:dyDescent="0.15">
      <c r="D45" s="44">
        <v>1836</v>
      </c>
      <c r="E45" s="21">
        <v>0.83897896321139986</v>
      </c>
      <c r="F45" s="6">
        <f t="shared" si="3"/>
        <v>3.9543810904017675E-3</v>
      </c>
      <c r="G45" s="8">
        <f t="shared" si="1"/>
        <v>-7.1515675284655336</v>
      </c>
      <c r="I45" s="6">
        <f t="shared" ca="1" si="2"/>
        <v>-35.915356082186918</v>
      </c>
      <c r="J45" s="6"/>
      <c r="K45" s="6">
        <f t="shared" si="4"/>
        <v>-3.1614023107241693</v>
      </c>
    </row>
    <row r="46" spans="4:11" x14ac:dyDescent="0.15">
      <c r="D46" s="44">
        <v>1837</v>
      </c>
      <c r="E46" s="21">
        <v>1.0559176790084828</v>
      </c>
      <c r="F46" s="6">
        <f t="shared" si="3"/>
        <v>5.0102987694102506E-3</v>
      </c>
      <c r="G46" s="8">
        <f t="shared" si="1"/>
        <v>-6.9146868098399707</v>
      </c>
      <c r="I46" s="6">
        <f t="shared" ca="1" si="2"/>
        <v>-33.051175105305219</v>
      </c>
      <c r="J46" s="6"/>
      <c r="K46" s="6">
        <f t="shared" si="4"/>
        <v>-3.0918140470641409</v>
      </c>
    </row>
    <row r="47" spans="4:11" x14ac:dyDescent="0.15">
      <c r="D47" s="44">
        <v>1838</v>
      </c>
      <c r="E47" s="21">
        <v>0.88702255989734879</v>
      </c>
      <c r="F47" s="6">
        <f t="shared" si="3"/>
        <v>5.8973213293075991E-3</v>
      </c>
      <c r="G47" s="8">
        <f t="shared" si="1"/>
        <v>-6.7515082895391441</v>
      </c>
      <c r="I47" s="6">
        <f t="shared" ca="1" si="2"/>
        <v>-31.389281230444112</v>
      </c>
      <c r="J47" s="6"/>
      <c r="K47" s="6">
        <f t="shared" si="4"/>
        <v>-3.0430964375354916</v>
      </c>
    </row>
    <row r="48" spans="4:11" x14ac:dyDescent="0.15">
      <c r="D48" s="44">
        <v>1839</v>
      </c>
      <c r="E48" s="21">
        <v>0.97279959869050059</v>
      </c>
      <c r="F48" s="6">
        <f t="shared" si="3"/>
        <v>6.8701209279980998E-3</v>
      </c>
      <c r="G48" s="8">
        <f t="shared" si="1"/>
        <v>-6.5986319456356544</v>
      </c>
      <c r="I48" s="6">
        <f t="shared" ca="1" si="2"/>
        <v>-29.895444402547355</v>
      </c>
      <c r="J48" s="6"/>
      <c r="K48" s="6">
        <f t="shared" si="4"/>
        <v>-2.996852157500888</v>
      </c>
    </row>
    <row r="49" spans="4:11" x14ac:dyDescent="0.15">
      <c r="D49" s="44">
        <v>1840</v>
      </c>
      <c r="E49" s="21">
        <v>1.024398452375491</v>
      </c>
      <c r="F49" s="6">
        <f t="shared" si="3"/>
        <v>7.8945193803735911E-3</v>
      </c>
      <c r="G49" s="8">
        <f t="shared" si="1"/>
        <v>-6.45944174289055</v>
      </c>
      <c r="I49" s="6">
        <f t="shared" ca="1" si="2"/>
        <v>-28.624866464686193</v>
      </c>
      <c r="J49" s="6"/>
      <c r="K49" s="6">
        <f t="shared" si="4"/>
        <v>-2.9542229823246506</v>
      </c>
    </row>
    <row r="50" spans="4:11" x14ac:dyDescent="0.15">
      <c r="D50" s="44">
        <v>1841</v>
      </c>
      <c r="E50" s="21">
        <v>1.1450903102863019</v>
      </c>
      <c r="F50" s="6">
        <f t="shared" si="3"/>
        <v>9.0396096906598927E-3</v>
      </c>
      <c r="G50" s="8">
        <f t="shared" si="1"/>
        <v>-6.323767390403594</v>
      </c>
      <c r="I50" s="6">
        <f t="shared" ca="1" si="2"/>
        <v>-27.41164178784129</v>
      </c>
      <c r="J50" s="6"/>
      <c r="K50" s="6">
        <f t="shared" si="4"/>
        <v>-2.9121727768319046</v>
      </c>
    </row>
    <row r="51" spans="4:11" x14ac:dyDescent="0.15">
      <c r="D51" s="44">
        <v>1842</v>
      </c>
      <c r="E51" s="21">
        <v>1.3072405108498797</v>
      </c>
      <c r="F51" s="6">
        <f t="shared" si="3"/>
        <v>1.0346850201509772E-2</v>
      </c>
      <c r="G51" s="8">
        <f t="shared" si="1"/>
        <v>-6.1884418938621781</v>
      </c>
      <c r="I51" s="6">
        <f t="shared" ca="1" si="2"/>
        <v>-26.204107918236105</v>
      </c>
      <c r="J51" s="6"/>
      <c r="K51" s="6">
        <f t="shared" si="4"/>
        <v>-2.8697249869275177</v>
      </c>
    </row>
    <row r="52" spans="4:11" x14ac:dyDescent="0.15">
      <c r="D52" s="44">
        <v>1843</v>
      </c>
      <c r="E52" s="21">
        <v>1.502658083041895</v>
      </c>
      <c r="F52" s="6">
        <f t="shared" si="3"/>
        <v>1.1849508284551667E-2</v>
      </c>
      <c r="G52" s="8">
        <f t="shared" si="1"/>
        <v>-6.0525394651235507</v>
      </c>
      <c r="I52" s="6">
        <f t="shared" ca="1" si="2"/>
        <v>-24.987162685669773</v>
      </c>
      <c r="J52" s="6"/>
      <c r="K52" s="6">
        <f t="shared" si="4"/>
        <v>-2.8265710607284711</v>
      </c>
    </row>
    <row r="53" spans="4:11" x14ac:dyDescent="0.15">
      <c r="D53" s="44">
        <v>1844</v>
      </c>
      <c r="E53" s="21">
        <v>1.9301743352338461</v>
      </c>
      <c r="F53" s="6">
        <f t="shared" si="3"/>
        <v>1.3779682619785513E-2</v>
      </c>
      <c r="G53" s="8">
        <f t="shared" si="1"/>
        <v>-5.9012474304775386</v>
      </c>
      <c r="I53" s="6">
        <f t="shared" ca="1" si="2"/>
        <v>-23.519170332282329</v>
      </c>
      <c r="J53" s="6"/>
      <c r="K53" s="6">
        <f t="shared" si="4"/>
        <v>-2.7778896479094426</v>
      </c>
    </row>
    <row r="54" spans="4:11" x14ac:dyDescent="0.15">
      <c r="D54" s="44">
        <v>1845</v>
      </c>
      <c r="E54" s="21">
        <v>2.3820466833457421</v>
      </c>
      <c r="F54" s="6">
        <f t="shared" si="3"/>
        <v>1.6161729303131256E-2</v>
      </c>
      <c r="G54" s="8">
        <f t="shared" si="1"/>
        <v>-5.7413235251582631</v>
      </c>
      <c r="I54" s="6">
        <f t="shared" ca="1" si="2"/>
        <v>-21.910368247127508</v>
      </c>
      <c r="J54" s="6"/>
      <c r="K54" s="6">
        <f t="shared" si="4"/>
        <v>-2.7256691837511529</v>
      </c>
    </row>
    <row r="55" spans="4:11" x14ac:dyDescent="0.15">
      <c r="D55" s="44">
        <v>1846</v>
      </c>
      <c r="E55" s="21">
        <v>2.7507646637500254</v>
      </c>
      <c r="F55" s="6">
        <f t="shared" si="3"/>
        <v>1.8912493966881282E-2</v>
      </c>
      <c r="G55" s="8">
        <f t="shared" si="1"/>
        <v>-5.5836002369106801</v>
      </c>
      <c r="I55" s="6">
        <f t="shared" ca="1" si="2"/>
        <v>-20.337464324875782</v>
      </c>
      <c r="J55" s="6"/>
      <c r="K55" s="6">
        <f t="shared" si="4"/>
        <v>-2.6733699614759745</v>
      </c>
    </row>
    <row r="56" spans="4:11" x14ac:dyDescent="0.15">
      <c r="D56" s="44">
        <v>1847</v>
      </c>
      <c r="E56" s="21">
        <v>3.3805459185572539</v>
      </c>
      <c r="F56" s="6">
        <f t="shared" si="3"/>
        <v>2.2293039885438536E-2</v>
      </c>
      <c r="G56" s="8">
        <f t="shared" si="1"/>
        <v>-5.4184763439546675</v>
      </c>
      <c r="I56" s="6">
        <f t="shared" ca="1" si="2"/>
        <v>-18.64383603089118</v>
      </c>
      <c r="J56" s="6"/>
      <c r="K56" s="6">
        <f t="shared" si="4"/>
        <v>-2.6177328319593429</v>
      </c>
    </row>
    <row r="57" spans="4:11" x14ac:dyDescent="0.15">
      <c r="D57" s="44">
        <v>1848</v>
      </c>
      <c r="E57" s="21">
        <v>3.630025351005425</v>
      </c>
      <c r="F57" s="6">
        <f t="shared" si="3"/>
        <v>2.592306523644396E-2</v>
      </c>
      <c r="G57" s="8">
        <f t="shared" si="1"/>
        <v>-5.2668954967521842</v>
      </c>
      <c r="I57" s="6">
        <f t="shared" ca="1" si="2"/>
        <v>-17.171132344335319</v>
      </c>
      <c r="J57" s="6"/>
      <c r="K57" s="6">
        <f t="shared" si="4"/>
        <v>-2.5658297029413624</v>
      </c>
    </row>
    <row r="58" spans="4:11" x14ac:dyDescent="0.15">
      <c r="D58" s="44">
        <v>1849</v>
      </c>
      <c r="E58" s="21">
        <v>3.7845833224735763</v>
      </c>
      <c r="F58" s="6">
        <f t="shared" si="3"/>
        <v>2.9707648558917537E-2</v>
      </c>
      <c r="G58" s="8">
        <f t="shared" si="1"/>
        <v>-5.1298705296022211</v>
      </c>
      <c r="I58" s="6">
        <f t="shared" ca="1" si="2"/>
        <v>-15.935875399443603</v>
      </c>
      <c r="J58" s="6"/>
      <c r="K58" s="6">
        <f t="shared" si="4"/>
        <v>-2.5182000554882058</v>
      </c>
    </row>
    <row r="59" spans="4:11" x14ac:dyDescent="0.15">
      <c r="D59" s="44">
        <v>1850</v>
      </c>
      <c r="E59" s="21">
        <v>3.9253602505448302</v>
      </c>
      <c r="F59" s="6">
        <f t="shared" si="3"/>
        <v>3.3633008809462364E-2</v>
      </c>
      <c r="G59" s="8">
        <f t="shared" si="1"/>
        <v>-5.004984899887984</v>
      </c>
      <c r="I59" s="6">
        <f t="shared" ca="1" si="2"/>
        <v>-14.898644689288403</v>
      </c>
      <c r="J59" s="6"/>
      <c r="K59" s="6">
        <f t="shared" si="4"/>
        <v>-2.4741804666602185</v>
      </c>
    </row>
    <row r="60" spans="4:11" x14ac:dyDescent="0.15">
      <c r="D60" s="44">
        <v>1851</v>
      </c>
      <c r="E60" s="21">
        <v>5.2739847148987344</v>
      </c>
      <c r="F60" s="6">
        <f t="shared" si="3"/>
        <v>3.8906993524361097E-2</v>
      </c>
      <c r="G60" s="8">
        <f t="shared" si="1"/>
        <v>-4.8582669978796984</v>
      </c>
      <c r="I60" s="6">
        <f t="shared" ca="1" si="2"/>
        <v>-13.505269115295278</v>
      </c>
      <c r="J60" s="6"/>
      <c r="K60" s="6">
        <f t="shared" si="4"/>
        <v>-2.4216953677055364</v>
      </c>
    </row>
    <row r="61" spans="4:11" x14ac:dyDescent="0.15">
      <c r="D61" s="44">
        <v>1852</v>
      </c>
      <c r="E61" s="21">
        <v>5.8170191504249376</v>
      </c>
      <c r="F61" s="6">
        <f t="shared" si="3"/>
        <v>4.4724012674786033E-2</v>
      </c>
      <c r="G61" s="8">
        <f t="shared" si="1"/>
        <v>-4.7177689948957537</v>
      </c>
      <c r="I61" s="6">
        <f t="shared" ca="1" si="2"/>
        <v>-12.213357331294901</v>
      </c>
      <c r="J61" s="6"/>
      <c r="K61" s="6">
        <f t="shared" si="4"/>
        <v>-2.3706261479380455</v>
      </c>
    </row>
    <row r="62" spans="4:11" x14ac:dyDescent="0.15">
      <c r="D62" s="44">
        <v>1853</v>
      </c>
      <c r="E62" s="21">
        <v>6.035168957850936</v>
      </c>
      <c r="F62" s="6">
        <f t="shared" si="3"/>
        <v>5.0759181632636971E-2</v>
      </c>
      <c r="G62" s="8">
        <f t="shared" si="1"/>
        <v>-4.5899805774503619</v>
      </c>
      <c r="I62" s="6">
        <f t="shared" ca="1" si="2"/>
        <v>-11.128774108889047</v>
      </c>
      <c r="J62" s="6"/>
      <c r="K62" s="6">
        <f t="shared" si="4"/>
        <v>-2.3234630751177998</v>
      </c>
    </row>
    <row r="63" spans="4:11" x14ac:dyDescent="0.15">
      <c r="D63" s="44">
        <v>1854</v>
      </c>
      <c r="E63" s="21">
        <v>6.9564223195714101</v>
      </c>
      <c r="F63" s="6">
        <f t="shared" si="3"/>
        <v>5.7715603952208379E-2</v>
      </c>
      <c r="G63" s="8">
        <f t="shared" si="1"/>
        <v>-4.4601531079511387</v>
      </c>
      <c r="I63" s="6">
        <f t="shared" ca="1" si="2"/>
        <v>-10.010928296758721</v>
      </c>
      <c r="J63" s="6"/>
      <c r="K63" s="6">
        <f t="shared" si="4"/>
        <v>-2.2748257424005263</v>
      </c>
    </row>
    <row r="64" spans="4:11" x14ac:dyDescent="0.15">
      <c r="D64" s="44">
        <v>1855</v>
      </c>
      <c r="E64" s="21">
        <v>7.8078551149039743</v>
      </c>
      <c r="F64" s="6">
        <f t="shared" si="3"/>
        <v>6.552345906711235E-2</v>
      </c>
      <c r="G64" s="8">
        <f t="shared" si="1"/>
        <v>-4.3317072862056891</v>
      </c>
      <c r="I64" s="6">
        <f t="shared" ca="1" si="2"/>
        <v>-8.9156209883863085</v>
      </c>
      <c r="J64" s="6"/>
      <c r="K64" s="6">
        <f t="shared" si="4"/>
        <v>-2.2259646552820063</v>
      </c>
    </row>
    <row r="65" spans="4:11" x14ac:dyDescent="0.15">
      <c r="D65" s="44">
        <v>1856</v>
      </c>
      <c r="E65" s="21">
        <v>8.1281385019990413</v>
      </c>
      <c r="F65" s="6">
        <f t="shared" si="3"/>
        <v>7.3651597569111396E-2</v>
      </c>
      <c r="G65" s="8">
        <f t="shared" si="1"/>
        <v>-4.2131377148861722</v>
      </c>
      <c r="I65" s="6">
        <f t="shared" ca="1" si="2"/>
        <v>-7.9814226940366098</v>
      </c>
      <c r="J65" s="6"/>
      <c r="K65" s="6">
        <f t="shared" si="4"/>
        <v>-2.1801832140094399</v>
      </c>
    </row>
    <row r="66" spans="4:11" x14ac:dyDescent="0.15">
      <c r="D66" s="44">
        <v>1857</v>
      </c>
      <c r="E66" s="21">
        <v>7.8183203980733902</v>
      </c>
      <c r="F66" s="6">
        <f t="shared" si="3"/>
        <v>8.146991796718478E-2</v>
      </c>
      <c r="G66" s="8">
        <f t="shared" si="1"/>
        <v>-4.1106774203781322</v>
      </c>
      <c r="I66" s="6">
        <f t="shared" ca="1" si="2"/>
        <v>-7.3100113473433339</v>
      </c>
      <c r="J66" s="6"/>
      <c r="K66" s="6">
        <f t="shared" si="4"/>
        <v>-2.1400812347059981</v>
      </c>
    </row>
    <row r="67" spans="4:11" x14ac:dyDescent="0.15">
      <c r="D67" s="44">
        <v>1858</v>
      </c>
      <c r="E67" s="21">
        <v>7.9904269511668167</v>
      </c>
      <c r="F67" s="6">
        <f t="shared" si="3"/>
        <v>8.94603449183516E-2</v>
      </c>
      <c r="G67" s="8">
        <f t="shared" si="1"/>
        <v>-4.0155063637252475</v>
      </c>
      <c r="I67" s="6">
        <f t="shared" ca="1" si="2"/>
        <v>-6.7575076703803916</v>
      </c>
      <c r="J67" s="6"/>
      <c r="K67" s="6">
        <f t="shared" si="4"/>
        <v>-2.1023702243546625</v>
      </c>
    </row>
    <row r="68" spans="4:11" x14ac:dyDescent="0.15">
      <c r="D68" s="44">
        <v>1859</v>
      </c>
      <c r="E68" s="21">
        <v>9.1553201971591864</v>
      </c>
      <c r="F68" s="6">
        <f t="shared" si="3"/>
        <v>9.8615665115510787E-2</v>
      </c>
      <c r="G68" s="8">
        <f t="shared" si="1"/>
        <v>-3.9162244169030305</v>
      </c>
      <c r="I68" s="6">
        <f t="shared" ca="1" si="2"/>
        <v>-6.1379439824443125</v>
      </c>
      <c r="J68" s="6"/>
      <c r="K68" s="6">
        <f t="shared" si="4"/>
        <v>-2.0625432799387449</v>
      </c>
    </row>
    <row r="69" spans="4:11" x14ac:dyDescent="0.15">
      <c r="D69" s="44">
        <v>1860</v>
      </c>
      <c r="E69" s="21">
        <v>9.9644917913434092</v>
      </c>
      <c r="F69" s="6">
        <f t="shared" si="3"/>
        <v>0.1085801569068542</v>
      </c>
      <c r="G69" s="8">
        <f t="shared" si="1"/>
        <v>-3.8179514388358671</v>
      </c>
      <c r="I69" s="6">
        <f t="shared" ca="1" si="2"/>
        <v>-5.5348393710094115</v>
      </c>
      <c r="J69" s="6"/>
      <c r="K69" s="6">
        <f t="shared" si="4"/>
        <v>-2.0226183305519934</v>
      </c>
    </row>
    <row r="70" spans="4:11" x14ac:dyDescent="0.15">
      <c r="D70" s="44">
        <v>1861</v>
      </c>
      <c r="E70" s="21">
        <v>9.2942491899135096</v>
      </c>
      <c r="F70" s="6">
        <f t="shared" si="3"/>
        <v>0.11787440609676771</v>
      </c>
      <c r="G70" s="8">
        <f t="shared" si="1"/>
        <v>-3.7339378129558534</v>
      </c>
      <c r="I70" s="6">
        <f t="shared" ca="1" si="2"/>
        <v>-5.1643443100012973</v>
      </c>
      <c r="J70" s="6"/>
      <c r="K70" s="6">
        <f t="shared" si="4"/>
        <v>-1.9880798486616476</v>
      </c>
    </row>
    <row r="71" spans="4:11" x14ac:dyDescent="0.15">
      <c r="D71" s="44">
        <v>1862</v>
      </c>
      <c r="E71" s="21">
        <v>9.2409783947512967</v>
      </c>
      <c r="F71" s="6">
        <f t="shared" si="3"/>
        <v>0.12711538449151899</v>
      </c>
      <c r="G71" s="8">
        <f t="shared" si="1"/>
        <v>-3.6565869751854083</v>
      </c>
      <c r="I71" s="6">
        <f t="shared" ca="1" si="2"/>
        <v>-4.9025377873233538</v>
      </c>
      <c r="J71" s="6"/>
      <c r="K71" s="6">
        <f t="shared" si="4"/>
        <v>-1.9559414228159773</v>
      </c>
    </row>
    <row r="72" spans="4:11" x14ac:dyDescent="0.15">
      <c r="D72" s="44">
        <v>1863</v>
      </c>
      <c r="E72" s="21">
        <v>11.128857963001396</v>
      </c>
      <c r="F72" s="6">
        <f t="shared" si="3"/>
        <v>0.13824424245452038</v>
      </c>
      <c r="G72" s="8">
        <f t="shared" si="1"/>
        <v>-3.5703970712225361</v>
      </c>
      <c r="I72" s="6">
        <f t="shared" ca="1" si="2"/>
        <v>-4.4965415997694436</v>
      </c>
      <c r="J72" s="6"/>
      <c r="K72" s="6">
        <f t="shared" si="4"/>
        <v>-1.919739232184374</v>
      </c>
    </row>
    <row r="73" spans="4:11" x14ac:dyDescent="0.15">
      <c r="D73" s="44">
        <v>1864</v>
      </c>
      <c r="E73" s="21">
        <v>11.854335414557253</v>
      </c>
      <c r="F73" s="6">
        <f t="shared" si="3"/>
        <v>0.15009857786907763</v>
      </c>
      <c r="G73" s="8">
        <f t="shared" ref="G73:G136" si="5" xml:space="preserve"> -LN(F$1/F73-1)</f>
        <v>-3.4857105000112751</v>
      </c>
      <c r="I73" s="6">
        <f t="shared" ref="I73:I136" ca="1" si="6" xml:space="preserve"> G73*(F$2-E$2)/LN(81) + AVERAGE(E$2:F$2) - D73</f>
        <v>-4.1150689355076793</v>
      </c>
      <c r="J73" s="6"/>
      <c r="K73" s="6">
        <f t="shared" si="4"/>
        <v>-1.8837581773247474</v>
      </c>
    </row>
    <row r="74" spans="4:11" x14ac:dyDescent="0.15">
      <c r="D74" s="44">
        <v>1865</v>
      </c>
      <c r="E74" s="21">
        <v>10.956066485428694</v>
      </c>
      <c r="F74" s="6">
        <f t="shared" ref="F74:F137" si="7">F73+E74/1000</f>
        <v>0.16105464435450631</v>
      </c>
      <c r="G74" s="8">
        <f t="shared" si="5"/>
        <v>-3.4130206428759737</v>
      </c>
      <c r="I74" s="6">
        <f t="shared" ca="1" si="6"/>
        <v>-3.9292959237393461</v>
      </c>
      <c r="J74" s="6"/>
      <c r="K74" s="6">
        <f t="shared" ref="K74:K137" si="8">NORMSINV(F74/F$5)</f>
        <v>-1.8525430887807806</v>
      </c>
    </row>
    <row r="75" spans="4:11" x14ac:dyDescent="0.15">
      <c r="D75" s="44">
        <v>1866</v>
      </c>
      <c r="E75" s="21">
        <v>14.318983082918745</v>
      </c>
      <c r="F75" s="6">
        <f t="shared" si="7"/>
        <v>0.17537362743742504</v>
      </c>
      <c r="G75" s="8">
        <f t="shared" si="5"/>
        <v>-3.3249125930885337</v>
      </c>
      <c r="I75" s="6">
        <f t="shared" ca="1" si="6"/>
        <v>-3.4920094621218141</v>
      </c>
      <c r="J75" s="6"/>
      <c r="K75" s="6">
        <f t="shared" si="8"/>
        <v>-1.8142884503032928</v>
      </c>
    </row>
    <row r="76" spans="4:11" x14ac:dyDescent="0.15">
      <c r="D76" s="44">
        <v>1867</v>
      </c>
      <c r="E76" s="21">
        <v>14.575846999156708</v>
      </c>
      <c r="F76" s="6">
        <f t="shared" si="7"/>
        <v>0.18994947443658175</v>
      </c>
      <c r="G76" s="8">
        <f t="shared" si="5"/>
        <v>-3.2420786640038521</v>
      </c>
      <c r="I76" s="6">
        <f t="shared" ca="1" si="6"/>
        <v>-3.1407585250824468</v>
      </c>
      <c r="J76" s="6"/>
      <c r="K76" s="6">
        <f t="shared" si="8"/>
        <v>-1.7778970121339073</v>
      </c>
    </row>
    <row r="77" spans="4:11" x14ac:dyDescent="0.15">
      <c r="D77" s="44">
        <v>1868</v>
      </c>
      <c r="E77" s="21">
        <v>16.064175192033545</v>
      </c>
      <c r="F77" s="6">
        <f t="shared" si="7"/>
        <v>0.20601364962861529</v>
      </c>
      <c r="G77" s="8">
        <f t="shared" si="5"/>
        <v>-3.15758363195578</v>
      </c>
      <c r="I77" s="6">
        <f t="shared" ca="1" si="6"/>
        <v>-2.7624103953755821</v>
      </c>
      <c r="J77" s="6"/>
      <c r="K77" s="6">
        <f t="shared" si="8"/>
        <v>-1.7403409676540538</v>
      </c>
    </row>
    <row r="78" spans="4:11" x14ac:dyDescent="0.15">
      <c r="D78" s="44">
        <v>1869</v>
      </c>
      <c r="E78" s="21">
        <v>16.638456698770515</v>
      </c>
      <c r="F78" s="6">
        <f t="shared" si="7"/>
        <v>0.2226521063273858</v>
      </c>
      <c r="G78" s="8">
        <f t="shared" si="5"/>
        <v>-3.0764748985297445</v>
      </c>
      <c r="I78" s="6">
        <f t="shared" ca="1" si="6"/>
        <v>-2.4393021804801265</v>
      </c>
      <c r="J78" s="6"/>
      <c r="K78" s="6">
        <f t="shared" si="8"/>
        <v>-1.7038689103251901</v>
      </c>
    </row>
    <row r="79" spans="4:11" x14ac:dyDescent="0.15">
      <c r="D79" s="44">
        <v>1870</v>
      </c>
      <c r="E79" s="21">
        <v>18.105651115926591</v>
      </c>
      <c r="F79" s="6">
        <f t="shared" si="7"/>
        <v>0.2407577574433124</v>
      </c>
      <c r="G79" s="8">
        <f t="shared" si="5"/>
        <v>-2.9945365494262686</v>
      </c>
      <c r="I79" s="6">
        <f t="shared" ca="1" si="6"/>
        <v>-2.1026606348116275</v>
      </c>
      <c r="J79" s="6"/>
      <c r="K79" s="6">
        <f t="shared" si="8"/>
        <v>-1.6665970485918269</v>
      </c>
    </row>
    <row r="80" spans="4:11" x14ac:dyDescent="0.15">
      <c r="D80" s="44">
        <v>1871</v>
      </c>
      <c r="E80" s="21">
        <v>17.658240302369755</v>
      </c>
      <c r="F80" s="6">
        <f t="shared" si="7"/>
        <v>0.25841599774568214</v>
      </c>
      <c r="G80" s="8">
        <f t="shared" si="5"/>
        <v>-2.9200787748294639</v>
      </c>
      <c r="I80" s="6">
        <f t="shared" ca="1" si="6"/>
        <v>-1.8880479899019065</v>
      </c>
      <c r="J80" s="6"/>
      <c r="K80" s="6">
        <f t="shared" si="8"/>
        <v>-1.632349484403957</v>
      </c>
    </row>
    <row r="81" spans="4:11" x14ac:dyDescent="0.15">
      <c r="D81" s="44">
        <v>1872</v>
      </c>
      <c r="E81" s="21">
        <v>22.438464320936706</v>
      </c>
      <c r="F81" s="6">
        <f t="shared" si="7"/>
        <v>0.28085446206661885</v>
      </c>
      <c r="G81" s="8">
        <f t="shared" si="5"/>
        <v>-2.8321191150841631</v>
      </c>
      <c r="I81" s="6">
        <f t="shared" ca="1" si="6"/>
        <v>-1.4531821810978727</v>
      </c>
      <c r="J81" s="6"/>
      <c r="K81" s="6">
        <f t="shared" si="8"/>
        <v>-1.5914193433151156</v>
      </c>
    </row>
    <row r="82" spans="4:11" x14ac:dyDescent="0.15">
      <c r="D82" s="44">
        <v>1873</v>
      </c>
      <c r="E82" s="21">
        <v>23.24808860030657</v>
      </c>
      <c r="F82" s="6">
        <f t="shared" si="7"/>
        <v>0.30410255066692543</v>
      </c>
      <c r="G82" s="8">
        <f t="shared" si="5"/>
        <v>-2.7477042960943634</v>
      </c>
      <c r="I82" s="6">
        <f t="shared" ca="1" si="6"/>
        <v>-1.0761425486618919</v>
      </c>
      <c r="J82" s="6">
        <f ca="1">F$1/(1+EXP((AVERAGE(E$2:F$2)-D82)*LN(81)/(F$2-E$2)))</f>
        <v>0.32351203680974949</v>
      </c>
      <c r="K82" s="6">
        <f t="shared" si="8"/>
        <v>-1.551649757262314</v>
      </c>
    </row>
    <row r="83" spans="4:11" x14ac:dyDescent="0.15">
      <c r="D83" s="44">
        <v>1874</v>
      </c>
      <c r="E83" s="21">
        <v>22.015080295238921</v>
      </c>
      <c r="F83" s="6">
        <f t="shared" si="7"/>
        <v>0.32611763096216434</v>
      </c>
      <c r="G83" s="8">
        <f t="shared" si="5"/>
        <v>-2.6731617341076377</v>
      </c>
      <c r="I83" s="6">
        <f t="shared" ca="1" si="6"/>
        <v>-0.86014678645551612</v>
      </c>
      <c r="J83" s="6">
        <f t="shared" ref="J83:J146" ca="1" si="9">F$1/(1+EXP((AVERAGE(E$2:F$2)-D83)*LN(81)/(F$2-E$2)))</f>
        <v>0.34257695859752008</v>
      </c>
      <c r="K83" s="6">
        <f t="shared" si="8"/>
        <v>-1.5161268008734381</v>
      </c>
    </row>
    <row r="84" spans="4:11" x14ac:dyDescent="0.15">
      <c r="D84" s="44">
        <v>1875</v>
      </c>
      <c r="E84" s="21">
        <v>20.974773451249447</v>
      </c>
      <c r="F84" s="6">
        <f t="shared" si="7"/>
        <v>0.34709240441341377</v>
      </c>
      <c r="G84" s="8">
        <f t="shared" si="5"/>
        <v>-2.6063789492864524</v>
      </c>
      <c r="I84" s="6">
        <f t="shared" ca="1" si="6"/>
        <v>-0.77073449411477668</v>
      </c>
      <c r="J84" s="6">
        <f t="shared" ca="1" si="9"/>
        <v>0.36267918898689649</v>
      </c>
      <c r="K84" s="6">
        <f t="shared" si="8"/>
        <v>-1.4839752997275388</v>
      </c>
    </row>
    <row r="85" spans="4:11" x14ac:dyDescent="0.15">
      <c r="D85" s="44">
        <v>1876</v>
      </c>
      <c r="E85" s="21">
        <v>20.677684056421409</v>
      </c>
      <c r="F85" s="6">
        <f t="shared" si="7"/>
        <v>0.36777008846983517</v>
      </c>
      <c r="G85" s="8">
        <f t="shared" si="5"/>
        <v>-2.5441056731327136</v>
      </c>
      <c r="I85" s="6">
        <f t="shared" ca="1" si="6"/>
        <v>-0.75488478512374968</v>
      </c>
      <c r="J85" s="6">
        <f t="shared" ca="1" si="9"/>
        <v>0.38386482160771335</v>
      </c>
      <c r="K85" s="6">
        <f t="shared" si="8"/>
        <v>-1.4537137190990148</v>
      </c>
    </row>
    <row r="86" spans="4:11" x14ac:dyDescent="0.15">
      <c r="D86" s="44">
        <v>1877</v>
      </c>
      <c r="E86" s="21">
        <v>23.278647118299098</v>
      </c>
      <c r="F86" s="6">
        <f t="shared" si="7"/>
        <v>0.39104873558813424</v>
      </c>
      <c r="G86" s="8">
        <f t="shared" si="5"/>
        <v>-2.4777475291814897</v>
      </c>
      <c r="I86" s="6">
        <f t="shared" ca="1" si="6"/>
        <v>-0.67239956215871644</v>
      </c>
      <c r="J86" s="6">
        <f t="shared" ca="1" si="9"/>
        <v>0.40618076115775248</v>
      </c>
      <c r="K86" s="6">
        <f t="shared" si="8"/>
        <v>-1.4211655297876293</v>
      </c>
    </row>
    <row r="87" spans="4:11" x14ac:dyDescent="0.15">
      <c r="D87" s="44">
        <v>1878</v>
      </c>
      <c r="E87" s="21">
        <v>19.676548542353249</v>
      </c>
      <c r="F87" s="6">
        <f t="shared" si="7"/>
        <v>0.41072528413048748</v>
      </c>
      <c r="G87" s="8">
        <f t="shared" si="5"/>
        <v>-2.4244229573220011</v>
      </c>
      <c r="I87" s="6">
        <f t="shared" ca="1" si="6"/>
        <v>-0.80252801931897011</v>
      </c>
      <c r="J87" s="6">
        <f t="shared" ca="1" si="9"/>
        <v>0.42967457621966593</v>
      </c>
      <c r="K87" s="6">
        <f t="shared" si="8"/>
        <v>-1.3947827749858146</v>
      </c>
    </row>
    <row r="88" spans="4:11" x14ac:dyDescent="0.15">
      <c r="D88" s="44">
        <v>1879</v>
      </c>
      <c r="E88" s="21">
        <v>27.404048861659597</v>
      </c>
      <c r="F88" s="6">
        <f t="shared" si="7"/>
        <v>0.43812933299214707</v>
      </c>
      <c r="G88" s="8">
        <f t="shared" si="5"/>
        <v>-2.3539091121367526</v>
      </c>
      <c r="I88" s="6">
        <f t="shared" ca="1" si="6"/>
        <v>-0.65225179273306821</v>
      </c>
      <c r="J88" s="6">
        <f t="shared" ca="1" si="9"/>
        <v>0.4543943291401511</v>
      </c>
      <c r="K88" s="6">
        <f t="shared" si="8"/>
        <v>-1.3595817249382391</v>
      </c>
    </row>
    <row r="89" spans="4:11" x14ac:dyDescent="0.15">
      <c r="D89" s="44">
        <v>1880</v>
      </c>
      <c r="E89" s="21">
        <v>25.990672272064415</v>
      </c>
      <c r="F89" s="6">
        <f t="shared" si="7"/>
        <v>0.46412000526421149</v>
      </c>
      <c r="G89" s="8">
        <f t="shared" si="5"/>
        <v>-2.2906287610411642</v>
      </c>
      <c r="I89" s="6">
        <f t="shared" ca="1" si="6"/>
        <v>-0.61997390058218116</v>
      </c>
      <c r="J89" s="6">
        <f t="shared" ca="1" si="9"/>
        <v>0.48038838151343394</v>
      </c>
      <c r="K89" s="6">
        <f t="shared" si="8"/>
        <v>-1.3276852653803339</v>
      </c>
    </row>
    <row r="90" spans="4:11" x14ac:dyDescent="0.15">
      <c r="D90" s="44">
        <v>1881</v>
      </c>
      <c r="E90" s="21">
        <v>28.957353254408684</v>
      </c>
      <c r="F90" s="6">
        <f t="shared" si="7"/>
        <v>0.49307735851862017</v>
      </c>
      <c r="G90" s="8">
        <f t="shared" si="5"/>
        <v>-2.2237715762993537</v>
      </c>
      <c r="I90" s="6">
        <f t="shared" ca="1" si="6"/>
        <v>-0.5293479393551479</v>
      </c>
      <c r="J90" s="6">
        <f t="shared" ca="1" si="9"/>
        <v>0.50770517392400605</v>
      </c>
      <c r="K90" s="6">
        <f t="shared" si="8"/>
        <v>-1.2936688673275918</v>
      </c>
    </row>
    <row r="91" spans="4:11" x14ac:dyDescent="0.15">
      <c r="D91" s="44">
        <v>1882</v>
      </c>
      <c r="E91" s="21">
        <v>31.861467519552168</v>
      </c>
      <c r="F91" s="6">
        <f t="shared" si="7"/>
        <v>0.52493882603817232</v>
      </c>
      <c r="G91" s="8">
        <f t="shared" si="5"/>
        <v>-2.1541397229623964</v>
      </c>
      <c r="I91" s="6">
        <f t="shared" ca="1" si="6"/>
        <v>-0.39345944403612521</v>
      </c>
      <c r="J91" s="6">
        <f t="shared" ca="1" si="9"/>
        <v>0.53639297876253222</v>
      </c>
      <c r="K91" s="6">
        <f t="shared" si="8"/>
        <v>-1.2578924830715907</v>
      </c>
    </row>
    <row r="92" spans="4:11" x14ac:dyDescent="0.15">
      <c r="D92" s="44">
        <v>1883</v>
      </c>
      <c r="E92" s="21">
        <v>34.887462961801596</v>
      </c>
      <c r="F92" s="6">
        <f t="shared" si="7"/>
        <v>0.55982628899997389</v>
      </c>
      <c r="G92" s="8">
        <f t="shared" si="5"/>
        <v>-2.0820554853670927</v>
      </c>
      <c r="H92" s="60"/>
      <c r="I92" s="6">
        <f t="shared" ca="1" si="6"/>
        <v>-0.21756576528946425</v>
      </c>
      <c r="J92" s="6">
        <f t="shared" ca="1" si="9"/>
        <v>0.56649962513959262</v>
      </c>
      <c r="K92" s="6">
        <f t="shared" si="8"/>
        <v>-1.2204800325008673</v>
      </c>
    </row>
    <row r="93" spans="4:11" x14ac:dyDescent="0.15">
      <c r="D93" s="44">
        <v>1884</v>
      </c>
      <c r="E93" s="21">
        <v>33.7081246131821</v>
      </c>
      <c r="F93" s="6">
        <f t="shared" si="7"/>
        <v>0.59353441361315595</v>
      </c>
      <c r="G93" s="8">
        <f t="shared" si="5"/>
        <v>-2.0160516866364748</v>
      </c>
      <c r="H93" s="60"/>
      <c r="I93" s="6">
        <f t="shared" ca="1" si="6"/>
        <v>-0.14086089485249431</v>
      </c>
      <c r="J93" s="6">
        <f t="shared" ca="1" si="9"/>
        <v>0.59807219518989185</v>
      </c>
      <c r="K93" s="6">
        <f t="shared" si="8"/>
        <v>-1.1858868126060407</v>
      </c>
    </row>
    <row r="94" spans="4:11" x14ac:dyDescent="0.15">
      <c r="D94" s="44">
        <v>1885</v>
      </c>
      <c r="E94" s="21">
        <v>34.77781063500111</v>
      </c>
      <c r="F94" s="6">
        <f t="shared" si="7"/>
        <v>0.62831222424815703</v>
      </c>
      <c r="G94" s="8">
        <f t="shared" si="5"/>
        <v>-1.9512754385496363</v>
      </c>
      <c r="H94" s="60"/>
      <c r="I94" s="6">
        <f t="shared" ca="1" si="6"/>
        <v>-8.4180777267192752E-2</v>
      </c>
      <c r="J94" s="6">
        <f t="shared" ca="1" si="9"/>
        <v>0.63115669138965735</v>
      </c>
      <c r="K94" s="6">
        <f t="shared" si="8"/>
        <v>-1.151623609425253</v>
      </c>
    </row>
    <row r="95" spans="4:11" x14ac:dyDescent="0.15">
      <c r="D95" s="44">
        <v>1886</v>
      </c>
      <c r="E95" s="21">
        <v>35.412360959990515</v>
      </c>
      <c r="F95" s="6">
        <f t="shared" si="7"/>
        <v>0.66372458520814759</v>
      </c>
      <c r="G95" s="8">
        <f t="shared" si="5"/>
        <v>-1.8884046307408049</v>
      </c>
      <c r="H95" s="60">
        <v>19.374364264945321</v>
      </c>
      <c r="I95" s="6">
        <f t="shared" ca="1" si="6"/>
        <v>-5.858367107111917E-2</v>
      </c>
      <c r="J95" s="6">
        <f t="shared" ca="1" si="9"/>
        <v>0.6657976749063319</v>
      </c>
      <c r="K95" s="6">
        <f t="shared" si="8"/>
        <v>-1.1180713965034419</v>
      </c>
    </row>
    <row r="96" spans="4:11" x14ac:dyDescent="0.15">
      <c r="D96" s="44">
        <v>1887</v>
      </c>
      <c r="E96" s="21">
        <v>38.181770084532658</v>
      </c>
      <c r="F96" s="6">
        <f t="shared" si="7"/>
        <v>0.7019063552926802</v>
      </c>
      <c r="G96" s="8">
        <f t="shared" si="5"/>
        <v>-1.8237292969076739</v>
      </c>
      <c r="H96" s="60">
        <v>9.3100329194128602</v>
      </c>
      <c r="I96" s="6">
        <f t="shared" ca="1" si="6"/>
        <v>-3.5497446226600005E-3</v>
      </c>
      <c r="J96" s="6">
        <f t="shared" ca="1" si="9"/>
        <v>0.70203787546524465</v>
      </c>
      <c r="K96" s="6">
        <f t="shared" si="8"/>
        <v>-1.0832514212985869</v>
      </c>
    </row>
    <row r="97" spans="4:13" x14ac:dyDescent="0.15">
      <c r="D97" s="44">
        <v>1888</v>
      </c>
      <c r="E97" s="21">
        <v>42.292557081719501</v>
      </c>
      <c r="F97" s="6">
        <f t="shared" si="7"/>
        <v>0.74419891237439972</v>
      </c>
      <c r="G97" s="8">
        <f t="shared" si="5"/>
        <v>-1.7554469963655361</v>
      </c>
      <c r="H97" s="60">
        <v>7.9158160394287398</v>
      </c>
      <c r="I97" s="6">
        <f t="shared" ca="1" si="6"/>
        <v>0.11032380466235736</v>
      </c>
      <c r="J97" s="6">
        <f t="shared" ca="1" si="9"/>
        <v>0.73991777375413592</v>
      </c>
      <c r="K97" s="6">
        <f t="shared" si="8"/>
        <v>-1.0461551683605652</v>
      </c>
    </row>
    <row r="98" spans="4:13" x14ac:dyDescent="0.15">
      <c r="D98" s="44">
        <v>1889</v>
      </c>
      <c r="E98" s="21">
        <v>41.319516171887955</v>
      </c>
      <c r="F98" s="6">
        <f t="shared" si="7"/>
        <v>0.78551842854628773</v>
      </c>
      <c r="G98" s="8">
        <f t="shared" si="5"/>
        <v>-1.6917692054347404</v>
      </c>
      <c r="H98" s="60">
        <v>6.5559354264110787</v>
      </c>
      <c r="I98" s="6">
        <f t="shared" ca="1" si="6"/>
        <v>0.14908504193113004</v>
      </c>
      <c r="J98" s="6">
        <f t="shared" ca="1" si="9"/>
        <v>0.77947515799263634</v>
      </c>
      <c r="K98" s="6">
        <f t="shared" si="8"/>
        <v>-1.0112524848609561</v>
      </c>
    </row>
    <row r="99" spans="4:13" x14ac:dyDescent="0.15">
      <c r="D99" s="44">
        <v>1890</v>
      </c>
      <c r="E99" s="21">
        <v>42.155642039089663</v>
      </c>
      <c r="F99" s="6">
        <f t="shared" si="7"/>
        <v>0.82767407058537734</v>
      </c>
      <c r="G99" s="8">
        <f t="shared" si="5"/>
        <v>-1.6295595780214829</v>
      </c>
      <c r="H99" s="60">
        <v>5.4751999835450826</v>
      </c>
      <c r="I99" s="6">
        <f t="shared" ca="1" si="6"/>
        <v>0.16389646357833954</v>
      </c>
      <c r="J99" s="6">
        <f t="shared" ca="1" si="9"/>
        <v>0.8207446569669844</v>
      </c>
      <c r="K99" s="6">
        <f t="shared" si="8"/>
        <v>-0.97686943631202927</v>
      </c>
    </row>
    <row r="100" spans="4:13" x14ac:dyDescent="0.15">
      <c r="D100" s="44">
        <v>1891</v>
      </c>
      <c r="E100" s="21">
        <v>45.962905887266999</v>
      </c>
      <c r="F100" s="6">
        <f t="shared" si="7"/>
        <v>0.87363697647264438</v>
      </c>
      <c r="G100" s="8">
        <f t="shared" si="5"/>
        <v>-1.5645691368814005</v>
      </c>
      <c r="H100" s="55">
        <v>4.9886199517888912</v>
      </c>
      <c r="I100" s="6">
        <f t="shared" ca="1" si="6"/>
        <v>0.22407066344476334</v>
      </c>
      <c r="J100" s="6">
        <f t="shared" ca="1" si="9"/>
        <v>0.86375725256457481</v>
      </c>
      <c r="K100" s="6">
        <f t="shared" si="8"/>
        <v>-0.94065109443071182</v>
      </c>
      <c r="L100" s="52"/>
      <c r="M100" s="52"/>
    </row>
    <row r="101" spans="4:13" x14ac:dyDescent="0.15">
      <c r="D101" s="44">
        <v>1892</v>
      </c>
      <c r="E101" s="21">
        <v>47.602254938307759</v>
      </c>
      <c r="F101" s="6">
        <f t="shared" si="7"/>
        <v>0.9212392314109521</v>
      </c>
      <c r="G101" s="8">
        <f t="shared" si="5"/>
        <v>-1.5000512796222576</v>
      </c>
      <c r="H101" s="55">
        <v>4.7197168369336797</v>
      </c>
      <c r="I101" s="6">
        <f t="shared" ca="1" si="6"/>
        <v>0.276535710564076</v>
      </c>
      <c r="J101" s="6">
        <f t="shared" ca="1" si="9"/>
        <v>0.90853977562911781</v>
      </c>
      <c r="K101" s="6">
        <f t="shared" si="8"/>
        <v>-0.90439781191951651</v>
      </c>
      <c r="L101" s="52"/>
      <c r="M101" s="52"/>
    </row>
    <row r="102" spans="4:13" x14ac:dyDescent="0.15">
      <c r="D102" s="44">
        <v>1893</v>
      </c>
      <c r="E102" s="21">
        <v>48.958531505949992</v>
      </c>
      <c r="F102" s="6">
        <f t="shared" si="7"/>
        <v>0.97019776291690207</v>
      </c>
      <c r="G102" s="8">
        <f t="shared" si="5"/>
        <v>-1.4363427753495985</v>
      </c>
      <c r="H102" s="55">
        <v>4.5311600314603311</v>
      </c>
      <c r="I102" s="6">
        <f t="shared" ca="1" si="6"/>
        <v>0.31579796755318057</v>
      </c>
      <c r="J102" s="6">
        <f t="shared" ca="1" si="9"/>
        <v>0.95511438978247198</v>
      </c>
      <c r="K102" s="6">
        <f t="shared" si="8"/>
        <v>-0.8683115036314295</v>
      </c>
      <c r="L102" s="52"/>
      <c r="M102" s="52"/>
    </row>
    <row r="103" spans="4:13" x14ac:dyDescent="0.15">
      <c r="D103" s="44">
        <v>1894</v>
      </c>
      <c r="E103" s="21">
        <v>47.102048694392877</v>
      </c>
      <c r="F103" s="6">
        <f t="shared" si="7"/>
        <v>1.017299811611295</v>
      </c>
      <c r="G103" s="8">
        <f t="shared" si="5"/>
        <v>-1.3773236648023004</v>
      </c>
      <c r="H103" s="55">
        <v>4.2420380807680464</v>
      </c>
      <c r="I103" s="6">
        <f t="shared" ca="1" si="6"/>
        <v>0.2785632173911381</v>
      </c>
      <c r="J103" s="6">
        <f t="shared" ca="1" si="9"/>
        <v>1.0034980687068324</v>
      </c>
      <c r="K103" s="6">
        <f t="shared" si="8"/>
        <v>-0.8346300717671451</v>
      </c>
    </row>
    <row r="104" spans="4:13" x14ac:dyDescent="0.15">
      <c r="D104" s="44">
        <v>1895</v>
      </c>
      <c r="E104" s="21">
        <v>52.616113500640758</v>
      </c>
      <c r="F104" s="6">
        <f t="shared" si="7"/>
        <v>1.0699159251119357</v>
      </c>
      <c r="G104" s="8">
        <f t="shared" si="5"/>
        <v>-1.3137627579878886</v>
      </c>
      <c r="H104" s="55">
        <v>4.0980578799743652</v>
      </c>
      <c r="I104" s="6">
        <f t="shared" ca="1" si="6"/>
        <v>0.31541775080654588</v>
      </c>
      <c r="J104" s="6">
        <f t="shared" ca="1" si="9"/>
        <v>1.0537020732301727</v>
      </c>
      <c r="K104" s="6">
        <f t="shared" si="8"/>
        <v>-0.79809110659978955</v>
      </c>
    </row>
    <row r="105" spans="4:13" x14ac:dyDescent="0.15">
      <c r="D105" s="44">
        <v>1896</v>
      </c>
      <c r="E105" s="21">
        <v>49.301935403348082</v>
      </c>
      <c r="F105" s="6">
        <f t="shared" si="7"/>
        <v>1.1192178605152838</v>
      </c>
      <c r="G105" s="8">
        <f t="shared" si="5"/>
        <v>-1.2562487067792283</v>
      </c>
      <c r="H105" s="55">
        <v>3.9050735290532752</v>
      </c>
      <c r="I105" s="6">
        <f t="shared" ca="1" si="6"/>
        <v>0.25363131193307709</v>
      </c>
      <c r="J105" s="6">
        <f t="shared" ca="1" si="9"/>
        <v>1.105731435383897</v>
      </c>
      <c r="K105" s="6">
        <f t="shared" si="8"/>
        <v>-0.76479554464810307</v>
      </c>
    </row>
    <row r="106" spans="4:13" x14ac:dyDescent="0.15">
      <c r="D106" s="44">
        <v>1897</v>
      </c>
      <c r="E106" s="21">
        <v>47.728514188972625</v>
      </c>
      <c r="F106" s="6">
        <f t="shared" si="7"/>
        <v>1.1669463747042566</v>
      </c>
      <c r="G106" s="8">
        <f t="shared" si="5"/>
        <v>-1.2022723420267403</v>
      </c>
      <c r="H106" s="55">
        <v>3.6751671837107196</v>
      </c>
      <c r="I106" s="6">
        <f t="shared" ca="1" si="6"/>
        <v>0.13413540313968042</v>
      </c>
      <c r="J106" s="6">
        <f t="shared" ca="1" si="9"/>
        <v>1.1595844573761127</v>
      </c>
      <c r="K106" s="6">
        <f t="shared" si="8"/>
        <v>-0.73335122021689325</v>
      </c>
    </row>
    <row r="107" spans="4:13" x14ac:dyDescent="0.15">
      <c r="D107" s="44">
        <v>1898</v>
      </c>
      <c r="E107" s="21">
        <v>48.4279209654485</v>
      </c>
      <c r="F107" s="6">
        <f t="shared" si="7"/>
        <v>1.2153742956697051</v>
      </c>
      <c r="G107" s="8">
        <f t="shared" si="5"/>
        <v>-1.1490611367398991</v>
      </c>
      <c r="H107" s="55">
        <v>3.4650344755228573</v>
      </c>
      <c r="I107" s="6">
        <f t="shared" ca="1" si="6"/>
        <v>2.1576230121809203E-3</v>
      </c>
      <c r="J107" s="6">
        <f t="shared" ca="1" si="9"/>
        <v>1.2152522341151639</v>
      </c>
      <c r="K107" s="6">
        <f t="shared" si="8"/>
        <v>-0.70217042333730328</v>
      </c>
    </row>
    <row r="108" spans="4:13" x14ac:dyDescent="0.15">
      <c r="D108" s="44">
        <v>1899</v>
      </c>
      <c r="E108" s="21">
        <v>54.810292203207098</v>
      </c>
      <c r="F108" s="6">
        <f t="shared" si="7"/>
        <v>1.2701845878729121</v>
      </c>
      <c r="G108" s="8">
        <f t="shared" si="5"/>
        <v>-1.0905549395003538</v>
      </c>
      <c r="H108" s="55">
        <v>3.3480061158607168</v>
      </c>
      <c r="I108" s="6">
        <f t="shared" ca="1" si="6"/>
        <v>-4.3444164611173619E-2</v>
      </c>
      <c r="J108" s="6">
        <f t="shared" ca="1" si="9"/>
        <v>1.2727182084919979</v>
      </c>
      <c r="K108" s="6">
        <f t="shared" si="8"/>
        <v>-0.66768341456687752</v>
      </c>
    </row>
    <row r="109" spans="4:13" x14ac:dyDescent="0.15">
      <c r="D109" s="44">
        <v>1900</v>
      </c>
      <c r="E109" s="21">
        <v>52.043297097260115</v>
      </c>
      <c r="F109" s="6">
        <f t="shared" si="7"/>
        <v>1.3222278849701723</v>
      </c>
      <c r="G109" s="8">
        <f t="shared" si="5"/>
        <v>-1.0365352463397202</v>
      </c>
      <c r="H109" s="55">
        <v>3.253260275396515</v>
      </c>
      <c r="I109" s="6">
        <f t="shared" ca="1" si="6"/>
        <v>-0.16223326699378049</v>
      </c>
      <c r="J109" s="6">
        <f t="shared" ca="1" si="9"/>
        <v>1.33195776905131</v>
      </c>
      <c r="K109" s="6">
        <f t="shared" si="8"/>
        <v>-0.63565723571859623</v>
      </c>
    </row>
    <row r="110" spans="4:13" x14ac:dyDescent="0.15">
      <c r="D110" s="44">
        <v>1901</v>
      </c>
      <c r="E110" s="21">
        <v>61.209266736091102</v>
      </c>
      <c r="F110" s="6">
        <f t="shared" si="7"/>
        <v>1.3834371517062634</v>
      </c>
      <c r="G110" s="8">
        <f t="shared" si="5"/>
        <v>-0.97472687318533169</v>
      </c>
      <c r="H110" s="55">
        <v>3.240096839744115</v>
      </c>
      <c r="I110" s="6">
        <f t="shared" ca="1" si="6"/>
        <v>-0.15396741428548921</v>
      </c>
      <c r="J110" s="6">
        <f t="shared" ca="1" si="9"/>
        <v>1.3929378999149413</v>
      </c>
      <c r="K110" s="6">
        <f t="shared" si="8"/>
        <v>-0.59880425596112219</v>
      </c>
    </row>
    <row r="111" spans="4:13" x14ac:dyDescent="0.15">
      <c r="D111" s="44">
        <v>1902</v>
      </c>
      <c r="E111" s="21">
        <v>37.533494054415542</v>
      </c>
      <c r="F111" s="6">
        <f t="shared" si="7"/>
        <v>1.420970645760679</v>
      </c>
      <c r="G111" s="8">
        <f t="shared" si="5"/>
        <v>-0.93766876906604191</v>
      </c>
      <c r="H111" s="55">
        <v>3.1226233836933202</v>
      </c>
      <c r="I111" s="6">
        <f t="shared" ca="1" si="6"/>
        <v>-0.54944703876503809</v>
      </c>
      <c r="J111" s="6">
        <f t="shared" ca="1" si="9"/>
        <v>1.4556168928332622</v>
      </c>
      <c r="K111" s="6">
        <f t="shared" si="8"/>
        <v>-0.57660494050814171</v>
      </c>
    </row>
    <row r="112" spans="4:13" x14ac:dyDescent="0.15">
      <c r="D112" s="44">
        <v>1903</v>
      </c>
      <c r="E112" s="21">
        <v>67.682393642500145</v>
      </c>
      <c r="F112" s="6">
        <f t="shared" si="7"/>
        <v>1.4886530394031792</v>
      </c>
      <c r="G112" s="8">
        <f t="shared" si="5"/>
        <v>-0.87231169715665402</v>
      </c>
      <c r="H112" s="55">
        <v>3.1152676335770106</v>
      </c>
      <c r="I112" s="6">
        <f t="shared" ca="1" si="6"/>
        <v>-0.48329207502501959</v>
      </c>
      <c r="J112" s="6">
        <f t="shared" ca="1" si="9"/>
        <v>1.519944131001371</v>
      </c>
      <c r="K112" s="6">
        <f t="shared" si="8"/>
        <v>-0.53727144029927953</v>
      </c>
    </row>
    <row r="113" spans="4:11" x14ac:dyDescent="0.15">
      <c r="D113" s="44">
        <v>1904</v>
      </c>
      <c r="E113" s="21">
        <v>66.366650089075108</v>
      </c>
      <c r="F113" s="6">
        <f t="shared" si="7"/>
        <v>1.5550196894922543</v>
      </c>
      <c r="G113" s="8">
        <f t="shared" si="5"/>
        <v>-0.80988495570359098</v>
      </c>
      <c r="H113" s="55">
        <v>3.161829000621537</v>
      </c>
      <c r="I113" s="6">
        <f t="shared" ca="1" si="6"/>
        <v>-0.46493892171110929</v>
      </c>
      <c r="J113" s="6">
        <f t="shared" ca="1" si="9"/>
        <v>1.5858599537625993</v>
      </c>
      <c r="K113" s="6">
        <f t="shared" si="8"/>
        <v>-0.49949391293271533</v>
      </c>
    </row>
    <row r="114" spans="4:11" x14ac:dyDescent="0.15">
      <c r="D114" s="44">
        <v>1905</v>
      </c>
      <c r="E114" s="21">
        <v>70.451830889769241</v>
      </c>
      <c r="F114" s="6">
        <f t="shared" si="7"/>
        <v>1.6254715203820236</v>
      </c>
      <c r="G114" s="8">
        <f t="shared" si="5"/>
        <v>-0.74521220764323093</v>
      </c>
      <c r="H114" s="55">
        <v>3.2534648746750356</v>
      </c>
      <c r="I114" s="6">
        <f t="shared" ca="1" si="6"/>
        <v>-0.40994717638250222</v>
      </c>
      <c r="J114" s="6">
        <f t="shared" ca="1" si="9"/>
        <v>1.6532956105154739</v>
      </c>
      <c r="K114" s="6">
        <f t="shared" si="8"/>
        <v>-0.4601551406653282</v>
      </c>
    </row>
    <row r="115" spans="4:11" x14ac:dyDescent="0.15">
      <c r="D115" s="44">
        <v>1906</v>
      </c>
      <c r="E115" s="21">
        <v>64.666315543836703</v>
      </c>
      <c r="F115" s="6">
        <f t="shared" si="7"/>
        <v>1.6901378359258603</v>
      </c>
      <c r="G115" s="8">
        <f t="shared" si="5"/>
        <v>-0.68713711305297043</v>
      </c>
      <c r="H115" s="55">
        <v>3.3397494662006921</v>
      </c>
      <c r="I115" s="6">
        <f t="shared" ca="1" si="6"/>
        <v>-0.46258144290959535</v>
      </c>
      <c r="J115" s="6">
        <f t="shared" ca="1" si="9"/>
        <v>1.7221733110347739</v>
      </c>
      <c r="K115" s="6">
        <f t="shared" si="8"/>
        <v>-0.42466475315502711</v>
      </c>
    </row>
    <row r="116" spans="4:11" x14ac:dyDescent="0.15">
      <c r="D116" s="44">
        <v>1907</v>
      </c>
      <c r="E116" s="21">
        <v>77.658925589722926</v>
      </c>
      <c r="F116" s="6">
        <f t="shared" si="7"/>
        <v>1.7677967615155832</v>
      </c>
      <c r="G116" s="8">
        <f t="shared" si="5"/>
        <v>-0.61882927796069565</v>
      </c>
      <c r="H116" s="55">
        <v>3.4701740492099078</v>
      </c>
      <c r="I116" s="6">
        <f t="shared" ca="1" si="6"/>
        <v>-0.3482913543491577</v>
      </c>
      <c r="J116" s="6">
        <f t="shared" ca="1" si="9"/>
        <v>1.7924063780168644</v>
      </c>
      <c r="K116" s="6">
        <f t="shared" si="8"/>
        <v>-0.38273521290728513</v>
      </c>
    </row>
    <row r="117" spans="4:11" x14ac:dyDescent="0.15">
      <c r="D117" s="44">
        <v>1908</v>
      </c>
      <c r="E117" s="21">
        <v>75.540143010961216</v>
      </c>
      <c r="F117" s="6">
        <f t="shared" si="7"/>
        <v>1.8433369045265444</v>
      </c>
      <c r="G117" s="8">
        <f t="shared" si="5"/>
        <v>-0.55370290317645154</v>
      </c>
      <c r="H117" s="55">
        <v>3.6123567917960044</v>
      </c>
      <c r="I117" s="6">
        <f t="shared" ca="1" si="6"/>
        <v>-0.28589970004009047</v>
      </c>
      <c r="J117" s="6">
        <f t="shared" ca="1" si="9"/>
        <v>1.8638995059806505</v>
      </c>
      <c r="K117" s="6">
        <f t="shared" si="8"/>
        <v>-0.34258611892218915</v>
      </c>
    </row>
    <row r="118" spans="4:11" x14ac:dyDescent="0.15">
      <c r="D118" s="44">
        <v>1909</v>
      </c>
      <c r="E118" s="21">
        <v>73.545792612796475</v>
      </c>
      <c r="F118" s="6">
        <f t="shared" si="7"/>
        <v>1.9168826971393409</v>
      </c>
      <c r="G118" s="8">
        <f t="shared" si="5"/>
        <v>-0.49137884809713511</v>
      </c>
      <c r="H118" s="55">
        <v>3.7467399027276804</v>
      </c>
      <c r="I118" s="6">
        <f t="shared" ca="1" si="6"/>
        <v>-0.26922164605184662</v>
      </c>
      <c r="J118" s="6">
        <f t="shared" ca="1" si="9"/>
        <v>1.9365491287281402</v>
      </c>
      <c r="K118" s="6">
        <f t="shared" si="8"/>
        <v>-0.30402122731240594</v>
      </c>
    </row>
    <row r="119" spans="4:11" x14ac:dyDescent="0.15">
      <c r="D119" s="44">
        <v>1910</v>
      </c>
      <c r="E119" s="21">
        <v>76.643716918771347</v>
      </c>
      <c r="F119" s="6">
        <f t="shared" si="7"/>
        <v>1.9935264140581122</v>
      </c>
      <c r="G119" s="8">
        <f t="shared" si="5"/>
        <v>-0.42740862826698967</v>
      </c>
      <c r="H119" s="55">
        <v>3.8802706266298626</v>
      </c>
      <c r="I119" s="6">
        <f t="shared" ca="1" si="6"/>
        <v>-0.22569008304049021</v>
      </c>
      <c r="J119" s="6">
        <f t="shared" ca="1" si="9"/>
        <v>2.0102438954357562</v>
      </c>
      <c r="K119" s="6">
        <f t="shared" si="8"/>
        <v>-0.26430663967437079</v>
      </c>
    </row>
    <row r="120" spans="4:11" x14ac:dyDescent="0.15">
      <c r="D120" s="44">
        <v>1911</v>
      </c>
      <c r="E120" s="21">
        <v>82.06762116955872</v>
      </c>
      <c r="F120" s="6">
        <f t="shared" si="7"/>
        <v>2.0755940352276707</v>
      </c>
      <c r="G120" s="8">
        <f t="shared" si="5"/>
        <v>-0.35985031918003757</v>
      </c>
      <c r="H120" s="55">
        <v>4.0250317072605766</v>
      </c>
      <c r="I120" s="6">
        <f t="shared" ca="1" si="6"/>
        <v>-0.12362684075196739</v>
      </c>
      <c r="J120" s="6">
        <f t="shared" ca="1" si="9"/>
        <v>2.0848652531648368</v>
      </c>
      <c r="K120" s="6">
        <f t="shared" si="8"/>
        <v>-0.2222372869517783</v>
      </c>
    </row>
    <row r="121" spans="4:11" x14ac:dyDescent="0.15">
      <c r="D121" s="44">
        <v>1912</v>
      </c>
      <c r="E121" s="21">
        <v>76.531554411793152</v>
      </c>
      <c r="F121" s="6">
        <f t="shared" si="7"/>
        <v>2.1521255896394638</v>
      </c>
      <c r="G121" s="8">
        <f t="shared" si="5"/>
        <v>-0.29757628623576243</v>
      </c>
      <c r="H121" s="55">
        <v>4.1524209149079985</v>
      </c>
      <c r="I121" s="6">
        <f t="shared" ca="1" si="6"/>
        <v>-0.10776478641014364</v>
      </c>
      <c r="J121" s="6">
        <f t="shared" ca="1" si="9"/>
        <v>2.1602881312136417</v>
      </c>
      <c r="K121" s="6">
        <f t="shared" si="8"/>
        <v>-0.1833587250154351</v>
      </c>
    </row>
    <row r="122" spans="4:11" x14ac:dyDescent="0.15">
      <c r="D122" s="44">
        <v>1913</v>
      </c>
      <c r="E122" s="21">
        <v>83.030012637718471</v>
      </c>
      <c r="F122" s="6">
        <f t="shared" si="7"/>
        <v>2.2351556022771821</v>
      </c>
      <c r="G122" s="8">
        <f t="shared" si="5"/>
        <v>-0.23065253343843792</v>
      </c>
      <c r="H122" s="55">
        <v>4.2823720215583556</v>
      </c>
      <c r="I122" s="6">
        <f t="shared" ca="1" si="6"/>
        <v>-1.6052915720820238E-2</v>
      </c>
      <c r="J122" s="6">
        <f t="shared" ca="1" si="9"/>
        <v>2.2363817203588581</v>
      </c>
      <c r="K122" s="6">
        <f t="shared" si="8"/>
        <v>-0.14148829242574779</v>
      </c>
    </row>
    <row r="123" spans="4:11" x14ac:dyDescent="0.15">
      <c r="D123" s="44">
        <v>1914</v>
      </c>
      <c r="E123" s="21">
        <v>82.391885283296247</v>
      </c>
      <c r="F123" s="6">
        <f t="shared" si="7"/>
        <v>2.3175474875604785</v>
      </c>
      <c r="G123" s="8">
        <f t="shared" si="5"/>
        <v>-0.16474814931834869</v>
      </c>
      <c r="H123" s="55">
        <v>4.4064930608959676</v>
      </c>
      <c r="I123" s="6">
        <f t="shared" ca="1" si="6"/>
        <v>5.9030226915638195E-2</v>
      </c>
      <c r="J123" s="6">
        <f t="shared" ca="1" si="9"/>
        <v>2.3130103377326448</v>
      </c>
      <c r="K123" s="6">
        <f t="shared" si="8"/>
        <v>-0.10018370279014138</v>
      </c>
    </row>
    <row r="124" spans="4:11" x14ac:dyDescent="0.15">
      <c r="D124" s="44">
        <v>1915</v>
      </c>
      <c r="E124" s="21">
        <v>80.734961342272726</v>
      </c>
      <c r="F124" s="6">
        <f t="shared" si="7"/>
        <v>2.398282448902751</v>
      </c>
      <c r="G124" s="8">
        <f t="shared" si="5"/>
        <v>-0.10051459273969722</v>
      </c>
      <c r="H124" s="55">
        <v>4.5171225156575154</v>
      </c>
      <c r="I124" s="6">
        <f t="shared" ca="1" si="6"/>
        <v>0.10685754206747333</v>
      </c>
      <c r="J124" s="6">
        <f t="shared" ca="1" si="9"/>
        <v>2.3900343659342114</v>
      </c>
      <c r="K124" s="6">
        <f t="shared" si="8"/>
        <v>-5.9875407337568853E-2</v>
      </c>
    </row>
    <row r="125" spans="4:11" x14ac:dyDescent="0.15">
      <c r="D125" s="44">
        <v>1916</v>
      </c>
      <c r="E125" s="21">
        <v>79.44987246842274</v>
      </c>
      <c r="F125" s="6">
        <f t="shared" si="7"/>
        <v>2.4777323213711737</v>
      </c>
      <c r="G125" s="8">
        <f t="shared" si="5"/>
        <v>-3.7505833816730644E-2</v>
      </c>
      <c r="H125" s="55">
        <v>4.6112917624710557</v>
      </c>
      <c r="I125" s="6">
        <f t="shared" ca="1" si="6"/>
        <v>0.13470501323240569</v>
      </c>
      <c r="J125" s="6">
        <f t="shared" ca="1" si="9"/>
        <v>2.4673112530631314</v>
      </c>
      <c r="K125" s="6">
        <f t="shared" si="8"/>
        <v>-2.03038357452359E-2</v>
      </c>
    </row>
    <row r="126" spans="4:11" x14ac:dyDescent="0.15">
      <c r="D126" s="44">
        <v>1917</v>
      </c>
      <c r="E126" s="21">
        <v>90.36631493874448</v>
      </c>
      <c r="F126" s="6">
        <f t="shared" si="7"/>
        <v>2.5680986363099181</v>
      </c>
      <c r="G126" s="8">
        <f t="shared" si="5"/>
        <v>3.4076888521280067E-2</v>
      </c>
      <c r="H126" s="55">
        <v>4.7168525389732521</v>
      </c>
      <c r="I126" s="6">
        <f t="shared" ca="1" si="6"/>
        <v>0.3024175883076623</v>
      </c>
      <c r="J126" s="6">
        <f t="shared" ca="1" si="9"/>
        <v>2.5446965587590196</v>
      </c>
      <c r="K126" s="6">
        <f t="shared" si="8"/>
        <v>2.4669698360300665E-2</v>
      </c>
    </row>
    <row r="127" spans="4:11" x14ac:dyDescent="0.15">
      <c r="D127" s="44">
        <v>1918</v>
      </c>
      <c r="E127" s="21">
        <v>89.653515393940765</v>
      </c>
      <c r="F127" s="6">
        <f t="shared" si="7"/>
        <v>2.6577521517038587</v>
      </c>
      <c r="G127" s="8">
        <f t="shared" si="5"/>
        <v>0.10518090557540458</v>
      </c>
      <c r="H127" s="55">
        <v>4.8249051510607952</v>
      </c>
      <c r="I127" s="6">
        <f t="shared" ca="1" si="6"/>
        <v>0.46232115358998271</v>
      </c>
      <c r="J127" s="6">
        <f t="shared" ca="1" si="9"/>
        <v>2.6220450301026017</v>
      </c>
      <c r="K127" s="6">
        <f t="shared" si="8"/>
        <v>6.9337636963442265E-2</v>
      </c>
    </row>
    <row r="128" spans="4:11" x14ac:dyDescent="0.15">
      <c r="D128" s="44">
        <v>1919</v>
      </c>
      <c r="E128" s="21">
        <v>79.915900527229454</v>
      </c>
      <c r="F128" s="6">
        <f t="shared" si="7"/>
        <v>2.7376680522310881</v>
      </c>
      <c r="G128" s="8">
        <f t="shared" si="5"/>
        <v>0.16878131439275368</v>
      </c>
      <c r="H128" s="55">
        <v>4.9103262003454136</v>
      </c>
      <c r="I128" s="6">
        <f t="shared" ca="1" si="6"/>
        <v>0.49982007414314467</v>
      </c>
      <c r="J128" s="6">
        <f t="shared" ca="1" si="9"/>
        <v>2.6992116904263921</v>
      </c>
      <c r="K128" s="6">
        <f t="shared" si="8"/>
        <v>0.1092682872662304</v>
      </c>
    </row>
    <row r="129" spans="4:11" x14ac:dyDescent="0.15">
      <c r="D129" s="44">
        <v>1920</v>
      </c>
      <c r="E129" s="21">
        <v>81.282164291682719</v>
      </c>
      <c r="F129" s="6">
        <f t="shared" si="7"/>
        <v>2.8189502165227709</v>
      </c>
      <c r="G129" s="8">
        <f t="shared" si="5"/>
        <v>0.23382117006264314</v>
      </c>
      <c r="H129" s="55">
        <v>4.9810144869418238</v>
      </c>
      <c r="I129" s="6">
        <f t="shared" ca="1" si="6"/>
        <v>0.56080036193088745</v>
      </c>
      <c r="J129" s="6">
        <f t="shared" ca="1" si="9"/>
        <v>2.776052923732288</v>
      </c>
      <c r="K129" s="6">
        <f t="shared" si="8"/>
        <v>0.1500615619631662</v>
      </c>
    </row>
    <row r="130" spans="4:11" x14ac:dyDescent="0.15">
      <c r="D130" s="44">
        <v>1921</v>
      </c>
      <c r="E130" s="21">
        <v>82.07613419116602</v>
      </c>
      <c r="F130" s="6">
        <f t="shared" si="7"/>
        <v>2.9010263507139369</v>
      </c>
      <c r="G130" s="8">
        <f t="shared" si="5"/>
        <v>0.30000036293891486</v>
      </c>
      <c r="H130" s="55">
        <v>5.041546068857591</v>
      </c>
      <c r="I130" s="6">
        <f t="shared" ca="1" si="6"/>
        <v>0.64036639694495534</v>
      </c>
      <c r="J130" s="6">
        <f t="shared" ca="1" si="9"/>
        <v>2.8524275375329475</v>
      </c>
      <c r="K130" s="6">
        <f t="shared" si="8"/>
        <v>0.19150860318698146</v>
      </c>
    </row>
    <row r="131" spans="4:11" x14ac:dyDescent="0.15">
      <c r="D131" s="44">
        <v>1922</v>
      </c>
      <c r="E131" s="21">
        <v>49.607603137084752</v>
      </c>
      <c r="F131" s="6">
        <f t="shared" si="7"/>
        <v>2.9506339538510216</v>
      </c>
      <c r="G131" s="8">
        <f t="shared" si="5"/>
        <v>0.34030901530182561</v>
      </c>
      <c r="H131" s="55">
        <v>5.0422227316752597</v>
      </c>
      <c r="I131" s="6">
        <f t="shared" ca="1" si="6"/>
        <v>0.29791222240601201</v>
      </c>
      <c r="J131" s="6">
        <f t="shared" ca="1" si="9"/>
        <v>2.928197787518859</v>
      </c>
      <c r="K131" s="6">
        <f t="shared" si="8"/>
        <v>0.21671546618448684</v>
      </c>
    </row>
    <row r="132" spans="4:11" x14ac:dyDescent="0.15">
      <c r="D132" s="44">
        <v>1923</v>
      </c>
      <c r="E132" s="21">
        <v>84.675724682530927</v>
      </c>
      <c r="F132" s="6">
        <f t="shared" si="7"/>
        <v>3.0353096785335527</v>
      </c>
      <c r="G132" s="8">
        <f t="shared" si="5"/>
        <v>0.40976916497318056</v>
      </c>
      <c r="H132" s="55">
        <v>5.0551897791039746</v>
      </c>
      <c r="I132" s="6">
        <f t="shared" ca="1" si="6"/>
        <v>0.43099975510494914</v>
      </c>
      <c r="J132" s="6">
        <f t="shared" ca="1" si="9"/>
        <v>3.0032303484793843</v>
      </c>
      <c r="K132" s="6">
        <f t="shared" si="8"/>
        <v>0.2600710042345829</v>
      </c>
    </row>
    <row r="133" spans="4:11" x14ac:dyDescent="0.15">
      <c r="D133" s="44">
        <v>1924</v>
      </c>
      <c r="E133" s="21">
        <v>79.765907509376831</v>
      </c>
      <c r="F133" s="6">
        <f t="shared" si="7"/>
        <v>3.1150755860429293</v>
      </c>
      <c r="G133" s="8">
        <f t="shared" si="5"/>
        <v>0.47610311278168554</v>
      </c>
      <c r="H133" s="55">
        <v>5.0708952721857212</v>
      </c>
      <c r="I133" s="6">
        <f t="shared" ca="1" si="6"/>
        <v>0.51309027192860412</v>
      </c>
      <c r="J133" s="6">
        <f t="shared" ca="1" si="9"/>
        <v>3.0773972173319337</v>
      </c>
      <c r="K133" s="6">
        <f t="shared" si="8"/>
        <v>0.30136341249454507</v>
      </c>
    </row>
    <row r="134" spans="4:11" x14ac:dyDescent="0.15">
      <c r="D134" s="44">
        <v>1925</v>
      </c>
      <c r="E134" s="21">
        <v>56.079574290134062</v>
      </c>
      <c r="F134" s="6">
        <f t="shared" si="7"/>
        <v>3.1711551603330634</v>
      </c>
      <c r="G134" s="8">
        <f t="shared" si="5"/>
        <v>0.52335429455954718</v>
      </c>
      <c r="H134" s="55">
        <v>5.0595884994696867</v>
      </c>
      <c r="I134" s="6">
        <f t="shared" ca="1" si="6"/>
        <v>0.28388799164417833</v>
      </c>
      <c r="J134" s="6">
        <f t="shared" ca="1" si="9"/>
        <v>3.1505765358814282</v>
      </c>
      <c r="K134" s="6">
        <f t="shared" si="8"/>
        <v>0.33070066162982414</v>
      </c>
    </row>
    <row r="135" spans="4:11" x14ac:dyDescent="0.15">
      <c r="D135" s="44">
        <v>1926</v>
      </c>
      <c r="E135" s="21">
        <v>76.600368003118831</v>
      </c>
      <c r="F135" s="6">
        <f t="shared" si="7"/>
        <v>3.2477555283361821</v>
      </c>
      <c r="G135" s="8">
        <f t="shared" si="5"/>
        <v>0.58884325353476741</v>
      </c>
      <c r="H135" s="55">
        <v>5.0551801237709917</v>
      </c>
      <c r="I135" s="6">
        <f t="shared" ca="1" si="6"/>
        <v>0.35219439892011906</v>
      </c>
      <c r="J135" s="6">
        <f t="shared" ca="1" si="9"/>
        <v>3.2226533229730241</v>
      </c>
      <c r="K135" s="6">
        <f t="shared" si="8"/>
        <v>0.37124388529497704</v>
      </c>
    </row>
    <row r="136" spans="4:11" x14ac:dyDescent="0.15">
      <c r="D136" s="44">
        <v>1927</v>
      </c>
      <c r="E136" s="21">
        <v>72.661473463426589</v>
      </c>
      <c r="F136" s="6">
        <f t="shared" si="7"/>
        <v>3.3204170017996089</v>
      </c>
      <c r="G136" s="8">
        <f t="shared" si="5"/>
        <v>0.65211825912494981</v>
      </c>
      <c r="H136" s="55">
        <v>5.0529323435509923</v>
      </c>
      <c r="I136" s="6">
        <f t="shared" ca="1" si="6"/>
        <v>0.38438509106413221</v>
      </c>
      <c r="J136" s="6">
        <f t="shared" ca="1" si="9"/>
        <v>3.2935201079369163</v>
      </c>
      <c r="K136" s="6">
        <f t="shared" si="8"/>
        <v>0.41027375597172028</v>
      </c>
    </row>
    <row r="137" spans="4:11" x14ac:dyDescent="0.15">
      <c r="D137" s="44">
        <v>1928</v>
      </c>
      <c r="E137" s="21">
        <v>68.354618442588603</v>
      </c>
      <c r="F137" s="6">
        <f t="shared" si="7"/>
        <v>3.3887716202421974</v>
      </c>
      <c r="G137" s="8">
        <f t="shared" ref="G137:G200" si="10" xml:space="preserve"> -LN(F$1/F137-1)</f>
        <v>0.71281462804927653</v>
      </c>
      <c r="H137" s="55">
        <v>5.0492860249971656</v>
      </c>
      <c r="I137" s="6">
        <f t="shared" ref="I137:I200" ca="1" si="11" xml:space="preserve"> G137*(F$2-E$2)/LN(81) + AVERAGE(E$2:F$2) - D137</f>
        <v>0.37451107313654575</v>
      </c>
      <c r="J137" s="6">
        <f t="shared" ca="1" si="9"/>
        <v>3.3630774595729531</v>
      </c>
      <c r="K137" s="6">
        <f t="shared" si="8"/>
        <v>0.44756874960996113</v>
      </c>
    </row>
    <row r="138" spans="4:11" x14ac:dyDescent="0.15">
      <c r="D138" s="44">
        <v>1929</v>
      </c>
      <c r="E138" s="21">
        <v>66.975811941909583</v>
      </c>
      <c r="F138" s="6">
        <f t="shared" ref="F138:F201" si="12">F137+E138/1000</f>
        <v>3.4557474321841068</v>
      </c>
      <c r="G138" s="8">
        <f t="shared" si="10"/>
        <v>0.77353417893722876</v>
      </c>
      <c r="H138" s="55">
        <v>5.0448796074242122</v>
      </c>
      <c r="I138" s="6">
        <f t="shared" ca="1" si="11"/>
        <v>0.36501521727882391</v>
      </c>
      <c r="J138" s="6">
        <f t="shared" ca="1" si="9"/>
        <v>3.4312344073027865</v>
      </c>
      <c r="K138" s="6">
        <f t="shared" ref="K138:K201" si="13">NORMSINV(F138/F$5)</f>
        <v>0.48472526117547698</v>
      </c>
    </row>
    <row r="139" spans="4:11" x14ac:dyDescent="0.15">
      <c r="D139" s="44">
        <v>1930</v>
      </c>
      <c r="E139" s="21">
        <v>62.944865366572351</v>
      </c>
      <c r="F139" s="6">
        <f t="shared" si="12"/>
        <v>3.5186922975506794</v>
      </c>
      <c r="G139" s="8">
        <f t="shared" si="10"/>
        <v>0.83186367218634838</v>
      </c>
      <c r="H139" s="55">
        <v>5.0378597717802975</v>
      </c>
      <c r="I139" s="6">
        <f t="shared" ca="1" si="11"/>
        <v>0.3165308978802841</v>
      </c>
      <c r="J139" s="6">
        <f t="shared" ca="1" si="9"/>
        <v>3.4979087534500257</v>
      </c>
      <c r="K139" s="6">
        <f t="shared" si="13"/>
        <v>0.52026549090819996</v>
      </c>
    </row>
    <row r="140" spans="4:11" x14ac:dyDescent="0.15">
      <c r="D140" s="44">
        <v>1931</v>
      </c>
      <c r="E140" s="21">
        <v>54.109625347126304</v>
      </c>
      <c r="F140" s="6">
        <f t="shared" si="12"/>
        <v>3.5728019228978058</v>
      </c>
      <c r="G140" s="8">
        <f t="shared" si="10"/>
        <v>0.8830955768382599</v>
      </c>
      <c r="H140" s="55">
        <v>5.0232722751726184</v>
      </c>
      <c r="I140" s="6">
        <f t="shared" ca="1" si="11"/>
        <v>0.15226523925684887</v>
      </c>
      <c r="J140" s="6">
        <f t="shared" ca="1" si="9"/>
        <v>3.5630272778232559</v>
      </c>
      <c r="K140" s="6">
        <f t="shared" si="13"/>
        <v>0.55134975296374855</v>
      </c>
    </row>
    <row r="141" spans="4:11" x14ac:dyDescent="0.15">
      <c r="D141" s="44">
        <v>1932</v>
      </c>
      <c r="E141" s="21">
        <v>45.227895738455231</v>
      </c>
      <c r="F141" s="6">
        <f t="shared" si="12"/>
        <v>3.6180298186362609</v>
      </c>
      <c r="G141" s="8">
        <f t="shared" si="10"/>
        <v>0.92676752833323839</v>
      </c>
      <c r="H141" s="55">
        <v>4.9985781426174913</v>
      </c>
      <c r="I141" s="6">
        <f t="shared" ca="1" si="11"/>
        <v>-0.1353242058894466</v>
      </c>
      <c r="J141" s="6">
        <f t="shared" ca="1" si="9"/>
        <v>3.6265258378116658</v>
      </c>
      <c r="K141" s="6">
        <f t="shared" si="13"/>
        <v>0.57774560380414497</v>
      </c>
    </row>
    <row r="142" spans="4:11" x14ac:dyDescent="0.15">
      <c r="D142" s="44">
        <v>1933</v>
      </c>
      <c r="E142" s="21">
        <v>44.943151313579463</v>
      </c>
      <c r="F142" s="6">
        <f t="shared" si="12"/>
        <v>3.6629729699498403</v>
      </c>
      <c r="G142" s="8">
        <f t="shared" si="10"/>
        <v>0.9709980283980566</v>
      </c>
      <c r="H142" s="55">
        <v>4.968558482005724</v>
      </c>
      <c r="I142" s="6">
        <f t="shared" ca="1" si="11"/>
        <v>-0.41380217598293711</v>
      </c>
      <c r="J142" s="6">
        <f t="shared" ca="1" si="9"/>
        <v>3.6883493690089346</v>
      </c>
      <c r="K142" s="6">
        <f t="shared" si="13"/>
        <v>0.6043802072851947</v>
      </c>
    </row>
    <row r="143" spans="4:11" x14ac:dyDescent="0.15">
      <c r="D143" s="44">
        <v>1934</v>
      </c>
      <c r="E143" s="21">
        <v>51.8622012505705</v>
      </c>
      <c r="F143" s="6">
        <f t="shared" si="12"/>
        <v>3.7148351712004106</v>
      </c>
      <c r="G143" s="8">
        <f t="shared" si="10"/>
        <v>1.0231606651298402</v>
      </c>
      <c r="H143" s="55">
        <v>4.9408507180259953</v>
      </c>
      <c r="I143" s="6">
        <f t="shared" ca="1" si="11"/>
        <v>-0.56288501509084199</v>
      </c>
      <c r="J143" s="6">
        <f t="shared" ca="1" si="9"/>
        <v>3.7484517929216614</v>
      </c>
      <c r="K143" s="6">
        <f t="shared" si="13"/>
        <v>0.63565909822724043</v>
      </c>
    </row>
    <row r="144" spans="4:11" x14ac:dyDescent="0.15">
      <c r="D144" s="44">
        <v>1935</v>
      </c>
      <c r="E144" s="21">
        <v>47.317652034251559</v>
      </c>
      <c r="F144" s="6">
        <f t="shared" si="12"/>
        <v>3.7621528232346622</v>
      </c>
      <c r="G144" s="8">
        <f t="shared" si="10"/>
        <v>1.0718961237282585</v>
      </c>
      <c r="H144" s="55">
        <v>4.9138915104177814</v>
      </c>
      <c r="I144" s="6">
        <f t="shared" ca="1" si="11"/>
        <v>-0.76787462712718479</v>
      </c>
      <c r="J144" s="6">
        <f t="shared" ca="1" si="9"/>
        <v>3.8067958395707975</v>
      </c>
      <c r="K144" s="6">
        <f t="shared" si="13"/>
        <v>0.66474933139300774</v>
      </c>
    </row>
    <row r="145" spans="4:11" x14ac:dyDescent="0.15">
      <c r="D145" s="44">
        <v>1936</v>
      </c>
      <c r="E145" s="21">
        <v>49.51372130981764</v>
      </c>
      <c r="F145" s="6">
        <f t="shared" si="12"/>
        <v>3.81166654454448</v>
      </c>
      <c r="G145" s="8">
        <f t="shared" si="10"/>
        <v>1.1241718303788977</v>
      </c>
      <c r="H145" s="55">
        <v>4.890380698630004</v>
      </c>
      <c r="I145" s="6">
        <f t="shared" ca="1" si="11"/>
        <v>-0.91511298251339213</v>
      </c>
      <c r="J145" s="6">
        <f t="shared" ca="1" si="9"/>
        <v>3.8633527937481871</v>
      </c>
      <c r="K145" s="6">
        <f t="shared" si="13"/>
        <v>0.69580482825987033</v>
      </c>
    </row>
    <row r="146" spans="4:11" x14ac:dyDescent="0.15">
      <c r="D146" s="44">
        <v>1937</v>
      </c>
      <c r="E146" s="21">
        <v>47.04336472788254</v>
      </c>
      <c r="F146" s="6">
        <f t="shared" si="12"/>
        <v>3.8587099092723625</v>
      </c>
      <c r="G146" s="8">
        <f t="shared" si="10"/>
        <v>1.1751628274479085</v>
      </c>
      <c r="H146" s="55">
        <v>4.8696506557932837</v>
      </c>
      <c r="I146" s="6">
        <f t="shared" ca="1" si="11"/>
        <v>-1.08330851142955</v>
      </c>
      <c r="J146" s="6">
        <f t="shared" ca="1" si="9"/>
        <v>3.9181021743471129</v>
      </c>
      <c r="K146" s="6">
        <f t="shared" si="13"/>
        <v>0.72594552371703902</v>
      </c>
    </row>
    <row r="147" spans="4:11" x14ac:dyDescent="0.15">
      <c r="D147" s="44">
        <v>1938</v>
      </c>
      <c r="E147" s="21">
        <v>41.820333858318122</v>
      </c>
      <c r="F147" s="6">
        <f t="shared" si="12"/>
        <v>3.9005302431306808</v>
      </c>
      <c r="G147" s="8">
        <f t="shared" si="10"/>
        <v>1.22167365099152</v>
      </c>
      <c r="H147" s="55">
        <v>4.8496666121481988</v>
      </c>
      <c r="I147" s="6">
        <f t="shared" ca="1" si="11"/>
        <v>-1.324588086233689</v>
      </c>
      <c r="J147" s="6">
        <f t="shared" ref="J147:J210" ca="1" si="14">F$1/(1+EXP((AVERAGE(E$2:F$2)-D147)*LN(81)/(F$2-E$2)))</f>
        <v>3.9710313565578246</v>
      </c>
      <c r="K147" s="6">
        <f t="shared" si="13"/>
        <v>0.75330424192373391</v>
      </c>
    </row>
    <row r="148" spans="4:11" x14ac:dyDescent="0.15">
      <c r="D148" s="44">
        <v>1939</v>
      </c>
      <c r="E148" s="21">
        <v>46.708562756196343</v>
      </c>
      <c r="F148" s="6">
        <f t="shared" si="12"/>
        <v>3.9472388058868773</v>
      </c>
      <c r="G148" s="8">
        <f t="shared" si="10"/>
        <v>1.2750551404876336</v>
      </c>
      <c r="H148" s="55">
        <v>4.8340772979519651</v>
      </c>
      <c r="I148" s="6">
        <f t="shared" ca="1" si="11"/>
        <v>-1.4537880590075929</v>
      </c>
      <c r="J148" s="6">
        <f t="shared" ca="1" si="14"/>
        <v>4.0221351468271962</v>
      </c>
      <c r="K148" s="6">
        <f t="shared" si="13"/>
        <v>0.78454370441896737</v>
      </c>
    </row>
    <row r="149" spans="4:11" x14ac:dyDescent="0.15">
      <c r="D149" s="44">
        <v>1940</v>
      </c>
      <c r="E149" s="21">
        <v>46.706079791560882</v>
      </c>
      <c r="F149" s="6">
        <f t="shared" si="12"/>
        <v>3.9939448856784381</v>
      </c>
      <c r="G149" s="8">
        <f t="shared" si="10"/>
        <v>1.3300887478114056</v>
      </c>
      <c r="H149" s="55">
        <v>4.8231383496964533</v>
      </c>
      <c r="I149" s="6">
        <f t="shared" ca="1" si="11"/>
        <v>-1.5560374115780178</v>
      </c>
      <c r="J149" s="6">
        <f t="shared" ca="1" si="14"/>
        <v>4.0714153203532275</v>
      </c>
      <c r="K149" s="6">
        <f t="shared" si="13"/>
        <v>0.81656656061385946</v>
      </c>
    </row>
    <row r="150" spans="4:11" x14ac:dyDescent="0.15">
      <c r="D150" s="44">
        <v>1941</v>
      </c>
      <c r="E150" s="21">
        <v>51.136431685528116</v>
      </c>
      <c r="F150" s="6">
        <f t="shared" si="12"/>
        <v>4.0450813173639659</v>
      </c>
      <c r="G150" s="8">
        <f t="shared" si="10"/>
        <v>1.3924370675498161</v>
      </c>
      <c r="H150" s="55">
        <v>4.8192891567518661</v>
      </c>
      <c r="I150" s="6">
        <f t="shared" ca="1" si="11"/>
        <v>-1.5389635337562595</v>
      </c>
      <c r="J150" s="6">
        <f t="shared" ca="1" si="14"/>
        <v>4.1188801305519815</v>
      </c>
      <c r="K150" s="6">
        <f t="shared" si="13"/>
        <v>0.85261635025735794</v>
      </c>
    </row>
    <row r="151" spans="4:11" x14ac:dyDescent="0.15">
      <c r="D151" s="44">
        <v>1942</v>
      </c>
      <c r="E151" s="21">
        <v>54.728395193550178</v>
      </c>
      <c r="F151" s="6">
        <f t="shared" si="12"/>
        <v>4.0998097125575157</v>
      </c>
      <c r="G151" s="8">
        <f t="shared" si="10"/>
        <v>1.4618665150964445</v>
      </c>
      <c r="H151" s="55">
        <v>4.8240627297028649</v>
      </c>
      <c r="I151" s="6">
        <f t="shared" ca="1" si="11"/>
        <v>-1.4063768377948236</v>
      </c>
      <c r="J151" s="6">
        <f t="shared" ca="1" si="14"/>
        <v>4.164543799431442</v>
      </c>
      <c r="K151" s="6">
        <f t="shared" si="13"/>
        <v>0.89246863080240435</v>
      </c>
    </row>
    <row r="152" spans="4:11" x14ac:dyDescent="0.15">
      <c r="D152" s="44">
        <v>1943</v>
      </c>
      <c r="E152" s="21">
        <v>55.014966688493836</v>
      </c>
      <c r="F152" s="6">
        <f t="shared" si="12"/>
        <v>4.1548246792460093</v>
      </c>
      <c r="G152" s="8">
        <f t="shared" si="10"/>
        <v>1.5348285992340138</v>
      </c>
      <c r="H152" s="55">
        <v>4.8366846692089629</v>
      </c>
      <c r="I152" s="6">
        <f t="shared" ca="1" si="11"/>
        <v>-1.2161630492100812</v>
      </c>
      <c r="J152" s="6">
        <f t="shared" ca="1" si="14"/>
        <v>4.2084259971689786</v>
      </c>
      <c r="K152" s="6">
        <f t="shared" si="13"/>
        <v>0.93401196518607699</v>
      </c>
    </row>
    <row r="153" spans="4:11" x14ac:dyDescent="0.15">
      <c r="D153" s="44">
        <v>1944</v>
      </c>
      <c r="E153" s="21">
        <v>57.788904479261852</v>
      </c>
      <c r="F153" s="6">
        <f t="shared" si="12"/>
        <v>4.2126135837252709</v>
      </c>
      <c r="G153" s="8">
        <f t="shared" si="10"/>
        <v>1.6153633456713423</v>
      </c>
      <c r="H153" s="55">
        <v>4.8577342057493214</v>
      </c>
      <c r="I153" s="6">
        <f t="shared" ca="1" si="11"/>
        <v>-0.90241815276272064</v>
      </c>
      <c r="J153" s="6">
        <f t="shared" ca="1" si="14"/>
        <v>4.2505513184515822</v>
      </c>
      <c r="K153" s="6">
        <f t="shared" si="13"/>
        <v>0.9794610372789041</v>
      </c>
    </row>
    <row r="154" spans="4:11" x14ac:dyDescent="0.15">
      <c r="D154" s="44">
        <v>1945</v>
      </c>
      <c r="E154" s="21">
        <v>49.835203995139992</v>
      </c>
      <c r="F154" s="6">
        <f t="shared" si="12"/>
        <v>4.2624487877204107</v>
      </c>
      <c r="G154" s="8">
        <f t="shared" si="10"/>
        <v>1.6884691529816969</v>
      </c>
      <c r="H154" s="55">
        <v>4.8809088591901997</v>
      </c>
      <c r="I154" s="6">
        <f t="shared" ca="1" si="11"/>
        <v>-0.70985984093681509</v>
      </c>
      <c r="J154" s="6">
        <f t="shared" ca="1" si="14"/>
        <v>4.2909487623336364</v>
      </c>
      <c r="K154" s="6">
        <f t="shared" si="13"/>
        <v>1.0203451151928591</v>
      </c>
    </row>
    <row r="155" spans="4:11" x14ac:dyDescent="0.15">
      <c r="D155" s="44">
        <v>1946</v>
      </c>
      <c r="E155" s="21">
        <v>54.890911896749024</v>
      </c>
      <c r="F155" s="6">
        <f t="shared" si="12"/>
        <v>4.3173396996171594</v>
      </c>
      <c r="G155" s="8">
        <f t="shared" si="10"/>
        <v>1.7734958715563542</v>
      </c>
      <c r="H155" s="55">
        <v>4.9091913423149709</v>
      </c>
      <c r="I155" s="6">
        <f t="shared" ca="1" si="11"/>
        <v>-0.32283843054415229</v>
      </c>
      <c r="J155" s="6">
        <f t="shared" ca="1" si="14"/>
        <v>4.3296512215258884</v>
      </c>
      <c r="K155" s="6">
        <f t="shared" si="13"/>
        <v>1.0674470934438367</v>
      </c>
    </row>
    <row r="156" spans="4:11" x14ac:dyDescent="0.15">
      <c r="D156" s="44">
        <v>1947</v>
      </c>
      <c r="E156" s="21">
        <v>51.881903488770334</v>
      </c>
      <c r="F156" s="6">
        <f t="shared" si="12"/>
        <v>4.3692216031059301</v>
      </c>
      <c r="G156" s="8">
        <f t="shared" si="10"/>
        <v>1.8588701427893781</v>
      </c>
      <c r="H156" s="55">
        <v>4.9398437835755233</v>
      </c>
      <c r="I156" s="6">
        <f t="shared" ca="1" si="11"/>
        <v>6.9852526862405284E-2</v>
      </c>
      <c r="J156" s="6">
        <f t="shared" ca="1" si="14"/>
        <v>4.3666949861779809</v>
      </c>
      <c r="K156" s="6">
        <f t="shared" si="13"/>
        <v>1.1142547377757936</v>
      </c>
    </row>
    <row r="157" spans="4:11" x14ac:dyDescent="0.15">
      <c r="D157" s="44">
        <v>1948</v>
      </c>
      <c r="E157" s="21">
        <v>51.836488913463114</v>
      </c>
      <c r="F157" s="6">
        <f t="shared" si="12"/>
        <v>4.4210580920193934</v>
      </c>
      <c r="G157" s="8">
        <f t="shared" si="10"/>
        <v>1.9498430612798809</v>
      </c>
      <c r="H157" s="55">
        <v>4.9725991903487676</v>
      </c>
      <c r="I157" s="6">
        <f t="shared" ca="1" si="11"/>
        <v>0.55387293629928536</v>
      </c>
      <c r="J157" s="6">
        <f t="shared" ca="1" si="14"/>
        <v>4.4021192663783371</v>
      </c>
      <c r="K157" s="6">
        <f t="shared" si="13"/>
        <v>1.1635957435151718</v>
      </c>
    </row>
    <row r="158" spans="4:11" x14ac:dyDescent="0.15">
      <c r="D158" s="45">
        <v>1949</v>
      </c>
      <c r="E158" s="21">
        <v>38.738602799965825</v>
      </c>
      <c r="F158" s="6">
        <f t="shared" si="12"/>
        <v>4.4597966948193593</v>
      </c>
      <c r="G158" s="8">
        <f t="shared" si="10"/>
        <v>2.0221224583191169</v>
      </c>
      <c r="H158" s="55">
        <v>4.9997646846535453</v>
      </c>
      <c r="I158" s="6">
        <f t="shared" ca="1" si="11"/>
        <v>0.73295020641239716</v>
      </c>
      <c r="J158" s="6">
        <f t="shared" ca="1" si="14"/>
        <v>4.4359657367878134</v>
      </c>
      <c r="K158" s="6">
        <f t="shared" si="13"/>
        <v>1.2024055414699719</v>
      </c>
    </row>
    <row r="159" spans="4:11" x14ac:dyDescent="0.15">
      <c r="D159" s="44">
        <v>1950</v>
      </c>
      <c r="E159" s="21">
        <v>39.985981818511867</v>
      </c>
      <c r="F159" s="6">
        <f t="shared" si="12"/>
        <v>4.4997826766378708</v>
      </c>
      <c r="G159" s="8">
        <f t="shared" si="10"/>
        <v>2.1011825662059378</v>
      </c>
      <c r="H159" s="55">
        <v>5.0243076602916528</v>
      </c>
      <c r="I159" s="6">
        <f t="shared" ca="1" si="11"/>
        <v>1.0226396615062185</v>
      </c>
      <c r="J159" s="6">
        <f t="shared" ca="1" si="14"/>
        <v>4.4682781060623409</v>
      </c>
      <c r="K159" s="6">
        <f t="shared" si="13"/>
        <v>1.2444615863663766</v>
      </c>
    </row>
    <row r="160" spans="4:11" x14ac:dyDescent="0.15">
      <c r="D160" s="44">
        <v>1951</v>
      </c>
      <c r="E160" s="21">
        <v>38.709572888261484</v>
      </c>
      <c r="F160" s="6">
        <f t="shared" si="12"/>
        <v>4.5384922495261319</v>
      </c>
      <c r="G160" s="8">
        <f t="shared" si="10"/>
        <v>2.182677085708272</v>
      </c>
      <c r="H160" s="55">
        <v>5.0467918884902137</v>
      </c>
      <c r="I160" s="6">
        <f t="shared" ca="1" si="11"/>
        <v>1.352041116416558</v>
      </c>
      <c r="J160" s="6">
        <f t="shared" ca="1" si="14"/>
        <v>4.4991017130154924</v>
      </c>
      <c r="K160" s="6">
        <f t="shared" si="13"/>
        <v>1.2873858858821761</v>
      </c>
    </row>
    <row r="161" spans="4:11" x14ac:dyDescent="0.15">
      <c r="D161" s="44">
        <v>1952</v>
      </c>
      <c r="E161" s="21">
        <v>36.816278334293784</v>
      </c>
      <c r="F161" s="6">
        <f t="shared" si="12"/>
        <v>4.5753085278604253</v>
      </c>
      <c r="G161" s="8">
        <f t="shared" si="10"/>
        <v>2.265429980727621</v>
      </c>
      <c r="H161" s="55">
        <v>5.0672970091691623</v>
      </c>
      <c r="I161" s="6">
        <f t="shared" ca="1" si="11"/>
        <v>1.7019701632846136</v>
      </c>
      <c r="J161" s="6">
        <f t="shared" ca="1" si="14"/>
        <v>4.5284831508321117</v>
      </c>
      <c r="K161" s="6">
        <f t="shared" si="13"/>
        <v>1.3305362231669262</v>
      </c>
    </row>
    <row r="162" spans="4:11" x14ac:dyDescent="0.15">
      <c r="D162" s="44">
        <v>1953</v>
      </c>
      <c r="E162" s="21">
        <v>28.076460541804657</v>
      </c>
      <c r="F162" s="6">
        <f t="shared" si="12"/>
        <v>4.6033849884022295</v>
      </c>
      <c r="G162" s="8">
        <f t="shared" si="10"/>
        <v>2.332494838602158</v>
      </c>
      <c r="H162" s="55">
        <v>5.0827792525273594</v>
      </c>
      <c r="I162" s="6">
        <f t="shared" ca="1" si="11"/>
        <v>1.7959838488211517</v>
      </c>
      <c r="J162" s="6">
        <f t="shared" ca="1" si="14"/>
        <v>4.5564699200732575</v>
      </c>
      <c r="K162" s="6">
        <f t="shared" si="13"/>
        <v>1.3651888426533818</v>
      </c>
    </row>
    <row r="163" spans="4:11" x14ac:dyDescent="0.15">
      <c r="D163" s="44">
        <v>1954</v>
      </c>
      <c r="E163" s="21">
        <v>26.383653815545085</v>
      </c>
      <c r="F163" s="6">
        <f t="shared" si="12"/>
        <v>4.6297686422177744</v>
      </c>
      <c r="G163" s="8">
        <f t="shared" si="10"/>
        <v>2.399079068319752</v>
      </c>
      <c r="H163" s="55">
        <v>5.0944226379937563</v>
      </c>
      <c r="I163" s="6">
        <f t="shared" ca="1" si="11"/>
        <v>1.8821571571761524</v>
      </c>
      <c r="J163" s="6">
        <f t="shared" ca="1" si="14"/>
        <v>4.5831101107123118</v>
      </c>
      <c r="K163" s="6">
        <f t="shared" si="13"/>
        <v>1.3993171820248054</v>
      </c>
    </row>
    <row r="164" spans="4:11" x14ac:dyDescent="0.15">
      <c r="D164" s="44">
        <v>1955</v>
      </c>
      <c r="E164" s="21">
        <v>23.772776131635627</v>
      </c>
      <c r="F164" s="6">
        <f t="shared" si="12"/>
        <v>4.6535414183494099</v>
      </c>
      <c r="G164" s="8">
        <f t="shared" si="10"/>
        <v>2.4624118883548674</v>
      </c>
      <c r="H164" s="55">
        <v>5.1026572124700866</v>
      </c>
      <c r="I164" s="6">
        <f t="shared" ca="1" si="11"/>
        <v>1.9152909631352486</v>
      </c>
      <c r="J164" s="6">
        <f t="shared" ca="1" si="14"/>
        <v>4.6084521130119409</v>
      </c>
      <c r="K164" s="6">
        <f t="shared" si="13"/>
        <v>1.4315287199572502</v>
      </c>
    </row>
    <row r="165" spans="4:11" x14ac:dyDescent="0.15">
      <c r="D165" s="44">
        <v>1956</v>
      </c>
      <c r="E165" s="21">
        <v>26.217639007985866</v>
      </c>
      <c r="F165" s="6">
        <f t="shared" si="12"/>
        <v>4.6797590573573959</v>
      </c>
      <c r="G165" s="8">
        <f t="shared" si="10"/>
        <v>2.5364192311515716</v>
      </c>
      <c r="H165" s="55">
        <v>5.1096364823278027</v>
      </c>
      <c r="I165" s="6">
        <f t="shared" ca="1" si="11"/>
        <v>2.1225558171252032</v>
      </c>
      <c r="J165" s="6">
        <f t="shared" ca="1" si="14"/>
        <v>4.6325443566892375</v>
      </c>
      <c r="K165" s="6">
        <f t="shared" si="13"/>
        <v>1.4688670827205847</v>
      </c>
    </row>
    <row r="166" spans="4:11" x14ac:dyDescent="0.15">
      <c r="D166" s="44">
        <v>1957</v>
      </c>
      <c r="E166" s="21">
        <v>22.986246961396049</v>
      </c>
      <c r="F166" s="6">
        <f t="shared" si="12"/>
        <v>4.7027453043187917</v>
      </c>
      <c r="G166" s="8">
        <f t="shared" si="10"/>
        <v>2.6053861676816816</v>
      </c>
      <c r="H166" s="176">
        <v>5.1148612660586803</v>
      </c>
      <c r="I166" s="6">
        <f t="shared" ca="1" si="11"/>
        <v>2.2475976766727399</v>
      </c>
      <c r="J166" s="6">
        <f t="shared" ca="1" si="14"/>
        <v>4.6554350775183702</v>
      </c>
      <c r="K166" s="6">
        <f t="shared" si="13"/>
        <v>1.5033764577875595</v>
      </c>
    </row>
    <row r="167" spans="4:11" x14ac:dyDescent="0.15">
      <c r="D167" s="44">
        <v>1958</v>
      </c>
      <c r="E167" s="21">
        <v>19.206008146645978</v>
      </c>
      <c r="F167" s="6">
        <f t="shared" si="12"/>
        <v>4.7219513124654373</v>
      </c>
      <c r="G167" s="8">
        <f t="shared" si="10"/>
        <v>2.6663315668243062</v>
      </c>
      <c r="H167" s="176">
        <v>5.1178237144861338</v>
      </c>
      <c r="I167" s="6">
        <f t="shared" ca="1" si="11"/>
        <v>2.2417860317311806</v>
      </c>
      <c r="J167" s="6">
        <f t="shared" ca="1" si="14"/>
        <v>4.6771721102817319</v>
      </c>
      <c r="K167" s="6">
        <f t="shared" si="13"/>
        <v>1.533648646768992</v>
      </c>
    </row>
    <row r="168" spans="4:11" x14ac:dyDescent="0.15">
      <c r="D168" s="44">
        <v>1959</v>
      </c>
      <c r="E168" s="21">
        <v>18.732457711968863</v>
      </c>
      <c r="F168" s="6">
        <f t="shared" si="12"/>
        <v>4.7406837701774061</v>
      </c>
      <c r="G168" s="8">
        <f t="shared" si="10"/>
        <v>2.7290594113886608</v>
      </c>
      <c r="H168" s="176">
        <v>5.1192361212608706</v>
      </c>
      <c r="I168" s="6">
        <f t="shared" ca="1" si="11"/>
        <v>2.2650510112227948</v>
      </c>
      <c r="J168" s="6">
        <f t="shared" ca="1" si="14"/>
        <v>4.6978027067968258</v>
      </c>
      <c r="K168" s="6">
        <f t="shared" si="13"/>
        <v>1.5645934744065062</v>
      </c>
    </row>
    <row r="169" spans="4:11" x14ac:dyDescent="0.15">
      <c r="D169" s="44">
        <v>1960</v>
      </c>
      <c r="E169" s="21">
        <v>17.070495266895158</v>
      </c>
      <c r="F169" s="6">
        <f t="shared" si="12"/>
        <v>4.7577542654443015</v>
      </c>
      <c r="G169" s="8">
        <f t="shared" si="10"/>
        <v>2.789392978117772</v>
      </c>
      <c r="H169" s="176">
        <v>5.1192555515741738</v>
      </c>
      <c r="I169" s="6">
        <f t="shared" ca="1" si="11"/>
        <v>2.2492586840751301</v>
      </c>
      <c r="J169" s="6">
        <f t="shared" ca="1" si="14"/>
        <v>4.7173733776111781</v>
      </c>
      <c r="K169" s="6">
        <f t="shared" si="13"/>
        <v>1.5941595667022492</v>
      </c>
    </row>
    <row r="170" spans="4:11" x14ac:dyDescent="0.15">
      <c r="D170" s="44">
        <v>1961</v>
      </c>
      <c r="E170" s="21">
        <v>15.826744987312161</v>
      </c>
      <c r="F170" s="6">
        <f t="shared" si="12"/>
        <v>4.7735810104316139</v>
      </c>
      <c r="G170" s="8">
        <f t="shared" si="10"/>
        <v>2.8483601009644177</v>
      </c>
      <c r="H170" s="176">
        <v>5.1181218029461659</v>
      </c>
      <c r="I170" s="6">
        <f t="shared" ca="1" si="11"/>
        <v>2.2111758704443218</v>
      </c>
      <c r="J170" s="6">
        <f t="shared" ca="1" si="14"/>
        <v>4.7359297558659019</v>
      </c>
      <c r="K170" s="6">
        <f t="shared" si="13"/>
        <v>1.622874760569319</v>
      </c>
    </row>
    <row r="171" spans="4:11" x14ac:dyDescent="0.15">
      <c r="D171" s="44">
        <v>1962</v>
      </c>
      <c r="E171" s="21">
        <v>15.325979010412222</v>
      </c>
      <c r="F171" s="6">
        <f t="shared" si="12"/>
        <v>4.788906989442026</v>
      </c>
      <c r="G171" s="8">
        <f t="shared" si="10"/>
        <v>2.9085729362248127</v>
      </c>
      <c r="H171" s="176">
        <v>5.1162115636530761</v>
      </c>
      <c r="I171" s="6">
        <f t="shared" ca="1" si="11"/>
        <v>2.1934140784646843</v>
      </c>
      <c r="J171" s="6">
        <f t="shared" ca="1" si="14"/>
        <v>4.7535164817743087</v>
      </c>
      <c r="K171" s="6">
        <f t="shared" si="13"/>
        <v>1.6520179458850126</v>
      </c>
    </row>
    <row r="172" spans="4:11" x14ac:dyDescent="0.15">
      <c r="D172" s="44">
        <v>1963</v>
      </c>
      <c r="E172" s="21">
        <v>16.571543659476742</v>
      </c>
      <c r="F172" s="6">
        <f t="shared" si="12"/>
        <v>4.8054785331015024</v>
      </c>
      <c r="G172" s="8">
        <f t="shared" si="10"/>
        <v>2.9775597862831966</v>
      </c>
      <c r="H172" s="176">
        <v>5.1142612953567124</v>
      </c>
      <c r="I172" s="6">
        <f t="shared" ca="1" si="11"/>
        <v>2.3187807828435325</v>
      </c>
      <c r="J172" s="6">
        <f t="shared" ca="1" si="14"/>
        <v>4.7701771061398226</v>
      </c>
      <c r="K172" s="6">
        <f t="shared" si="13"/>
        <v>1.6851945361231306</v>
      </c>
    </row>
    <row r="173" spans="4:11" x14ac:dyDescent="0.15">
      <c r="D173" s="44">
        <v>1964</v>
      </c>
      <c r="E173" s="21">
        <v>15.58906258523284</v>
      </c>
      <c r="F173" s="6">
        <f t="shared" si="12"/>
        <v>4.8210675956867348</v>
      </c>
      <c r="G173" s="8">
        <f t="shared" si="10"/>
        <v>3.0466306972926578</v>
      </c>
      <c r="H173" s="176">
        <v>5.112277858639767</v>
      </c>
      <c r="I173" s="6">
        <f t="shared" ca="1" si="11"/>
        <v>2.4455187542887415</v>
      </c>
      <c r="J173" s="6">
        <f t="shared" ca="1" si="14"/>
        <v>4.7859540113421497</v>
      </c>
      <c r="K173" s="6">
        <f t="shared" si="13"/>
        <v>1.7181936562166413</v>
      </c>
    </row>
    <row r="174" spans="4:11" x14ac:dyDescent="0.15">
      <c r="D174" s="44">
        <v>1965</v>
      </c>
      <c r="E174" s="21">
        <v>13.486208356149406</v>
      </c>
      <c r="F174" s="6">
        <f t="shared" si="12"/>
        <v>4.8345538040428844</v>
      </c>
      <c r="G174" s="8">
        <f t="shared" si="10"/>
        <v>3.110096339858007</v>
      </c>
      <c r="H174" s="176">
        <v>5.1099689148366387</v>
      </c>
      <c r="I174" s="6">
        <f t="shared" ca="1" si="11"/>
        <v>2.4808192638006403</v>
      </c>
      <c r="J174" s="6">
        <f t="shared" ca="1" si="14"/>
        <v>4.8008883482475069</v>
      </c>
      <c r="K174" s="6">
        <f t="shared" si="13"/>
        <v>1.7483322921834155</v>
      </c>
    </row>
    <row r="175" spans="4:11" x14ac:dyDescent="0.15">
      <c r="D175" s="44">
        <v>1966</v>
      </c>
      <c r="E175" s="21">
        <v>11.739877730184952</v>
      </c>
      <c r="F175" s="6">
        <f t="shared" si="12"/>
        <v>4.8462936817730693</v>
      </c>
      <c r="G175" s="8">
        <f t="shared" si="10"/>
        <v>3.1685111577385419</v>
      </c>
      <c r="H175" s="176">
        <v>5.1071855868802603</v>
      </c>
      <c r="I175" s="6">
        <f t="shared" ca="1" si="11"/>
        <v>2.4337268255967501</v>
      </c>
      <c r="J175" s="6">
        <f t="shared" ca="1" si="14"/>
        <v>4.815019987543252</v>
      </c>
      <c r="K175" s="6">
        <f t="shared" si="13"/>
        <v>1.7759260669582662</v>
      </c>
    </row>
    <row r="176" spans="4:11" x14ac:dyDescent="0.15">
      <c r="D176" s="44">
        <v>1967</v>
      </c>
      <c r="E176" s="21">
        <v>11.118456182763834</v>
      </c>
      <c r="F176" s="6">
        <f t="shared" si="12"/>
        <v>4.8574121379558335</v>
      </c>
      <c r="G176" s="8">
        <f t="shared" si="10"/>
        <v>3.2268846578451886</v>
      </c>
      <c r="H176" s="176">
        <v>5.1040743247562501</v>
      </c>
      <c r="I176" s="6">
        <f t="shared" ca="1" si="11"/>
        <v>2.3859603799985507</v>
      </c>
      <c r="J176" s="6">
        <f t="shared" ca="1" si="14"/>
        <v>4.8283874840557122</v>
      </c>
      <c r="K176" s="6">
        <f t="shared" si="13"/>
        <v>1.8033679800883411</v>
      </c>
    </row>
    <row r="177" spans="4:11" x14ac:dyDescent="0.15">
      <c r="D177" s="44">
        <v>1968</v>
      </c>
      <c r="E177" s="21">
        <v>10.397244313859032</v>
      </c>
      <c r="F177" s="6">
        <f t="shared" si="12"/>
        <v>4.8678093822696926</v>
      </c>
      <c r="G177" s="8">
        <f t="shared" si="10"/>
        <v>3.2844748461528099</v>
      </c>
      <c r="H177" s="176">
        <v>5.1007209127295612</v>
      </c>
      <c r="I177" s="6">
        <f t="shared" ca="1" si="11"/>
        <v>2.3254159482041814</v>
      </c>
      <c r="J177" s="6">
        <f t="shared" ca="1" si="14"/>
        <v>4.8410280526788467</v>
      </c>
      <c r="K177" s="6">
        <f t="shared" si="13"/>
        <v>1.8303197214129279</v>
      </c>
    </row>
    <row r="178" spans="4:11" x14ac:dyDescent="0.15">
      <c r="D178" s="44">
        <v>1969</v>
      </c>
      <c r="E178" s="21">
        <v>9.5009457899874032</v>
      </c>
      <c r="F178" s="6">
        <f t="shared" si="12"/>
        <v>4.8773103280596803</v>
      </c>
      <c r="G178" s="8">
        <f t="shared" si="10"/>
        <v>3.3399341479598994</v>
      </c>
      <c r="H178" s="176">
        <v>5.0971485082514532</v>
      </c>
      <c r="I178" s="6">
        <f t="shared" ca="1" si="11"/>
        <v>2.2301108523631683</v>
      </c>
      <c r="J178" s="6">
        <f t="shared" ca="1" si="14"/>
        <v>4.8529775546175999</v>
      </c>
      <c r="K178" s="6">
        <f t="shared" si="13"/>
        <v>1.8561672195877068</v>
      </c>
    </row>
    <row r="179" spans="4:11" x14ac:dyDescent="0.15">
      <c r="D179" s="44">
        <v>1970</v>
      </c>
      <c r="E179" s="21">
        <v>8.8260003428614002</v>
      </c>
      <c r="F179" s="6">
        <f t="shared" si="12"/>
        <v>4.8861363284025421</v>
      </c>
      <c r="G179" s="8">
        <f t="shared" si="10"/>
        <v>3.3941540177541865</v>
      </c>
      <c r="H179" s="176">
        <v>5.0934170086172808</v>
      </c>
      <c r="I179" s="6">
        <f t="shared" ca="1" si="11"/>
        <v>2.1145871856153917</v>
      </c>
      <c r="J179" s="6">
        <f t="shared" ca="1" si="14"/>
        <v>4.8642704927309763</v>
      </c>
      <c r="K179" s="6">
        <f t="shared" si="13"/>
        <v>1.8813428062100692</v>
      </c>
    </row>
    <row r="180" spans="4:11" x14ac:dyDescent="0.15">
      <c r="D180" s="44">
        <v>1971</v>
      </c>
      <c r="E180" s="21">
        <v>7.917001232619123</v>
      </c>
      <c r="F180" s="6">
        <f t="shared" si="12"/>
        <v>4.8940533296351614</v>
      </c>
      <c r="G180" s="8">
        <f t="shared" si="10"/>
        <v>3.4452445903184343</v>
      </c>
      <c r="H180" s="176">
        <v>5.0895206515140297</v>
      </c>
      <c r="I180" s="6">
        <f t="shared" ca="1" si="11"/>
        <v>1.9480160089754008</v>
      </c>
      <c r="J180" s="6">
        <f t="shared" ca="1" si="14"/>
        <v>4.8749400148436113</v>
      </c>
      <c r="K180" s="6">
        <f t="shared" si="13"/>
        <v>1.90498669441283</v>
      </c>
    </row>
    <row r="181" spans="4:11" x14ac:dyDescent="0.15">
      <c r="D181" s="44">
        <v>1972</v>
      </c>
      <c r="E181" s="21">
        <v>6.4464547678459363</v>
      </c>
      <c r="F181" s="6">
        <f t="shared" si="12"/>
        <v>4.9004997844030074</v>
      </c>
      <c r="G181" s="8">
        <f t="shared" si="10"/>
        <v>3.4887333327946664</v>
      </c>
      <c r="H181" s="176">
        <v>5.0853421964770762</v>
      </c>
      <c r="I181" s="6">
        <f t="shared" ca="1" si="11"/>
        <v>1.6574379170149314</v>
      </c>
      <c r="J181" s="6">
        <f t="shared" ca="1" si="14"/>
        <v>4.8850179239793157</v>
      </c>
      <c r="K181" s="6">
        <f t="shared" si="13"/>
        <v>1.925057296050972</v>
      </c>
    </row>
    <row r="182" spans="4:11" x14ac:dyDescent="0.15">
      <c r="D182" s="44">
        <v>1973</v>
      </c>
      <c r="E182" s="21">
        <v>6.1960717793959681</v>
      </c>
      <c r="F182" s="6">
        <f t="shared" si="12"/>
        <v>4.9066958561824032</v>
      </c>
      <c r="G182" s="8">
        <f t="shared" si="10"/>
        <v>3.5322796304764781</v>
      </c>
      <c r="H182" s="176">
        <v>5.0810134032337118</v>
      </c>
      <c r="I182" s="6">
        <f t="shared" ca="1" si="11"/>
        <v>1.3677987099576967</v>
      </c>
      <c r="J182" s="6">
        <f t="shared" ca="1" si="14"/>
        <v>4.8945346945541317</v>
      </c>
      <c r="K182" s="6">
        <f t="shared" si="13"/>
        <v>1.9451078702479299</v>
      </c>
    </row>
    <row r="183" spans="4:11" x14ac:dyDescent="0.15">
      <c r="D183" s="44">
        <v>1974</v>
      </c>
      <c r="E183" s="21">
        <v>6.0028414296139267</v>
      </c>
      <c r="F183" s="6">
        <f t="shared" si="12"/>
        <v>4.9126986976120168</v>
      </c>
      <c r="G183" s="8">
        <f t="shared" si="10"/>
        <v>3.5762453559268974</v>
      </c>
      <c r="H183" s="176">
        <v>5.0766428847033946</v>
      </c>
      <c r="I183" s="6">
        <f t="shared" ca="1" si="11"/>
        <v>1.0850015321461797</v>
      </c>
      <c r="J183" s="6">
        <f t="shared" ca="1" si="14"/>
        <v>4.9035194936487798</v>
      </c>
      <c r="K183" s="6">
        <f t="shared" si="13"/>
        <v>1.9653086366820574</v>
      </c>
    </row>
    <row r="184" spans="4:11" x14ac:dyDescent="0.15">
      <c r="D184" s="44">
        <v>1975</v>
      </c>
      <c r="E184" s="21">
        <v>5.6272669469389731</v>
      </c>
      <c r="F184" s="6">
        <f t="shared" si="12"/>
        <v>4.9183259645589557</v>
      </c>
      <c r="G184" s="8">
        <f t="shared" si="10"/>
        <v>3.6191891579226203</v>
      </c>
      <c r="H184" s="176">
        <v>5.0722824663438741</v>
      </c>
      <c r="I184" s="6">
        <f t="shared" ca="1" si="11"/>
        <v>0.78553395078142785</v>
      </c>
      <c r="J184" s="6">
        <f t="shared" ca="1" si="14"/>
        <v>4.9120002065599753</v>
      </c>
      <c r="K184" s="6">
        <f t="shared" si="13"/>
        <v>1.9850026130704368</v>
      </c>
    </row>
    <row r="185" spans="4:11" x14ac:dyDescent="0.15">
      <c r="D185" s="44">
        <v>1976</v>
      </c>
      <c r="E185" s="21">
        <v>5.6499465654579923</v>
      </c>
      <c r="F185" s="6">
        <f t="shared" si="12"/>
        <v>4.9239759111244137</v>
      </c>
      <c r="G185" s="8">
        <f t="shared" si="10"/>
        <v>3.6641396378757145</v>
      </c>
      <c r="H185" s="176">
        <v>5.0680353066036119</v>
      </c>
      <c r="I185" s="6">
        <f t="shared" ca="1" si="11"/>
        <v>0.51880084791127956</v>
      </c>
      <c r="J185" s="6">
        <f t="shared" ca="1" si="14"/>
        <v>4.9200034659063503</v>
      </c>
      <c r="K185" s="6">
        <f t="shared" si="13"/>
        <v>2.0055823191526501</v>
      </c>
    </row>
    <row r="186" spans="4:11" x14ac:dyDescent="0.15">
      <c r="D186" s="44">
        <v>1977</v>
      </c>
      <c r="E186" s="21">
        <v>5.3170097655987947</v>
      </c>
      <c r="F186" s="6">
        <f t="shared" si="12"/>
        <v>4.9292929208900125</v>
      </c>
      <c r="G186" s="8">
        <f t="shared" si="10"/>
        <v>3.708269752986697</v>
      </c>
      <c r="H186" s="176">
        <v>5.0639266435622066</v>
      </c>
      <c r="I186" s="6">
        <f t="shared" ca="1" si="11"/>
        <v>0.23868532102869722</v>
      </c>
      <c r="J186" s="6">
        <f t="shared" ca="1" si="14"/>
        <v>4.9275546836370809</v>
      </c>
      <c r="K186" s="6">
        <f t="shared" si="13"/>
        <v>2.0257571807317758</v>
      </c>
    </row>
    <row r="187" spans="4:11" x14ac:dyDescent="0.15">
      <c r="D187" s="44">
        <v>1978</v>
      </c>
      <c r="E187" s="21">
        <v>4.569489539211931</v>
      </c>
      <c r="F187" s="6">
        <f t="shared" si="12"/>
        <v>4.9338624104292244</v>
      </c>
      <c r="G187" s="8">
        <f t="shared" si="10"/>
        <v>3.7477358257161617</v>
      </c>
      <c r="H187" s="176">
        <v>5.0599069551267108</v>
      </c>
      <c r="I187" s="6">
        <f t="shared" ca="1" si="11"/>
        <v>-0.11751366233170302</v>
      </c>
      <c r="J187" s="6">
        <f t="shared" ca="1" si="14"/>
        <v>4.9346780853594563</v>
      </c>
      <c r="K187" s="6">
        <f t="shared" si="13"/>
        <v>2.043779593769576</v>
      </c>
    </row>
    <row r="188" spans="4:11" x14ac:dyDescent="0.15">
      <c r="D188" s="44">
        <v>1979</v>
      </c>
      <c r="E188" s="21">
        <v>4.3862382215782585</v>
      </c>
      <c r="F188" s="6">
        <f t="shared" si="12"/>
        <v>4.938248648650803</v>
      </c>
      <c r="G188" s="8">
        <f t="shared" si="10"/>
        <v>3.7870701403274314</v>
      </c>
      <c r="H188" s="176">
        <v>5.0560161386057629</v>
      </c>
      <c r="I188" s="6">
        <f t="shared" ca="1" si="11"/>
        <v>-0.4758619857350368</v>
      </c>
      <c r="J188" s="6">
        <f t="shared" ca="1" si="14"/>
        <v>4.9413967464653741</v>
      </c>
      <c r="K188" s="6">
        <f t="shared" si="13"/>
        <v>2.0617269493549886</v>
      </c>
    </row>
    <row r="189" spans="4:11" x14ac:dyDescent="0.15">
      <c r="D189" s="44">
        <v>1980</v>
      </c>
      <c r="E189" s="21">
        <v>5.493910790047142</v>
      </c>
      <c r="F189" s="6">
        <f t="shared" si="12"/>
        <v>4.9437425594408504</v>
      </c>
      <c r="G189" s="8">
        <f t="shared" si="10"/>
        <v>3.838520194261728</v>
      </c>
      <c r="H189" s="6">
        <v>5.0524873170974161</v>
      </c>
      <c r="I189" s="6">
        <f t="shared" ca="1" si="11"/>
        <v>-0.63656902501634249</v>
      </c>
      <c r="J189" s="6">
        <f t="shared" ca="1" si="14"/>
        <v>4.9477326295959392</v>
      </c>
      <c r="K189" s="6">
        <f t="shared" si="13"/>
        <v>2.0851868451927182</v>
      </c>
    </row>
    <row r="190" spans="4:11" x14ac:dyDescent="0.15">
      <c r="D190" s="44">
        <v>1981</v>
      </c>
      <c r="E190" s="21">
        <v>4.9196628491455829</v>
      </c>
      <c r="F190" s="6">
        <f t="shared" si="12"/>
        <v>4.9486622222899959</v>
      </c>
      <c r="G190" s="8">
        <f t="shared" si="10"/>
        <v>3.886847972802788</v>
      </c>
      <c r="H190" s="55">
        <v>5.0492695699625063</v>
      </c>
      <c r="I190" s="6">
        <f t="shared" ca="1" si="11"/>
        <v>-0.84820902857222791</v>
      </c>
      <c r="J190" s="6">
        <f t="shared" ca="1" si="14"/>
        <v>4.9537066230380784</v>
      </c>
      <c r="K190" s="6">
        <f t="shared" si="13"/>
        <v>2.1072148893493439</v>
      </c>
    </row>
    <row r="191" spans="4:11" x14ac:dyDescent="0.15">
      <c r="D191" s="44">
        <v>1982</v>
      </c>
      <c r="E191" s="21">
        <v>4.1630707753511125</v>
      </c>
      <c r="F191" s="6">
        <f t="shared" si="12"/>
        <v>4.9528252930653469</v>
      </c>
      <c r="G191" s="8">
        <f t="shared" si="10"/>
        <v>3.9295706755715094</v>
      </c>
      <c r="H191" s="55">
        <v>5.0462742272662737</v>
      </c>
      <c r="I191" s="6">
        <f t="shared" ca="1" si="11"/>
        <v>-1.1512833510510063</v>
      </c>
      <c r="J191" s="6">
        <f t="shared" ca="1" si="14"/>
        <v>4.9593385796973388</v>
      </c>
      <c r="K191" s="6">
        <f t="shared" si="13"/>
        <v>2.1266884185885382</v>
      </c>
    </row>
    <row r="192" spans="4:11" x14ac:dyDescent="0.15">
      <c r="D192" s="44">
        <v>1983</v>
      </c>
      <c r="E192" s="21">
        <v>3.7094784049707341</v>
      </c>
      <c r="F192" s="6">
        <f t="shared" si="12"/>
        <v>4.9565347714703174</v>
      </c>
      <c r="G192" s="8">
        <f t="shared" si="10"/>
        <v>3.9691756092635995</v>
      </c>
      <c r="H192" s="55">
        <v>5.0434630456881768</v>
      </c>
      <c r="I192" s="6">
        <f t="shared" ca="1" si="11"/>
        <v>-1.505217127292326</v>
      </c>
      <c r="J192" s="6">
        <f t="shared" ca="1" si="14"/>
        <v>4.9646473563370428</v>
      </c>
      <c r="K192" s="6">
        <f t="shared" si="13"/>
        <v>2.1447466853675508</v>
      </c>
    </row>
    <row r="193" spans="4:11" x14ac:dyDescent="0.15">
      <c r="D193" s="44">
        <v>1984</v>
      </c>
      <c r="E193" s="21">
        <v>3.7754624870899676</v>
      </c>
      <c r="F193" s="6">
        <f t="shared" si="12"/>
        <v>4.960310233957407</v>
      </c>
      <c r="G193" s="8">
        <f t="shared" si="10"/>
        <v>4.0110984678176766</v>
      </c>
      <c r="H193" s="55">
        <v>5.0408832553084197</v>
      </c>
      <c r="I193" s="6">
        <f t="shared" ca="1" si="11"/>
        <v>-1.8213391254814724</v>
      </c>
      <c r="J193" s="6">
        <f t="shared" ca="1" si="14"/>
        <v>4.9696508528157812</v>
      </c>
      <c r="K193" s="6">
        <f t="shared" si="13"/>
        <v>2.1638738529310126</v>
      </c>
    </row>
    <row r="194" spans="4:11" x14ac:dyDescent="0.15">
      <c r="D194" s="44">
        <v>1985</v>
      </c>
      <c r="E194" s="21">
        <v>4.2713659537794273</v>
      </c>
      <c r="F194" s="6">
        <f t="shared" si="12"/>
        <v>4.9645815999111864</v>
      </c>
      <c r="G194" s="8">
        <f t="shared" si="10"/>
        <v>4.0606659937613712</v>
      </c>
      <c r="H194" s="166">
        <v>5.0386518161577545</v>
      </c>
      <c r="I194" s="6">
        <f t="shared" ca="1" si="11"/>
        <v>-2.012755413248442</v>
      </c>
      <c r="J194" s="6">
        <f t="shared" ca="1" si="14"/>
        <v>4.9743660510931349</v>
      </c>
      <c r="K194" s="6">
        <f t="shared" si="13"/>
        <v>2.1865135241395204</v>
      </c>
    </row>
    <row r="195" spans="4:11" x14ac:dyDescent="0.15">
      <c r="D195" s="44">
        <v>1986</v>
      </c>
      <c r="E195" s="21">
        <v>3.8935924552928705</v>
      </c>
      <c r="F195" s="6">
        <f t="shared" si="12"/>
        <v>4.9684751923664789</v>
      </c>
      <c r="G195" s="8">
        <f t="shared" si="10"/>
        <v>4.1080155410607926</v>
      </c>
      <c r="H195" s="166">
        <v>5.0367232438307132</v>
      </c>
      <c r="I195" s="6">
        <f t="shared" ca="1" si="11"/>
        <v>-2.2403530792805668</v>
      </c>
      <c r="J195" s="6">
        <f t="shared" ca="1" si="14"/>
        <v>4.9788090538077423</v>
      </c>
      <c r="K195" s="6">
        <f t="shared" si="13"/>
        <v>2.2081749751363851</v>
      </c>
    </row>
    <row r="196" spans="4:11" x14ac:dyDescent="0.15">
      <c r="D196" s="44">
        <v>1987</v>
      </c>
      <c r="E196" s="21">
        <v>3.2299940749043028</v>
      </c>
      <c r="F196" s="6">
        <f t="shared" si="12"/>
        <v>4.9717051864413833</v>
      </c>
      <c r="G196" s="8">
        <f t="shared" si="10"/>
        <v>4.1490112534209924</v>
      </c>
      <c r="H196" s="166">
        <v>5.0349908737313287</v>
      </c>
      <c r="I196" s="6">
        <f t="shared" ca="1" si="11"/>
        <v>-2.5715994012473402</v>
      </c>
      <c r="J196" s="6">
        <f t="shared" ca="1" si="14"/>
        <v>4.9829951222624747</v>
      </c>
      <c r="K196" s="6">
        <f t="shared" si="13"/>
        <v>2.2269653994062977</v>
      </c>
    </row>
    <row r="197" spans="4:11" x14ac:dyDescent="0.15">
      <c r="D197" s="44">
        <v>1988</v>
      </c>
      <c r="E197" s="21">
        <v>3.2245963256967762</v>
      </c>
      <c r="F197" s="6">
        <f t="shared" si="12"/>
        <v>4.97492978276708</v>
      </c>
      <c r="G197" s="8">
        <f t="shared" si="10"/>
        <v>4.191630176170662</v>
      </c>
      <c r="H197" s="166">
        <v>5.0334750413285452</v>
      </c>
      <c r="I197" s="6">
        <f t="shared" ca="1" si="11"/>
        <v>-2.8763666634372385</v>
      </c>
      <c r="J197" s="6">
        <f t="shared" ca="1" si="14"/>
        <v>4.986938713679022</v>
      </c>
      <c r="K197" s="6">
        <f t="shared" si="13"/>
        <v>2.2465431678911334</v>
      </c>
    </row>
    <row r="198" spans="4:11" x14ac:dyDescent="0.15">
      <c r="D198" s="44">
        <v>1989</v>
      </c>
      <c r="E198" s="21">
        <v>3.03725088332805</v>
      </c>
      <c r="F198" s="6">
        <f t="shared" si="12"/>
        <v>4.9779670336504083</v>
      </c>
      <c r="G198" s="8">
        <f t="shared" si="10"/>
        <v>4.2334515532264998</v>
      </c>
      <c r="H198" s="166">
        <v>5.0321562237103894</v>
      </c>
      <c r="I198" s="6">
        <f t="shared" ca="1" si="11"/>
        <v>-3.1941441060935176</v>
      </c>
      <c r="J198" s="6">
        <f t="shared" ca="1" si="14"/>
        <v>4.99065351760862</v>
      </c>
      <c r="K198" s="6">
        <f t="shared" si="13"/>
        <v>2.2658058020246781</v>
      </c>
    </row>
    <row r="199" spans="4:11" x14ac:dyDescent="0.15">
      <c r="D199" s="44">
        <v>1990</v>
      </c>
      <c r="E199" s="21">
        <v>3.1808137757381805</v>
      </c>
      <c r="F199" s="6">
        <f t="shared" si="12"/>
        <v>4.9811478474261461</v>
      </c>
      <c r="G199" s="8">
        <f t="shared" si="10"/>
        <v>4.279151134526642</v>
      </c>
      <c r="H199" s="166">
        <v>5.031079548042154</v>
      </c>
      <c r="I199" s="6">
        <f t="shared" ca="1" si="11"/>
        <v>-3.4486572900450483</v>
      </c>
      <c r="J199" s="6">
        <f t="shared" ca="1" si="14"/>
        <v>4.994152491407359</v>
      </c>
      <c r="K199" s="6">
        <f t="shared" si="13"/>
        <v>2.286923107951814</v>
      </c>
    </row>
    <row r="200" spans="4:11" x14ac:dyDescent="0.15">
      <c r="D200" s="44">
        <v>1991</v>
      </c>
      <c r="E200" s="21">
        <v>3.1253240067000672</v>
      </c>
      <c r="F200" s="6">
        <f t="shared" si="12"/>
        <v>4.9842731714328465</v>
      </c>
      <c r="G200" s="8">
        <f t="shared" si="10"/>
        <v>4.3261232892643688</v>
      </c>
      <c r="H200" s="166">
        <v>5.0302448760585259</v>
      </c>
      <c r="I200" s="6">
        <f t="shared" ca="1" si="11"/>
        <v>-3.6824112746082847</v>
      </c>
      <c r="J200" s="6">
        <f t="shared" ca="1" si="14"/>
        <v>4.997447894703706</v>
      </c>
      <c r="K200" s="6">
        <f t="shared" si="13"/>
        <v>2.3087153901323929</v>
      </c>
    </row>
    <row r="201" spans="4:11" x14ac:dyDescent="0.15">
      <c r="D201" s="44">
        <v>1992</v>
      </c>
      <c r="E201" s="21">
        <v>3.1595983533907495</v>
      </c>
      <c r="F201" s="6">
        <f t="shared" si="12"/>
        <v>4.9874327697862375</v>
      </c>
      <c r="G201" s="8">
        <f t="shared" ref="G201:G218" si="15" xml:space="preserve"> -LN(F$1/F201-1)</f>
        <v>4.3759008621251292</v>
      </c>
      <c r="H201" s="166">
        <v>5.0296692329076844</v>
      </c>
      <c r="I201" s="6">
        <f t="shared" ref="I201:I218" ca="1" si="16" xml:space="preserve"> G201*(F$2-E$2)/LN(81) + AVERAGE(E$2:F$2) - D201</f>
        <v>-3.8704011150648512</v>
      </c>
      <c r="J201" s="6">
        <f t="shared" ca="1" si="14"/>
        <v>5.0005513228027052</v>
      </c>
      <c r="K201" s="6">
        <f t="shared" si="13"/>
        <v>2.3319211602691672</v>
      </c>
    </row>
    <row r="202" spans="4:11" x14ac:dyDescent="0.15">
      <c r="D202" s="44">
        <v>1993</v>
      </c>
      <c r="E202" s="21">
        <v>3.9210910391548102</v>
      </c>
      <c r="F202" s="6">
        <f t="shared" ref="F202:F218" si="17">F201+E202/1000</f>
        <v>4.9913538608253925</v>
      </c>
      <c r="G202" s="8">
        <f t="shared" si="15"/>
        <v>4.4412374661214153</v>
      </c>
      <c r="H202" s="166">
        <v>5.0295473328866453</v>
      </c>
      <c r="I202" s="6">
        <f t="shared" ca="1" si="16"/>
        <v>-3.804580039709208</v>
      </c>
      <c r="J202" s="6">
        <f t="shared" ca="1" si="14"/>
        <v>5.0034737389860959</v>
      </c>
      <c r="K202" s="6">
        <f t="shared" ref="K202:K218" si="18">NORMSINV(F202/F$5)</f>
        <v>2.3625857518368876</v>
      </c>
    </row>
    <row r="203" spans="4:11" x14ac:dyDescent="0.15">
      <c r="D203" s="44">
        <v>1994</v>
      </c>
      <c r="E203" s="21">
        <v>4.2148093354861791</v>
      </c>
      <c r="F203" s="6">
        <f t="shared" si="17"/>
        <v>4.9955686701608784</v>
      </c>
      <c r="G203" s="8">
        <f t="shared" si="15"/>
        <v>4.5164543542277364</v>
      </c>
      <c r="H203" s="166">
        <v>5.0299664171125462</v>
      </c>
      <c r="I203" s="6">
        <f t="shared" ca="1" si="16"/>
        <v>-3.5775841497647889</v>
      </c>
      <c r="J203" s="6">
        <f t="shared" ca="1" si="14"/>
        <v>5.0062255056804252</v>
      </c>
      <c r="K203" s="6">
        <f t="shared" si="18"/>
        <v>2.3982320964852692</v>
      </c>
    </row>
    <row r="204" spans="4:11" x14ac:dyDescent="0.15">
      <c r="D204" s="44">
        <v>1995</v>
      </c>
      <c r="E204" s="21">
        <v>4.2741990917248236</v>
      </c>
      <c r="F204" s="6">
        <f t="shared" si="17"/>
        <v>4.9998428692526034</v>
      </c>
      <c r="G204" s="8">
        <f t="shared" si="15"/>
        <v>4.5988410169381151</v>
      </c>
      <c r="H204" s="166">
        <v>5.0309298192577083</v>
      </c>
      <c r="I204" s="6">
        <f t="shared" ca="1" si="16"/>
        <v>-3.2336293667779046</v>
      </c>
      <c r="J204" s="6">
        <f t="shared" ca="1" si="14"/>
        <v>5.0088164144763754</v>
      </c>
      <c r="K204" s="6">
        <f t="shared" si="18"/>
        <v>2.4377908274052258</v>
      </c>
    </row>
    <row r="205" spans="4:11" x14ac:dyDescent="0.15">
      <c r="D205" s="44">
        <v>1996</v>
      </c>
      <c r="E205" s="21">
        <v>4.3252989938023951</v>
      </c>
      <c r="F205" s="6">
        <f t="shared" si="17"/>
        <v>5.0041681682464061</v>
      </c>
      <c r="G205" s="8">
        <f t="shared" si="15"/>
        <v>4.6895898468189436</v>
      </c>
      <c r="H205" s="166">
        <v>5.0324129336383621</v>
      </c>
      <c r="I205" s="6">
        <f t="shared" ca="1" si="16"/>
        <v>-2.7532644635707584</v>
      </c>
      <c r="J205" s="6">
        <f t="shared" ca="1" si="14"/>
        <v>5.0112557149921022</v>
      </c>
      <c r="K205" s="6">
        <f t="shared" si="18"/>
        <v>2.482130824290731</v>
      </c>
    </row>
    <row r="206" spans="4:11" x14ac:dyDescent="0.15">
      <c r="D206" s="44">
        <v>1997</v>
      </c>
      <c r="E206" s="21">
        <v>4.2564554653802844</v>
      </c>
      <c r="F206" s="6">
        <f t="shared" si="17"/>
        <v>5.008424623711786</v>
      </c>
      <c r="G206" s="8">
        <f t="shared" si="15"/>
        <v>4.7875575280109786</v>
      </c>
      <c r="H206" s="166">
        <v>5.0343228467160053</v>
      </c>
      <c r="I206" s="6">
        <f t="shared" ca="1" si="16"/>
        <v>-2.1551400902237674</v>
      </c>
      <c r="J206" s="6">
        <f t="shared" ca="1" si="14"/>
        <v>5.0135521425815952</v>
      </c>
      <c r="K206" s="6">
        <f t="shared" si="18"/>
        <v>2.531120555163199</v>
      </c>
    </row>
    <row r="207" spans="4:11" x14ac:dyDescent="0.15">
      <c r="D207" s="44">
        <v>1998</v>
      </c>
      <c r="E207" s="21">
        <v>4.7642838754870436</v>
      </c>
      <c r="F207" s="6">
        <f t="shared" si="17"/>
        <v>5.0131889075872733</v>
      </c>
      <c r="G207" s="8">
        <f t="shared" si="15"/>
        <v>4.9097249898154445</v>
      </c>
      <c r="H207" s="166">
        <v>5.0368176200884953</v>
      </c>
      <c r="I207" s="6">
        <f t="shared" ca="1" si="16"/>
        <v>-1.1622502314044141</v>
      </c>
      <c r="J207" s="6">
        <f t="shared" ca="1" si="14"/>
        <v>5.015713944896028</v>
      </c>
      <c r="K207" s="6">
        <f t="shared" si="18"/>
        <v>2.5943068996244842</v>
      </c>
    </row>
    <row r="208" spans="4:11" x14ac:dyDescent="0.15">
      <c r="D208" s="44">
        <v>1999</v>
      </c>
      <c r="E208" s="21">
        <v>4.3252318621315791</v>
      </c>
      <c r="F208" s="6">
        <f t="shared" si="17"/>
        <v>5.0175141394494052</v>
      </c>
      <c r="G208" s="8">
        <f t="shared" si="15"/>
        <v>5.0350101240604728</v>
      </c>
      <c r="H208" s="166">
        <v>5.0395651473136898</v>
      </c>
      <c r="I208" s="6">
        <f t="shared" ca="1" si="16"/>
        <v>-0.11850249522444756</v>
      </c>
      <c r="J208" s="6">
        <f t="shared" ca="1" si="14"/>
        <v>5.017748907311959</v>
      </c>
      <c r="K208" s="6">
        <f t="shared" si="18"/>
        <v>2.6623020470220551</v>
      </c>
    </row>
    <row r="209" spans="4:11" x14ac:dyDescent="0.15">
      <c r="D209" s="44">
        <v>2000</v>
      </c>
      <c r="E209" s="21">
        <v>4.1478509369553693</v>
      </c>
      <c r="F209" s="6">
        <f t="shared" si="17"/>
        <v>5.0216619903863604</v>
      </c>
      <c r="G209" s="8">
        <f t="shared" si="15"/>
        <v>5.1717258487477302</v>
      </c>
      <c r="H209" s="55">
        <v>5.0424392505038353</v>
      </c>
      <c r="I209" s="6">
        <f t="shared" ca="1" si="16"/>
        <v>1.111709848111559</v>
      </c>
      <c r="J209" s="6">
        <f t="shared" ca="1" si="14"/>
        <v>5.0196643772451015</v>
      </c>
      <c r="K209" s="6">
        <f t="shared" si="18"/>
        <v>2.7416100856938952</v>
      </c>
    </row>
    <row r="210" spans="4:11" x14ac:dyDescent="0.15">
      <c r="D210" s="44">
        <v>2001</v>
      </c>
      <c r="E210" s="21">
        <v>1.7599538192164608</v>
      </c>
      <c r="F210" s="6">
        <f t="shared" si="17"/>
        <v>5.0234219442055768</v>
      </c>
      <c r="G210" s="8">
        <f t="shared" si="15"/>
        <v>5.2358255324472545</v>
      </c>
      <c r="H210" s="55">
        <v>5.0443791445541537</v>
      </c>
      <c r="I210" s="6">
        <f t="shared" ca="1" si="16"/>
        <v>1.1573533256093924</v>
      </c>
      <c r="J210" s="6">
        <f t="shared" ca="1" si="14"/>
        <v>5.0214672873724551</v>
      </c>
      <c r="K210" s="6">
        <f t="shared" si="18"/>
        <v>2.7812450234240438</v>
      </c>
    </row>
    <row r="211" spans="4:11" x14ac:dyDescent="0.15">
      <c r="D211" s="44">
        <v>2002</v>
      </c>
      <c r="E211" s="21">
        <v>1.240228588419364</v>
      </c>
      <c r="F211" s="6">
        <f t="shared" si="17"/>
        <v>5.0246621727939962</v>
      </c>
      <c r="G211" s="8">
        <f t="shared" si="15"/>
        <v>5.2835692855628258</v>
      </c>
      <c r="H211" s="55">
        <v>5.0456733328643661</v>
      </c>
      <c r="I211" s="6">
        <f t="shared" ca="1" si="16"/>
        <v>0.93618624888222257</v>
      </c>
      <c r="J211" s="6">
        <f t="shared" ref="J211:J274" ca="1" si="19">F$1/(1+EXP((AVERAGE(E$2:F$2)-D211)*LN(81)/(F$2-E$2)))</f>
        <v>5.0231641777888418</v>
      </c>
      <c r="K211" s="6">
        <f t="shared" si="18"/>
        <v>2.8120527149753443</v>
      </c>
    </row>
    <row r="212" spans="4:11" x14ac:dyDescent="0.15">
      <c r="D212" s="44">
        <v>2003</v>
      </c>
      <c r="E212" s="21">
        <v>1.1723267177581622</v>
      </c>
      <c r="F212" s="6">
        <f t="shared" si="17"/>
        <v>5.0258344995117543</v>
      </c>
      <c r="G212" s="8">
        <f t="shared" si="15"/>
        <v>5.3308729736376552</v>
      </c>
      <c r="H212" s="55">
        <v>5.0465770625848672</v>
      </c>
      <c r="I212" s="6">
        <f t="shared" ca="1" si="16"/>
        <v>0.70784049180974762</v>
      </c>
      <c r="J212" s="6">
        <f t="shared" ca="1" si="19"/>
        <v>5.0247612171264828</v>
      </c>
      <c r="K212" s="6">
        <f t="shared" si="18"/>
        <v>2.8438528336881599</v>
      </c>
    </row>
    <row r="213" spans="4:11" x14ac:dyDescent="0.15">
      <c r="D213" s="44">
        <v>2004</v>
      </c>
      <c r="E213" s="21">
        <v>1.5472643567451012</v>
      </c>
      <c r="F213" s="6">
        <f t="shared" si="17"/>
        <v>5.0273817638684992</v>
      </c>
      <c r="G213" s="8">
        <f t="shared" si="15"/>
        <v>5.3969039576418147</v>
      </c>
      <c r="H213" s="55">
        <v>5.0473340956778694</v>
      </c>
      <c r="I213" s="6">
        <f t="shared" ca="1" si="16"/>
        <v>0.78498882939538817</v>
      </c>
      <c r="J213" s="6">
        <f t="shared" ca="1" si="19"/>
        <v>5.0262642226683445</v>
      </c>
      <c r="K213" s="6">
        <f t="shared" si="18"/>
        <v>2.8907848690732787</v>
      </c>
    </row>
    <row r="214" spans="4:11" x14ac:dyDescent="0.15">
      <c r="D214" s="44">
        <v>2005</v>
      </c>
      <c r="E214" s="21">
        <v>1.5456404960591397</v>
      </c>
      <c r="F214" s="6">
        <f t="shared" si="17"/>
        <v>5.0289274043645582</v>
      </c>
      <c r="G214" s="8">
        <f t="shared" si="15"/>
        <v>5.4674833434393637</v>
      </c>
      <c r="H214" s="55">
        <v>5.0479975407482778</v>
      </c>
      <c r="I214" s="6">
        <f t="shared" ca="1" si="16"/>
        <v>0.93633420499759268</v>
      </c>
      <c r="J214" s="6">
        <f t="shared" ca="1" si="19"/>
        <v>5.027678679487412</v>
      </c>
      <c r="K214" s="6">
        <f t="shared" si="18"/>
        <v>2.9450424667672741</v>
      </c>
    </row>
    <row r="215" spans="4:11" x14ac:dyDescent="0.15">
      <c r="D215" s="44">
        <v>2006</v>
      </c>
      <c r="E215" s="21">
        <v>1.3950106345184827</v>
      </c>
      <c r="F215" s="6">
        <f t="shared" si="17"/>
        <v>5.0303224149990768</v>
      </c>
      <c r="G215" s="8">
        <f t="shared" si="15"/>
        <v>5.5357240025993857</v>
      </c>
      <c r="H215" s="55">
        <v>5.0485665988779855</v>
      </c>
      <c r="I215" s="6">
        <f t="shared" ca="1" si="16"/>
        <v>1.0495284679416272</v>
      </c>
      <c r="J215" s="6">
        <f t="shared" ca="1" si="19"/>
        <v>5.0290097586452038</v>
      </c>
      <c r="K215" s="6">
        <f t="shared" si="18"/>
        <v>3.002786012911046</v>
      </c>
    </row>
    <row r="216" spans="4:11" x14ac:dyDescent="0.15">
      <c r="D216" s="44">
        <v>2007</v>
      </c>
      <c r="E216" s="21">
        <v>1.4229092868510982</v>
      </c>
      <c r="F216" s="6">
        <f t="shared" si="17"/>
        <v>5.0317453242859278</v>
      </c>
      <c r="G216" s="8">
        <f t="shared" si="15"/>
        <v>5.610442129131104</v>
      </c>
      <c r="H216" s="55">
        <v>5.049084937680556</v>
      </c>
      <c r="I216" s="6">
        <f t="shared" ca="1" si="16"/>
        <v>1.2683881744103473</v>
      </c>
      <c r="J216" s="6">
        <f t="shared" ca="1" si="19"/>
        <v>5.0302623344835107</v>
      </c>
      <c r="K216" s="6">
        <f t="shared" si="18"/>
        <v>3.0742636512413917</v>
      </c>
    </row>
    <row r="217" spans="4:11" x14ac:dyDescent="0.15">
      <c r="D217" s="44">
        <v>2008</v>
      </c>
      <c r="E217" s="21">
        <v>1.5428917262946347</v>
      </c>
      <c r="F217" s="6">
        <f t="shared" si="17"/>
        <v>5.0332882160122221</v>
      </c>
      <c r="G217" s="8">
        <f t="shared" si="15"/>
        <v>5.6982602214289342</v>
      </c>
      <c r="H217" s="55">
        <v>5.0496082928243817</v>
      </c>
      <c r="I217" s="6">
        <f t="shared" ca="1" si="16"/>
        <v>1.7009446258273329</v>
      </c>
      <c r="J217" s="6">
        <f t="shared" ca="1" si="19"/>
        <v>5.0314410010437269</v>
      </c>
      <c r="K217" s="6">
        <f t="shared" si="18"/>
        <v>3.1751457576524884</v>
      </c>
    </row>
    <row r="218" spans="4:11" x14ac:dyDescent="0.15">
      <c r="D218" s="44">
        <v>2009</v>
      </c>
      <c r="E218" s="21">
        <v>1.5725372900171199</v>
      </c>
      <c r="F218" s="6">
        <f t="shared" si="17"/>
        <v>5.0348607533022394</v>
      </c>
      <c r="G218" s="8">
        <f t="shared" si="15"/>
        <v>5.7964192641985006</v>
      </c>
      <c r="H218" s="56">
        <v>5.0501587499966902</v>
      </c>
      <c r="I218" s="6">
        <f t="shared" ca="1" si="16"/>
        <v>2.3021906368148848</v>
      </c>
      <c r="J218" s="6">
        <f t="shared" ca="1" si="19"/>
        <v>5.0325500876482296</v>
      </c>
      <c r="K218" s="6">
        <f t="shared" si="18"/>
        <v>3.3284759057445532</v>
      </c>
    </row>
    <row r="219" spans="4:11" x14ac:dyDescent="0.15">
      <c r="D219" s="44">
        <v>2010</v>
      </c>
      <c r="E219" s="21"/>
      <c r="F219" s="56"/>
      <c r="G219" s="8"/>
      <c r="H219" s="50"/>
      <c r="I219" s="56"/>
      <c r="J219" s="6">
        <f t="shared" ca="1" si="19"/>
        <v>5.0335936736781539</v>
      </c>
      <c r="K219" s="6"/>
    </row>
    <row r="220" spans="4:11" x14ac:dyDescent="0.15">
      <c r="D220" s="44">
        <v>2011</v>
      </c>
      <c r="E220" s="21"/>
      <c r="F220" s="56"/>
      <c r="H220" s="50"/>
      <c r="I220" s="56"/>
      <c r="J220" s="6">
        <f t="shared" ca="1" si="19"/>
        <v>5.0345756025815653</v>
      </c>
      <c r="K220" s="6"/>
    </row>
    <row r="221" spans="4:11" x14ac:dyDescent="0.15">
      <c r="D221" s="44">
        <v>2012</v>
      </c>
      <c r="E221" s="21"/>
      <c r="F221" s="56"/>
      <c r="H221" s="50"/>
      <c r="I221" s="56"/>
      <c r="J221" s="6">
        <f t="shared" ca="1" si="19"/>
        <v>5.0354994951455083</v>
      </c>
      <c r="K221" s="6"/>
    </row>
    <row r="222" spans="4:11" x14ac:dyDescent="0.15">
      <c r="D222" s="44">
        <v>2013</v>
      </c>
      <c r="E222" s="21"/>
      <c r="F222" s="56"/>
      <c r="H222" s="50"/>
      <c r="I222" s="56"/>
      <c r="J222" s="6">
        <f t="shared" ca="1" si="19"/>
        <v>5.0363687620648392</v>
      </c>
      <c r="K222" s="6"/>
    </row>
    <row r="223" spans="4:11" x14ac:dyDescent="0.15">
      <c r="D223" s="44">
        <v>2014</v>
      </c>
      <c r="E223" s="21"/>
      <c r="F223" s="56"/>
      <c r="H223" s="50"/>
      <c r="I223" s="56"/>
      <c r="J223" s="6">
        <f t="shared" ca="1" si="19"/>
        <v>5.0371866158399428</v>
      </c>
      <c r="K223" s="6"/>
    </row>
    <row r="224" spans="4:11" x14ac:dyDescent="0.15">
      <c r="D224" s="44">
        <v>2015</v>
      </c>
      <c r="E224" s="21"/>
      <c r="F224" s="56"/>
      <c r="H224" s="50"/>
      <c r="I224" s="56"/>
      <c r="J224" s="6">
        <f t="shared" ca="1" si="19"/>
        <v>5.0379560820346407</v>
      </c>
      <c r="K224" s="6"/>
    </row>
    <row r="225" spans="4:11" x14ac:dyDescent="0.15">
      <c r="D225" s="44">
        <v>2016</v>
      </c>
      <c r="E225" s="21"/>
      <c r="F225" s="56"/>
      <c r="H225" s="50"/>
      <c r="I225" s="56"/>
      <c r="J225" s="6">
        <f t="shared" ca="1" si="19"/>
        <v>5.0386800099247022</v>
      </c>
      <c r="K225" s="6"/>
    </row>
    <row r="226" spans="4:11" x14ac:dyDescent="0.15">
      <c r="D226" s="44">
        <v>2017</v>
      </c>
      <c r="E226" s="21"/>
      <c r="F226" s="56"/>
      <c r="H226" s="50"/>
      <c r="I226" s="56"/>
      <c r="J226" s="6">
        <f t="shared" ca="1" si="19"/>
        <v>5.0393610825663773</v>
      </c>
      <c r="K226" s="6"/>
    </row>
    <row r="227" spans="4:11" x14ac:dyDescent="0.15">
      <c r="D227" s="44">
        <v>2018</v>
      </c>
      <c r="E227" s="21"/>
      <c r="F227" s="56"/>
      <c r="H227" s="50"/>
      <c r="I227" s="56"/>
      <c r="J227" s="6">
        <f t="shared" ca="1" si="19"/>
        <v>5.0400018263134321</v>
      </c>
      <c r="K227" s="6"/>
    </row>
    <row r="228" spans="4:11" x14ac:dyDescent="0.15">
      <c r="D228" s="44">
        <v>2019</v>
      </c>
      <c r="E228" s="21"/>
      <c r="F228" s="56"/>
      <c r="H228" s="50"/>
      <c r="I228" s="56"/>
      <c r="J228" s="6">
        <f t="shared" ca="1" si="19"/>
        <v>5.0406046198101206</v>
      </c>
      <c r="K228" s="6"/>
    </row>
    <row r="229" spans="4:11" x14ac:dyDescent="0.15">
      <c r="D229" s="44">
        <v>2020</v>
      </c>
      <c r="E229" s="21"/>
      <c r="F229" s="56"/>
      <c r="H229" s="50"/>
      <c r="I229" s="56"/>
      <c r="J229" s="6">
        <f t="shared" ca="1" si="19"/>
        <v>5.0411717024864977</v>
      </c>
      <c r="K229" s="6"/>
    </row>
    <row r="230" spans="4:11" x14ac:dyDescent="0.15">
      <c r="D230" s="44">
        <v>2021</v>
      </c>
      <c r="E230" s="21"/>
      <c r="F230" s="56"/>
      <c r="H230" s="50"/>
      <c r="I230" s="56"/>
      <c r="J230" s="6">
        <f t="shared" ca="1" si="19"/>
        <v>5.0417051825814703</v>
      </c>
      <c r="K230" s="6"/>
    </row>
    <row r="231" spans="4:11" x14ac:dyDescent="0.15">
      <c r="D231" s="44">
        <v>2022</v>
      </c>
      <c r="E231" s="21"/>
      <c r="F231" s="56"/>
      <c r="H231" s="50"/>
      <c r="I231" s="56"/>
      <c r="J231" s="6">
        <f t="shared" ca="1" si="19"/>
        <v>5.0422070447179017</v>
      </c>
      <c r="K231" s="6"/>
    </row>
    <row r="232" spans="4:11" x14ac:dyDescent="0.15">
      <c r="D232" s="44">
        <v>2023</v>
      </c>
      <c r="E232" s="21"/>
      <c r="F232" s="56"/>
      <c r="H232" s="50"/>
      <c r="I232" s="56"/>
      <c r="J232" s="6">
        <f t="shared" ca="1" si="19"/>
        <v>5.0426791570531133</v>
      </c>
      <c r="K232" s="6"/>
    </row>
    <row r="233" spans="4:11" x14ac:dyDescent="0.15">
      <c r="D233" s="44">
        <v>2024</v>
      </c>
      <c r="E233" s="21"/>
      <c r="F233" s="56"/>
      <c r="H233" s="50"/>
      <c r="I233" s="56"/>
      <c r="J233" s="6">
        <f t="shared" ca="1" si="19"/>
        <v>5.0431232780270756</v>
      </c>
      <c r="K233" s="6"/>
    </row>
    <row r="234" spans="4:11" x14ac:dyDescent="0.15">
      <c r="D234" s="44">
        <v>2025</v>
      </c>
      <c r="E234" s="21"/>
      <c r="F234" s="56"/>
      <c r="H234" s="50"/>
      <c r="I234" s="56"/>
      <c r="J234" s="6">
        <f t="shared" ca="1" si="19"/>
        <v>5.0435410627296102</v>
      </c>
      <c r="K234" s="6"/>
    </row>
    <row r="235" spans="4:11" x14ac:dyDescent="0.15">
      <c r="D235" s="44">
        <v>2026</v>
      </c>
      <c r="E235" s="21"/>
      <c r="F235" s="56"/>
      <c r="H235" s="50"/>
      <c r="I235" s="56"/>
      <c r="J235" s="6">
        <f t="shared" ca="1" si="19"/>
        <v>5.0439340689069381</v>
      </c>
      <c r="K235" s="6"/>
    </row>
    <row r="236" spans="4:11" x14ac:dyDescent="0.15">
      <c r="D236" s="44">
        <v>2027</v>
      </c>
      <c r="E236" s="21"/>
      <c r="F236" s="56"/>
      <c r="H236" s="50"/>
      <c r="I236" s="56"/>
      <c r="J236" s="6">
        <f t="shared" ca="1" si="19"/>
        <v>5.0443037626269795</v>
      </c>
      <c r="K236" s="6"/>
    </row>
    <row r="237" spans="4:11" x14ac:dyDescent="0.15">
      <c r="D237" s="44">
        <v>2028</v>
      </c>
      <c r="E237" s="21"/>
      <c r="F237" s="56"/>
      <c r="I237" s="56"/>
      <c r="J237" s="6">
        <f t="shared" ca="1" si="19"/>
        <v>5.0446515236218614</v>
      </c>
      <c r="K237" s="6"/>
    </row>
    <row r="238" spans="4:11" x14ac:dyDescent="0.15">
      <c r="D238" s="44">
        <v>2029</v>
      </c>
      <c r="E238" s="21"/>
      <c r="F238" s="56"/>
      <c r="I238" s="56"/>
      <c r="J238" s="6">
        <f t="shared" ca="1" si="19"/>
        <v>5.0449786503252403</v>
      </c>
      <c r="K238" s="6"/>
    </row>
    <row r="239" spans="4:11" x14ac:dyDescent="0.15">
      <c r="D239" s="44">
        <v>2030</v>
      </c>
      <c r="E239" s="21"/>
      <c r="F239" s="56"/>
      <c r="I239" s="56"/>
      <c r="J239" s="6">
        <f t="shared" ca="1" si="19"/>
        <v>5.045286364621143</v>
      </c>
      <c r="K239" s="6"/>
    </row>
    <row r="240" spans="4:11" x14ac:dyDescent="0.15">
      <c r="D240" s="44">
        <v>2031</v>
      </c>
      <c r="E240" s="21"/>
      <c r="F240" s="56"/>
      <c r="I240" s="56"/>
      <c r="J240" s="6">
        <f t="shared" ca="1" si="19"/>
        <v>5.0455758163202153</v>
      </c>
      <c r="K240" s="6"/>
    </row>
    <row r="241" spans="4:11" x14ac:dyDescent="0.15">
      <c r="D241" s="44">
        <v>2032</v>
      </c>
      <c r="E241" s="21"/>
      <c r="F241" s="56"/>
      <c r="I241" s="56"/>
      <c r="J241" s="6">
        <f t="shared" ca="1" si="19"/>
        <v>5.0458480873784817</v>
      </c>
      <c r="K241" s="6"/>
    </row>
    <row r="242" spans="4:11" x14ac:dyDescent="0.15">
      <c r="D242" s="44">
        <v>2033</v>
      </c>
      <c r="E242" s="16"/>
      <c r="F242" s="56"/>
      <c r="I242" s="56"/>
      <c r="J242" s="6">
        <f t="shared" ca="1" si="19"/>
        <v>5.0461041958729096</v>
      </c>
      <c r="K242" s="6"/>
    </row>
    <row r="243" spans="4:11" x14ac:dyDescent="0.15">
      <c r="D243" s="44">
        <v>2034</v>
      </c>
      <c r="E243" s="16"/>
      <c r="F243" s="56"/>
      <c r="I243" s="56"/>
      <c r="J243" s="6">
        <f t="shared" ca="1" si="19"/>
        <v>5.0463450997473895</v>
      </c>
      <c r="K243" s="6"/>
    </row>
    <row r="244" spans="4:11" x14ac:dyDescent="0.15">
      <c r="D244" s="44">
        <v>2035</v>
      </c>
      <c r="E244" s="16"/>
      <c r="F244" s="56"/>
      <c r="I244" s="56"/>
      <c r="J244" s="6">
        <f t="shared" ca="1" si="19"/>
        <v>5.046571700341973</v>
      </c>
      <c r="K244" s="6"/>
    </row>
    <row r="245" spans="4:11" x14ac:dyDescent="0.15">
      <c r="D245" s="44">
        <v>2036</v>
      </c>
      <c r="E245" s="16"/>
      <c r="F245" s="56"/>
      <c r="I245" s="56"/>
      <c r="J245" s="6">
        <f t="shared" ca="1" si="19"/>
        <v>5.046784845717597</v>
      </c>
      <c r="K245" s="6"/>
    </row>
    <row r="246" spans="4:11" x14ac:dyDescent="0.15">
      <c r="D246" s="44">
        <v>2037</v>
      </c>
      <c r="E246" s="16"/>
      <c r="F246" s="56"/>
      <c r="I246" s="56"/>
      <c r="J246" s="6">
        <f t="shared" ca="1" si="19"/>
        <v>5.0469853337878163</v>
      </c>
      <c r="K246" s="6"/>
    </row>
    <row r="247" spans="4:11" x14ac:dyDescent="0.15">
      <c r="D247" s="44">
        <v>2038</v>
      </c>
      <c r="E247" s="16"/>
      <c r="F247" s="56"/>
      <c r="I247" s="56"/>
      <c r="J247" s="6">
        <f t="shared" ca="1" si="19"/>
        <v>5.0471739152685009</v>
      </c>
      <c r="K247" s="6"/>
    </row>
    <row r="248" spans="4:11" x14ac:dyDescent="0.15">
      <c r="D248" s="44">
        <v>2039</v>
      </c>
      <c r="E248" s="16"/>
      <c r="F248" s="56"/>
      <c r="I248" s="56"/>
      <c r="J248" s="6">
        <f t="shared" ca="1" si="19"/>
        <v>5.0473512964558322</v>
      </c>
      <c r="K248" s="6"/>
    </row>
    <row r="249" spans="4:11" x14ac:dyDescent="0.15">
      <c r="D249" s="44">
        <v>2040</v>
      </c>
      <c r="E249" s="16"/>
      <c r="F249" s="56"/>
      <c r="I249" s="56"/>
      <c r="J249" s="6">
        <f t="shared" ca="1" si="19"/>
        <v>5.0475181418423807</v>
      </c>
      <c r="K249" s="6"/>
    </row>
    <row r="250" spans="4:11" x14ac:dyDescent="0.15">
      <c r="D250" s="44">
        <v>2041</v>
      </c>
      <c r="E250" s="16"/>
      <c r="F250" s="56"/>
      <c r="I250" s="56"/>
      <c r="J250" s="6">
        <f t="shared" ca="1" si="19"/>
        <v>5.0476750765805294</v>
      </c>
      <c r="K250" s="6"/>
    </row>
    <row r="251" spans="4:11" x14ac:dyDescent="0.15">
      <c r="D251" s="44">
        <v>2042</v>
      </c>
      <c r="E251" s="16"/>
      <c r="F251" s="56"/>
      <c r="I251" s="56"/>
      <c r="J251" s="6">
        <f t="shared" ca="1" si="19"/>
        <v>5.0478226888019755</v>
      </c>
      <c r="K251" s="6"/>
    </row>
    <row r="252" spans="4:11" x14ac:dyDescent="0.15">
      <c r="D252" s="44">
        <v>2043</v>
      </c>
      <c r="E252" s="16"/>
      <c r="F252" s="56"/>
      <c r="I252" s="56"/>
      <c r="J252" s="6">
        <f t="shared" ca="1" si="19"/>
        <v>5.047961531801584</v>
      </c>
      <c r="K252" s="6"/>
    </row>
    <row r="253" spans="4:11" x14ac:dyDescent="0.15">
      <c r="D253" s="44">
        <v>2044</v>
      </c>
      <c r="E253" s="16"/>
      <c r="F253" s="56"/>
      <c r="I253" s="56"/>
      <c r="J253" s="6">
        <f t="shared" ca="1" si="19"/>
        <v>5.0480921260933886</v>
      </c>
      <c r="K253" s="6"/>
    </row>
    <row r="254" spans="4:11" x14ac:dyDescent="0.15">
      <c r="D254" s="44">
        <v>2045</v>
      </c>
      <c r="E254" s="16"/>
      <c r="F254" s="56"/>
      <c r="I254" s="56"/>
      <c r="J254" s="6">
        <f t="shared" ca="1" si="19"/>
        <v>5.0482149613461162</v>
      </c>
      <c r="K254" s="6"/>
    </row>
    <row r="255" spans="4:11" x14ac:dyDescent="0.15">
      <c r="D255" s="44">
        <v>2046</v>
      </c>
      <c r="E255" s="16"/>
      <c r="F255" s="56"/>
      <c r="I255" s="56"/>
      <c r="J255" s="6">
        <f t="shared" ca="1" si="19"/>
        <v>5.0483304982052024</v>
      </c>
      <c r="K255" s="6"/>
    </row>
    <row r="256" spans="4:11" x14ac:dyDescent="0.15">
      <c r="D256" s="44">
        <v>2047</v>
      </c>
      <c r="E256" s="16"/>
      <c r="F256" s="56"/>
      <c r="I256" s="56"/>
      <c r="J256" s="6">
        <f t="shared" ca="1" si="19"/>
        <v>5.0484391700078444</v>
      </c>
      <c r="K256" s="6"/>
    </row>
    <row r="257" spans="4:11" x14ac:dyDescent="0.15">
      <c r="D257" s="44">
        <v>2048</v>
      </c>
      <c r="E257" s="16"/>
      <c r="F257" s="56"/>
      <c r="I257" s="56"/>
      <c r="J257" s="6">
        <f t="shared" ca="1" si="19"/>
        <v>5.0485413843973213</v>
      </c>
      <c r="K257" s="6"/>
    </row>
    <row r="258" spans="4:11" x14ac:dyDescent="0.15">
      <c r="D258" s="44">
        <v>2049</v>
      </c>
      <c r="E258" s="16"/>
      <c r="F258" s="56"/>
      <c r="I258" s="56"/>
      <c r="J258" s="6">
        <f t="shared" ca="1" si="19"/>
        <v>5.048637524842408</v>
      </c>
      <c r="K258" s="6"/>
    </row>
    <row r="259" spans="4:11" x14ac:dyDescent="0.15">
      <c r="D259" s="44">
        <v>2050</v>
      </c>
      <c r="E259" s="16"/>
      <c r="F259" s="56"/>
      <c r="I259" s="56"/>
      <c r="J259" s="6">
        <f t="shared" ca="1" si="19"/>
        <v>5.0487279520673987</v>
      </c>
      <c r="K259" s="6"/>
    </row>
    <row r="260" spans="4:11" x14ac:dyDescent="0.15">
      <c r="D260" s="44">
        <v>2051</v>
      </c>
      <c r="E260" s="16"/>
      <c r="F260" s="56"/>
      <c r="I260" s="56"/>
      <c r="J260" s="6">
        <f t="shared" ca="1" si="19"/>
        <v>5.0488130053979683</v>
      </c>
      <c r="K260" s="6"/>
    </row>
    <row r="261" spans="4:11" x14ac:dyDescent="0.15">
      <c r="D261" s="44">
        <v>2052</v>
      </c>
      <c r="E261" s="16"/>
      <c r="F261" s="56"/>
      <c r="I261" s="56"/>
      <c r="J261" s="6">
        <f t="shared" ca="1" si="19"/>
        <v>5.0488930040277538</v>
      </c>
      <c r="K261" s="6"/>
    </row>
    <row r="262" spans="4:11" x14ac:dyDescent="0.15">
      <c r="D262" s="44">
        <v>2053</v>
      </c>
      <c r="E262" s="16"/>
      <c r="F262" s="56"/>
      <c r="I262" s="56"/>
      <c r="J262" s="6">
        <f t="shared" ca="1" si="19"/>
        <v>5.0489682482102847</v>
      </c>
      <c r="K262" s="6"/>
    </row>
    <row r="263" spans="4:11" x14ac:dyDescent="0.15">
      <c r="D263" s="44">
        <v>2054</v>
      </c>
      <c r="E263" s="16"/>
      <c r="F263" s="56"/>
      <c r="I263" s="56"/>
      <c r="J263" s="6">
        <f t="shared" ca="1" si="19"/>
        <v>5.0490390203806514</v>
      </c>
      <c r="K263" s="6"/>
    </row>
    <row r="264" spans="4:11" x14ac:dyDescent="0.15">
      <c r="D264" s="44">
        <v>2055</v>
      </c>
      <c r="E264" s="16"/>
      <c r="F264" s="56"/>
      <c r="I264" s="56"/>
      <c r="J264" s="6">
        <f t="shared" ca="1" si="19"/>
        <v>5.0491055862109766</v>
      </c>
      <c r="K264" s="6"/>
    </row>
    <row r="265" spans="4:11" x14ac:dyDescent="0.15">
      <c r="D265" s="44">
        <v>2056</v>
      </c>
      <c r="E265" s="16"/>
      <c r="F265" s="56"/>
      <c r="I265" s="56"/>
      <c r="J265" s="6">
        <f t="shared" ca="1" si="19"/>
        <v>5.049168195603607</v>
      </c>
      <c r="K265" s="6"/>
    </row>
    <row r="266" spans="4:11" x14ac:dyDescent="0.15">
      <c r="D266" s="44">
        <v>2057</v>
      </c>
      <c r="E266" s="16"/>
      <c r="F266" s="56"/>
      <c r="I266" s="56"/>
      <c r="J266" s="6">
        <f t="shared" ca="1" si="19"/>
        <v>5.0492270836256488</v>
      </c>
      <c r="K266" s="6"/>
    </row>
    <row r="267" spans="4:11" x14ac:dyDescent="0.15">
      <c r="D267" s="44">
        <v>2058</v>
      </c>
      <c r="E267" s="16"/>
      <c r="F267" s="56"/>
      <c r="I267" s="56"/>
      <c r="J267" s="6">
        <f t="shared" ca="1" si="19"/>
        <v>5.0492824713883113</v>
      </c>
      <c r="K267" s="6"/>
    </row>
    <row r="268" spans="4:11" x14ac:dyDescent="0.15">
      <c r="D268" s="44">
        <v>2059</v>
      </c>
      <c r="E268" s="16"/>
      <c r="F268" s="56"/>
      <c r="I268" s="56"/>
      <c r="J268" s="6">
        <f t="shared" ca="1" si="19"/>
        <v>5.0493345668742613</v>
      </c>
      <c r="K268" s="6"/>
    </row>
    <row r="269" spans="4:11" x14ac:dyDescent="0.15">
      <c r="D269" s="44">
        <v>2060</v>
      </c>
      <c r="E269" s="16"/>
      <c r="F269" s="56"/>
      <c r="I269" s="56"/>
      <c r="J269" s="6">
        <f t="shared" ca="1" si="19"/>
        <v>5.0493835657160906</v>
      </c>
      <c r="K269" s="6"/>
    </row>
    <row r="270" spans="4:11" x14ac:dyDescent="0.15">
      <c r="D270" s="44">
        <v>2061</v>
      </c>
      <c r="E270" s="16"/>
      <c r="F270" s="56"/>
      <c r="I270" s="56"/>
      <c r="J270" s="6">
        <f t="shared" ca="1" si="19"/>
        <v>5.0494296519287225</v>
      </c>
      <c r="K270" s="6"/>
    </row>
    <row r="271" spans="4:11" x14ac:dyDescent="0.15">
      <c r="D271" s="44">
        <v>2062</v>
      </c>
      <c r="E271" s="16"/>
      <c r="F271" s="56"/>
      <c r="I271" s="56"/>
      <c r="J271" s="6">
        <f t="shared" ca="1" si="19"/>
        <v>5.0494729985985156</v>
      </c>
      <c r="K271" s="6"/>
    </row>
    <row r="272" spans="4:11" x14ac:dyDescent="0.15">
      <c r="D272" s="44">
        <v>2063</v>
      </c>
      <c r="E272" s="16"/>
      <c r="F272" s="56"/>
      <c r="I272" s="56"/>
      <c r="J272" s="6">
        <f t="shared" ca="1" si="19"/>
        <v>5.0495137685315683</v>
      </c>
      <c r="K272" s="6"/>
    </row>
    <row r="273" spans="4:11" x14ac:dyDescent="0.15">
      <c r="D273" s="44">
        <v>2064</v>
      </c>
      <c r="E273" s="16"/>
      <c r="F273" s="56"/>
      <c r="I273" s="56"/>
      <c r="J273" s="6">
        <f t="shared" ca="1" si="19"/>
        <v>5.0495521148636584</v>
      </c>
      <c r="K273" s="6"/>
    </row>
    <row r="274" spans="4:11" x14ac:dyDescent="0.15">
      <c r="D274" s="44">
        <v>2065</v>
      </c>
      <c r="E274" s="16"/>
      <c r="F274" s="56"/>
      <c r="I274" s="56"/>
      <c r="J274" s="6">
        <f t="shared" ca="1" si="19"/>
        <v>5.0495881816340678</v>
      </c>
      <c r="K274" s="6"/>
    </row>
    <row r="275" spans="4:11" x14ac:dyDescent="0.15">
      <c r="D275" s="44">
        <v>2066</v>
      </c>
      <c r="E275" s="16"/>
      <c r="F275" s="56"/>
      <c r="I275" s="56"/>
      <c r="J275" s="6">
        <f t="shared" ref="J275:J338" ca="1" si="20">F$1/(1+EXP((AVERAGE(E$2:F$2)-D275)*LN(81)/(F$2-E$2)))</f>
        <v>5.0496221043254224</v>
      </c>
      <c r="K275" s="6"/>
    </row>
    <row r="276" spans="4:11" x14ac:dyDescent="0.15">
      <c r="D276" s="44">
        <v>2067</v>
      </c>
      <c r="E276" s="16"/>
      <c r="F276" s="56"/>
      <c r="I276" s="56"/>
      <c r="J276" s="6">
        <f t="shared" ca="1" si="20"/>
        <v>5.049654010371551</v>
      </c>
      <c r="K276" s="6"/>
    </row>
    <row r="277" spans="4:11" x14ac:dyDescent="0.15">
      <c r="D277" s="44">
        <v>2068</v>
      </c>
      <c r="E277" s="16"/>
      <c r="F277" s="56"/>
      <c r="I277" s="56"/>
      <c r="J277" s="6">
        <f t="shared" ca="1" si="20"/>
        <v>5.0496840196352624</v>
      </c>
      <c r="K277" s="6"/>
    </row>
    <row r="278" spans="4:11" x14ac:dyDescent="0.15">
      <c r="D278" s="44">
        <v>2069</v>
      </c>
      <c r="E278" s="16"/>
      <c r="F278" s="56"/>
      <c r="I278" s="56"/>
      <c r="J278" s="6">
        <f t="shared" ca="1" si="20"/>
        <v>5.0497122448577878</v>
      </c>
      <c r="K278" s="6"/>
    </row>
    <row r="279" spans="4:11" x14ac:dyDescent="0.15">
      <c r="D279" s="44">
        <v>2070</v>
      </c>
      <c r="E279" s="16"/>
      <c r="F279" s="56"/>
      <c r="I279" s="56"/>
      <c r="J279" s="6">
        <f t="shared" ca="1" si="20"/>
        <v>5.049738792081607</v>
      </c>
      <c r="K279" s="6"/>
    </row>
    <row r="280" spans="4:11" x14ac:dyDescent="0.15">
      <c r="D280" s="44">
        <v>2071</v>
      </c>
      <c r="E280" s="16"/>
      <c r="F280" s="56"/>
      <c r="I280" s="56"/>
      <c r="J280" s="6">
        <f t="shared" ca="1" si="20"/>
        <v>5.0497637610481911</v>
      </c>
      <c r="K280" s="6"/>
    </row>
    <row r="281" spans="4:11" x14ac:dyDescent="0.15">
      <c r="D281" s="44">
        <v>2072</v>
      </c>
      <c r="E281" s="16"/>
      <c r="F281" s="56"/>
      <c r="I281" s="56"/>
      <c r="J281" s="6">
        <f t="shared" ca="1" si="20"/>
        <v>5.0497872455721602</v>
      </c>
      <c r="K281" s="6"/>
    </row>
    <row r="282" spans="4:11" x14ac:dyDescent="0.15">
      <c r="D282" s="44">
        <v>2073</v>
      </c>
      <c r="E282" s="16"/>
      <c r="F282" s="56"/>
      <c r="I282" s="56"/>
      <c r="J282" s="6">
        <f t="shared" ca="1" si="20"/>
        <v>5.0498093338932577</v>
      </c>
      <c r="K282" s="6"/>
    </row>
    <row r="283" spans="4:11" x14ac:dyDescent="0.15">
      <c r="D283" s="44">
        <v>2074</v>
      </c>
      <c r="E283" s="16"/>
      <c r="F283" s="56"/>
      <c r="I283" s="56"/>
      <c r="J283" s="6">
        <f t="shared" ca="1" si="20"/>
        <v>5.0498301090074484</v>
      </c>
      <c r="K283" s="6"/>
    </row>
    <row r="284" spans="4:11" x14ac:dyDescent="0.15">
      <c r="D284" s="44">
        <v>2075</v>
      </c>
      <c r="E284" s="16"/>
      <c r="I284" s="56"/>
      <c r="J284" s="6">
        <f t="shared" ca="1" si="20"/>
        <v>5.0498496489783626</v>
      </c>
      <c r="K284" s="6"/>
    </row>
    <row r="285" spans="4:11" x14ac:dyDescent="0.15">
      <c r="D285" s="44">
        <v>2076</v>
      </c>
      <c r="E285" s="16"/>
      <c r="I285" s="56"/>
      <c r="J285" s="6">
        <f t="shared" ca="1" si="20"/>
        <v>5.0498680272302732</v>
      </c>
      <c r="K285" s="6"/>
    </row>
    <row r="286" spans="4:11" x14ac:dyDescent="0.15">
      <c r="D286" s="44">
        <v>2077</v>
      </c>
      <c r="E286" s="16"/>
      <c r="I286" s="56"/>
      <c r="J286" s="6">
        <f t="shared" ca="1" si="20"/>
        <v>5.0498853128236867</v>
      </c>
      <c r="K286" s="6"/>
    </row>
    <row r="287" spans="4:11" x14ac:dyDescent="0.15">
      <c r="D287" s="44">
        <v>2078</v>
      </c>
      <c r="E287" s="16"/>
      <c r="I287" s="56"/>
      <c r="J287" s="6">
        <f t="shared" ca="1" si="20"/>
        <v>5.0499015707145691</v>
      </c>
      <c r="K287" s="6"/>
    </row>
    <row r="288" spans="4:11" x14ac:dyDescent="0.15">
      <c r="D288" s="44">
        <v>2079</v>
      </c>
      <c r="E288" s="16"/>
      <c r="I288" s="56"/>
      <c r="J288" s="6">
        <f t="shared" ca="1" si="20"/>
        <v>5.0499168619981969</v>
      </c>
      <c r="K288" s="6"/>
    </row>
    <row r="289" spans="4:11" x14ac:dyDescent="0.15">
      <c r="D289" s="44">
        <v>2080</v>
      </c>
      <c r="E289" s="16"/>
      <c r="I289" s="56"/>
      <c r="J289" s="6">
        <f t="shared" ca="1" si="20"/>
        <v>5.0499312441385262</v>
      </c>
      <c r="K289" s="6"/>
    </row>
    <row r="290" spans="4:11" x14ac:dyDescent="0.15">
      <c r="D290" s="44">
        <v>2081</v>
      </c>
      <c r="E290" s="16"/>
      <c r="I290" s="56"/>
      <c r="J290" s="6">
        <f t="shared" ca="1" si="20"/>
        <v>5.0499447711839469</v>
      </c>
      <c r="K290" s="6"/>
    </row>
    <row r="291" spans="4:11" x14ac:dyDescent="0.15">
      <c r="D291" s="44">
        <v>2082</v>
      </c>
      <c r="E291" s="16"/>
      <c r="I291" s="56"/>
      <c r="J291" s="6">
        <f t="shared" ca="1" si="20"/>
        <v>5.0499574939702292</v>
      </c>
      <c r="K291" s="6"/>
    </row>
    <row r="292" spans="4:11" x14ac:dyDescent="0.15">
      <c r="D292" s="44">
        <v>2083</v>
      </c>
      <c r="E292" s="16"/>
      <c r="I292" s="56"/>
      <c r="J292" s="6">
        <f t="shared" ca="1" si="20"/>
        <v>5.0499694603114174</v>
      </c>
      <c r="K292" s="6"/>
    </row>
    <row r="293" spans="4:11" x14ac:dyDescent="0.15">
      <c r="D293" s="44">
        <v>2084</v>
      </c>
      <c r="E293" s="16"/>
      <c r="I293" s="56"/>
      <c r="J293" s="6">
        <f t="shared" ca="1" si="20"/>
        <v>5.0499807151793847</v>
      </c>
      <c r="K293" s="6"/>
    </row>
    <row r="294" spans="4:11" x14ac:dyDescent="0.15">
      <c r="D294" s="44">
        <v>2085</v>
      </c>
      <c r="E294" s="16"/>
      <c r="I294" s="56"/>
      <c r="J294" s="6">
        <f t="shared" ca="1" si="20"/>
        <v>5.0499913008727351</v>
      </c>
      <c r="K294" s="6"/>
    </row>
    <row r="295" spans="4:11" x14ac:dyDescent="0.15">
      <c r="D295" s="44">
        <v>2086</v>
      </c>
      <c r="E295" s="16"/>
      <c r="I295" s="56"/>
      <c r="J295" s="6">
        <f t="shared" ca="1" si="20"/>
        <v>5.0500012571756621</v>
      </c>
      <c r="K295" s="6"/>
    </row>
    <row r="296" spans="4:11" x14ac:dyDescent="0.15">
      <c r="D296" s="44">
        <v>2087</v>
      </c>
      <c r="E296" s="16"/>
      <c r="I296" s="56"/>
      <c r="J296" s="6">
        <f t="shared" ca="1" si="20"/>
        <v>5.050010621507381</v>
      </c>
      <c r="K296" s="6"/>
    </row>
    <row r="297" spans="4:11" x14ac:dyDescent="0.15">
      <c r="D297" s="44">
        <v>2088</v>
      </c>
      <c r="E297" s="16"/>
      <c r="I297" s="56"/>
      <c r="J297" s="6">
        <f t="shared" ca="1" si="20"/>
        <v>5.0500194290626776</v>
      </c>
      <c r="K297" s="6"/>
    </row>
    <row r="298" spans="4:11" x14ac:dyDescent="0.15">
      <c r="D298" s="44">
        <v>2089</v>
      </c>
      <c r="E298" s="16"/>
      <c r="I298" s="56"/>
      <c r="J298" s="6">
        <f t="shared" ca="1" si="20"/>
        <v>5.0500277129441162</v>
      </c>
      <c r="K298" s="6"/>
    </row>
    <row r="299" spans="4:11" x14ac:dyDescent="0.15">
      <c r="D299" s="44">
        <v>2090</v>
      </c>
      <c r="E299" s="16"/>
      <c r="I299" s="56"/>
      <c r="J299" s="6">
        <f t="shared" ca="1" si="20"/>
        <v>5.0500355042863871</v>
      </c>
      <c r="K299" s="6"/>
    </row>
    <row r="300" spans="4:11" x14ac:dyDescent="0.15">
      <c r="D300" s="44">
        <v>2091</v>
      </c>
      <c r="E300" s="16"/>
      <c r="I300" s="56"/>
      <c r="J300" s="6">
        <f t="shared" ca="1" si="20"/>
        <v>5.0500428323732676</v>
      </c>
      <c r="K300" s="6"/>
    </row>
    <row r="301" spans="4:11" x14ac:dyDescent="0.15">
      <c r="D301" s="44">
        <v>2092</v>
      </c>
      <c r="E301" s="16"/>
      <c r="I301" s="56"/>
      <c r="J301" s="6">
        <f t="shared" ca="1" si="20"/>
        <v>5.0500497247476357</v>
      </c>
      <c r="K301" s="6"/>
    </row>
    <row r="302" spans="4:11" x14ac:dyDescent="0.15">
      <c r="D302" s="44">
        <v>2093</v>
      </c>
      <c r="E302" s="16"/>
      <c r="I302" s="56"/>
      <c r="J302" s="6">
        <f t="shared" ca="1" si="20"/>
        <v>5.0500562073149506</v>
      </c>
      <c r="K302" s="6"/>
    </row>
    <row r="303" spans="4:11" x14ac:dyDescent="0.15">
      <c r="D303" s="44">
        <v>2094</v>
      </c>
      <c r="E303" s="16"/>
      <c r="I303" s="56"/>
      <c r="J303" s="6">
        <f t="shared" ca="1" si="20"/>
        <v>5.0500623044405728</v>
      </c>
      <c r="K303" s="6"/>
    </row>
    <row r="304" spans="4:11" x14ac:dyDescent="0.15">
      <c r="D304" s="44">
        <v>2095</v>
      </c>
      <c r="E304" s="16"/>
      <c r="I304" s="56"/>
      <c r="J304" s="6">
        <f t="shared" ca="1" si="20"/>
        <v>5.0500680390413182</v>
      </c>
      <c r="K304" s="6"/>
    </row>
    <row r="305" spans="4:11" x14ac:dyDescent="0.15">
      <c r="D305" s="44">
        <v>2096</v>
      </c>
      <c r="E305" s="16"/>
      <c r="I305" s="56"/>
      <c r="J305" s="6">
        <f t="shared" ca="1" si="20"/>
        <v>5.0500734326715566</v>
      </c>
      <c r="K305" s="6"/>
    </row>
    <row r="306" spans="4:11" x14ac:dyDescent="0.15">
      <c r="D306" s="44">
        <v>2097</v>
      </c>
      <c r="E306" s="16"/>
      <c r="I306" s="56"/>
      <c r="J306" s="6">
        <f t="shared" ca="1" si="20"/>
        <v>5.0500785056042039</v>
      </c>
      <c r="K306" s="6"/>
    </row>
    <row r="307" spans="4:11" x14ac:dyDescent="0.15">
      <c r="D307" s="44">
        <v>2098</v>
      </c>
      <c r="E307" s="16"/>
      <c r="I307" s="56"/>
      <c r="J307" s="6">
        <f t="shared" ca="1" si="20"/>
        <v>5.0500832769068955</v>
      </c>
      <c r="K307" s="6"/>
    </row>
    <row r="308" spans="4:11" x14ac:dyDescent="0.15">
      <c r="D308" s="44">
        <v>2099</v>
      </c>
      <c r="E308" s="16"/>
      <c r="I308" s="56"/>
      <c r="J308" s="6">
        <f t="shared" ca="1" si="20"/>
        <v>5.0500877645136333</v>
      </c>
      <c r="K308" s="6"/>
    </row>
    <row r="309" spans="4:11" x14ac:dyDescent="0.15">
      <c r="D309" s="44">
        <v>2100</v>
      </c>
      <c r="E309" s="16"/>
      <c r="I309" s="56"/>
      <c r="J309" s="6">
        <f t="shared" ca="1" si="20"/>
        <v>5.0500919852921813</v>
      </c>
      <c r="K309" s="6"/>
    </row>
    <row r="310" spans="4:11" x14ac:dyDescent="0.15">
      <c r="D310" s="44">
        <v>2101</v>
      </c>
      <c r="E310" s="16"/>
      <c r="I310" s="56"/>
      <c r="J310" s="6">
        <f t="shared" ca="1" si="20"/>
        <v>5.0500959551074436</v>
      </c>
      <c r="K310" s="6"/>
    </row>
    <row r="311" spans="4:11" x14ac:dyDescent="0.15">
      <c r="D311" s="44">
        <v>2102</v>
      </c>
      <c r="E311" s="16"/>
      <c r="I311" s="56"/>
      <c r="J311" s="6">
        <f t="shared" ca="1" si="20"/>
        <v>5.0500996888810876</v>
      </c>
      <c r="K311" s="6"/>
    </row>
    <row r="312" spans="4:11" x14ac:dyDescent="0.15">
      <c r="D312" s="44">
        <v>2103</v>
      </c>
      <c r="E312" s="16"/>
      <c r="I312" s="56"/>
      <c r="J312" s="6">
        <f t="shared" ca="1" si="20"/>
        <v>5.0501032006476159</v>
      </c>
      <c r="K312" s="6"/>
    </row>
    <row r="313" spans="4:11" x14ac:dyDescent="0.15">
      <c r="D313" s="44">
        <v>2104</v>
      </c>
      <c r="E313" s="16"/>
      <c r="I313" s="56"/>
      <c r="J313" s="6">
        <f t="shared" ca="1" si="20"/>
        <v>5.0501065036071067</v>
      </c>
      <c r="K313" s="6"/>
    </row>
    <row r="314" spans="4:11" x14ac:dyDescent="0.15">
      <c r="D314" s="44">
        <v>2105</v>
      </c>
      <c r="E314" s="16"/>
      <c r="I314" s="56"/>
      <c r="J314" s="6">
        <f t="shared" ca="1" si="20"/>
        <v>5.0501096101748217</v>
      </c>
      <c r="K314" s="6"/>
    </row>
    <row r="315" spans="4:11" x14ac:dyDescent="0.15">
      <c r="D315" s="44">
        <v>2106</v>
      </c>
      <c r="E315" s="16"/>
      <c r="I315" s="56"/>
      <c r="J315" s="6">
        <f t="shared" ca="1" si="20"/>
        <v>5.0501125320278675</v>
      </c>
      <c r="K315" s="6"/>
    </row>
    <row r="316" spans="4:11" x14ac:dyDescent="0.15">
      <c r="D316" s="44">
        <v>2107</v>
      </c>
      <c r="E316" s="16"/>
      <c r="I316" s="56"/>
      <c r="J316" s="6">
        <f t="shared" ca="1" si="20"/>
        <v>5.0501152801490719</v>
      </c>
      <c r="K316" s="6"/>
    </row>
    <row r="317" spans="4:11" x14ac:dyDescent="0.15">
      <c r="D317" s="44">
        <v>2108</v>
      </c>
      <c r="E317" s="16"/>
      <c r="I317" s="56"/>
      <c r="J317" s="6">
        <f t="shared" ca="1" si="20"/>
        <v>5.0501178648682661</v>
      </c>
      <c r="K317" s="6"/>
    </row>
    <row r="318" spans="4:11" x14ac:dyDescent="0.15">
      <c r="D318" s="44">
        <v>2109</v>
      </c>
      <c r="E318" s="16"/>
      <c r="I318" s="56"/>
      <c r="J318" s="6">
        <f t="shared" ca="1" si="20"/>
        <v>5.0501202959011051</v>
      </c>
      <c r="K318" s="6"/>
    </row>
    <row r="319" spans="4:11" x14ac:dyDescent="0.15">
      <c r="D319" s="44">
        <v>2110</v>
      </c>
      <c r="E319" s="16"/>
      <c r="I319" s="56"/>
      <c r="J319" s="6">
        <f t="shared" ca="1" si="20"/>
        <v>5.0501225823855806</v>
      </c>
      <c r="K319" s="6"/>
    </row>
    <row r="320" spans="4:11" x14ac:dyDescent="0.15">
      <c r="D320" s="44">
        <v>2111</v>
      </c>
      <c r="E320" s="16"/>
      <c r="I320" s="56"/>
      <c r="J320" s="6">
        <f t="shared" ca="1" si="20"/>
        <v>5.0501247329163714</v>
      </c>
      <c r="K320" s="6"/>
    </row>
    <row r="321" spans="4:11" x14ac:dyDescent="0.15">
      <c r="D321" s="44">
        <v>2112</v>
      </c>
      <c r="E321" s="16"/>
      <c r="I321" s="56"/>
      <c r="J321" s="6">
        <f t="shared" ca="1" si="20"/>
        <v>5.0501267555771365</v>
      </c>
      <c r="K321" s="6"/>
    </row>
    <row r="322" spans="4:11" x14ac:dyDescent="0.15">
      <c r="D322" s="44">
        <v>2113</v>
      </c>
      <c r="E322" s="16"/>
      <c r="I322" s="56"/>
      <c r="J322" s="6">
        <f t="shared" ca="1" si="20"/>
        <v>5.0501286579709008</v>
      </c>
      <c r="K322" s="6"/>
    </row>
    <row r="323" spans="4:11" x14ac:dyDescent="0.15">
      <c r="D323" s="44">
        <v>2114</v>
      </c>
      <c r="E323" s="16"/>
      <c r="I323" s="56"/>
      <c r="J323" s="6">
        <f t="shared" ca="1" si="20"/>
        <v>5.0501304472486348</v>
      </c>
      <c r="K323" s="6"/>
    </row>
    <row r="324" spans="4:11" x14ac:dyDescent="0.15">
      <c r="D324" s="44">
        <v>2115</v>
      </c>
      <c r="E324" s="16"/>
      <c r="I324" s="56"/>
      <c r="J324" s="6">
        <f t="shared" ca="1" si="20"/>
        <v>5.0501321301361246</v>
      </c>
      <c r="K324" s="6"/>
    </row>
    <row r="325" spans="4:11" x14ac:dyDescent="0.15">
      <c r="D325" s="44">
        <v>2116</v>
      </c>
      <c r="E325" s="16"/>
      <c r="I325" s="56"/>
      <c r="J325" s="6">
        <f t="shared" ca="1" si="20"/>
        <v>5.0501337129592594</v>
      </c>
      <c r="K325" s="6"/>
    </row>
    <row r="326" spans="4:11" x14ac:dyDescent="0.15">
      <c r="D326" s="44">
        <v>2117</v>
      </c>
      <c r="E326" s="16"/>
      <c r="I326" s="56"/>
      <c r="J326" s="6">
        <f t="shared" ca="1" si="20"/>
        <v>5.0501352016677998</v>
      </c>
      <c r="K326" s="6"/>
    </row>
    <row r="327" spans="4:11" x14ac:dyDescent="0.15">
      <c r="D327" s="44">
        <v>2118</v>
      </c>
      <c r="E327" s="16"/>
      <c r="I327" s="56"/>
      <c r="J327" s="6">
        <f t="shared" ca="1" si="20"/>
        <v>5.0501366018577425</v>
      </c>
      <c r="K327" s="6"/>
    </row>
    <row r="328" spans="4:11" x14ac:dyDescent="0.15">
      <c r="D328" s="44">
        <v>2119</v>
      </c>
      <c r="E328" s="16"/>
      <c r="I328" s="56"/>
      <c r="J328" s="6">
        <f t="shared" ca="1" si="20"/>
        <v>5.0501379187923607</v>
      </c>
      <c r="K328" s="6"/>
    </row>
    <row r="329" spans="4:11" x14ac:dyDescent="0.15">
      <c r="D329" s="44">
        <v>2120</v>
      </c>
      <c r="E329" s="16"/>
      <c r="I329" s="56"/>
      <c r="J329" s="6">
        <f t="shared" ca="1" si="20"/>
        <v>5.0501391574219765</v>
      </c>
      <c r="K329" s="6"/>
    </row>
    <row r="330" spans="4:11" x14ac:dyDescent="0.15">
      <c r="D330" s="44">
        <v>2121</v>
      </c>
      <c r="E330" s="16"/>
      <c r="I330" s="56"/>
      <c r="J330" s="6">
        <f t="shared" ca="1" si="20"/>
        <v>5.0501403224025765</v>
      </c>
      <c r="K330" s="6"/>
    </row>
    <row r="331" spans="4:11" x14ac:dyDescent="0.15">
      <c r="D331" s="44">
        <v>2122</v>
      </c>
      <c r="E331" s="16"/>
      <c r="I331" s="56"/>
      <c r="J331" s="6">
        <f t="shared" ca="1" si="20"/>
        <v>5.0501414181133031</v>
      </c>
      <c r="K331" s="6"/>
    </row>
    <row r="332" spans="4:11" x14ac:dyDescent="0.15">
      <c r="D332" s="44">
        <v>2123</v>
      </c>
      <c r="E332" s="16"/>
      <c r="I332" s="56"/>
      <c r="J332" s="6">
        <f t="shared" ca="1" si="20"/>
        <v>5.0501424486729247</v>
      </c>
      <c r="K332" s="6"/>
    </row>
    <row r="333" spans="4:11" x14ac:dyDescent="0.15">
      <c r="D333" s="44">
        <v>2124</v>
      </c>
      <c r="E333" s="16"/>
      <c r="I333" s="56"/>
      <c r="J333" s="6">
        <f t="shared" ca="1" si="20"/>
        <v>5.0501434179553115</v>
      </c>
      <c r="K333" s="6"/>
    </row>
    <row r="334" spans="4:11" x14ac:dyDescent="0.15">
      <c r="D334" s="44">
        <v>2125</v>
      </c>
      <c r="E334" s="16"/>
      <c r="I334" s="56"/>
      <c r="J334" s="6">
        <f t="shared" ca="1" si="20"/>
        <v>5.0501443296039943</v>
      </c>
      <c r="K334" s="6"/>
    </row>
    <row r="335" spans="4:11" x14ac:dyDescent="0.15">
      <c r="D335" s="44">
        <v>2126</v>
      </c>
      <c r="E335" s="16"/>
      <c r="I335" s="56"/>
      <c r="J335" s="6">
        <f t="shared" ca="1" si="20"/>
        <v>5.0501451870458638</v>
      </c>
      <c r="K335" s="6"/>
    </row>
    <row r="336" spans="4:11" x14ac:dyDescent="0.15">
      <c r="D336" s="44">
        <v>2127</v>
      </c>
      <c r="E336" s="16"/>
      <c r="J336" s="6">
        <f t="shared" ca="1" si="20"/>
        <v>5.0501459935040529</v>
      </c>
      <c r="K336" s="6"/>
    </row>
    <row r="337" spans="4:11" x14ac:dyDescent="0.15">
      <c r="D337" s="44">
        <v>2128</v>
      </c>
      <c r="E337" s="16"/>
      <c r="J337" s="6">
        <f t="shared" ca="1" si="20"/>
        <v>5.0501467520100469</v>
      </c>
      <c r="K337" s="6"/>
    </row>
    <row r="338" spans="4:11" x14ac:dyDescent="0.15">
      <c r="D338" s="44">
        <v>2129</v>
      </c>
      <c r="E338" s="16"/>
      <c r="J338" s="6">
        <f t="shared" ca="1" si="20"/>
        <v>5.0501474654150815</v>
      </c>
      <c r="K338" s="6"/>
    </row>
    <row r="339" spans="4:11" x14ac:dyDescent="0.15">
      <c r="D339" s="44">
        <v>2130</v>
      </c>
      <c r="E339" s="16"/>
      <c r="J339" s="6">
        <f t="shared" ref="J339:J359" ca="1" si="21">F$1/(1+EXP((AVERAGE(E$2:F$2)-D339)*LN(81)/(F$2-E$2)))</f>
        <v>5.0501481364008587</v>
      </c>
      <c r="K339" s="6"/>
    </row>
    <row r="340" spans="4:11" x14ac:dyDescent="0.15">
      <c r="D340" s="44">
        <v>2131</v>
      </c>
      <c r="E340" s="16"/>
      <c r="J340" s="6">
        <f t="shared" ca="1" si="21"/>
        <v>5.0501487674896302</v>
      </c>
      <c r="K340" s="6"/>
    </row>
    <row r="341" spans="4:11" x14ac:dyDescent="0.15">
      <c r="D341" s="44">
        <v>2132</v>
      </c>
      <c r="E341" s="16"/>
      <c r="J341" s="6">
        <f t="shared" ca="1" si="21"/>
        <v>5.0501493610536734</v>
      </c>
      <c r="K341" s="6"/>
    </row>
    <row r="342" spans="4:11" x14ac:dyDescent="0.15">
      <c r="D342" s="44">
        <v>2133</v>
      </c>
      <c r="E342" s="16"/>
      <c r="J342" s="6">
        <f t="shared" ca="1" si="21"/>
        <v>5.0501499193242125</v>
      </c>
      <c r="K342" s="6"/>
    </row>
    <row r="343" spans="4:11" x14ac:dyDescent="0.15">
      <c r="D343" s="44">
        <v>2134</v>
      </c>
      <c r="E343" s="16"/>
      <c r="J343" s="6">
        <f t="shared" ca="1" si="21"/>
        <v>5.0501504443998035</v>
      </c>
      <c r="K343" s="6"/>
    </row>
    <row r="344" spans="4:11" x14ac:dyDescent="0.15">
      <c r="D344" s="44">
        <v>2135</v>
      </c>
      <c r="E344" s="16"/>
      <c r="J344" s="6">
        <f t="shared" ca="1" si="21"/>
        <v>5.0501509382542205</v>
      </c>
      <c r="K344" s="6"/>
    </row>
    <row r="345" spans="4:11" x14ac:dyDescent="0.15">
      <c r="D345" s="44">
        <v>2136</v>
      </c>
      <c r="E345" s="16"/>
      <c r="J345" s="6">
        <f t="shared" ca="1" si="21"/>
        <v>5.0501514027438814</v>
      </c>
      <c r="K345" s="6"/>
    </row>
    <row r="346" spans="4:11" x14ac:dyDescent="0.15">
      <c r="D346" s="44">
        <v>2137</v>
      </c>
      <c r="E346" s="16"/>
      <c r="J346" s="6">
        <f t="shared" ca="1" si="21"/>
        <v>5.0501518396148199</v>
      </c>
      <c r="K346" s="6"/>
    </row>
    <row r="347" spans="4:11" x14ac:dyDescent="0.15">
      <c r="D347" s="44">
        <v>2138</v>
      </c>
      <c r="E347" s="16"/>
      <c r="J347" s="6">
        <f t="shared" ca="1" si="21"/>
        <v>5.0501522505092504</v>
      </c>
      <c r="K347" s="6"/>
    </row>
    <row r="348" spans="4:11" x14ac:dyDescent="0.15">
      <c r="D348" s="44">
        <v>2139</v>
      </c>
      <c r="E348" s="16"/>
      <c r="J348" s="6">
        <f t="shared" ca="1" si="21"/>
        <v>5.0501526369717418</v>
      </c>
      <c r="K348" s="6"/>
    </row>
    <row r="349" spans="4:11" x14ac:dyDescent="0.15">
      <c r="D349" s="44">
        <v>2140</v>
      </c>
      <c r="E349" s="16"/>
      <c r="J349" s="6">
        <f t="shared" ca="1" si="21"/>
        <v>5.0501530004550226</v>
      </c>
      <c r="K349" s="6"/>
    </row>
    <row r="350" spans="4:11" x14ac:dyDescent="0.15">
      <c r="D350" s="44">
        <v>2141</v>
      </c>
      <c r="E350" s="16"/>
      <c r="J350" s="6">
        <f t="shared" ca="1" si="21"/>
        <v>5.0501533423254434</v>
      </c>
      <c r="K350" s="6"/>
    </row>
    <row r="351" spans="4:11" x14ac:dyDescent="0.15">
      <c r="D351" s="44">
        <v>2142</v>
      </c>
      <c r="E351" s="16"/>
      <c r="J351" s="6">
        <f t="shared" ca="1" si="21"/>
        <v>5.0501536638681115</v>
      </c>
      <c r="K351" s="6"/>
    </row>
    <row r="352" spans="4:11" x14ac:dyDescent="0.15">
      <c r="D352" s="44">
        <v>2143</v>
      </c>
      <c r="E352" s="16"/>
      <c r="J352" s="6">
        <f t="shared" ca="1" si="21"/>
        <v>5.0501539662917194</v>
      </c>
      <c r="K352" s="6"/>
    </row>
    <row r="353" spans="4:11" x14ac:dyDescent="0.15">
      <c r="D353" s="44">
        <v>2144</v>
      </c>
      <c r="E353" s="16"/>
      <c r="J353" s="6">
        <f t="shared" ca="1" si="21"/>
        <v>5.0501542507330921</v>
      </c>
      <c r="K353" s="6"/>
    </row>
    <row r="354" spans="4:11" x14ac:dyDescent="0.15">
      <c r="D354" s="44">
        <v>2145</v>
      </c>
      <c r="E354" s="16"/>
      <c r="J354" s="6">
        <f t="shared" ca="1" si="21"/>
        <v>5.0501545182614596</v>
      </c>
      <c r="K354" s="6"/>
    </row>
    <row r="355" spans="4:11" x14ac:dyDescent="0.15">
      <c r="D355" s="44">
        <v>2146</v>
      </c>
      <c r="E355" s="16"/>
      <c r="J355" s="6">
        <f t="shared" ca="1" si="21"/>
        <v>5.0501547698824742</v>
      </c>
      <c r="K355" s="6"/>
    </row>
    <row r="356" spans="4:11" x14ac:dyDescent="0.15">
      <c r="D356" s="44">
        <v>2147</v>
      </c>
      <c r="E356" s="16"/>
      <c r="J356" s="6">
        <f t="shared" ca="1" si="21"/>
        <v>5.0501550065419956</v>
      </c>
      <c r="K356" s="6"/>
    </row>
    <row r="357" spans="4:11" x14ac:dyDescent="0.15">
      <c r="D357" s="44">
        <v>2148</v>
      </c>
      <c r="E357" s="16"/>
      <c r="J357" s="6">
        <f t="shared" ca="1" si="21"/>
        <v>5.0501552291296345</v>
      </c>
      <c r="K357" s="6"/>
    </row>
    <row r="358" spans="4:11" x14ac:dyDescent="0.15">
      <c r="D358" s="44">
        <v>2149</v>
      </c>
      <c r="E358" s="16"/>
      <c r="J358" s="6">
        <f t="shared" ca="1" si="21"/>
        <v>5.0501554384821148</v>
      </c>
      <c r="K358" s="6"/>
    </row>
    <row r="359" spans="4:11" x14ac:dyDescent="0.15">
      <c r="D359" s="44">
        <v>2150</v>
      </c>
      <c r="E359" s="16"/>
      <c r="J359" s="6">
        <f t="shared" ca="1" si="21"/>
        <v>5.0501556353864006</v>
      </c>
      <c r="K359" s="6"/>
    </row>
  </sheetData>
  <pageMargins left="0.7" right="0.7" top="0.75" bottom="0.75" header="0.3" footer="0.3"/>
  <pageSetup scale="55"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00FF"/>
  </sheetPr>
  <dimension ref="D1:X344"/>
  <sheetViews>
    <sheetView topLeftCell="A66" zoomScaleNormal="100" workbookViewId="0">
      <selection activeCell="A125" sqref="A125"/>
    </sheetView>
  </sheetViews>
  <sheetFormatPr baseColWidth="10" defaultColWidth="9.1640625" defaultRowHeight="11" x14ac:dyDescent="0.15"/>
  <cols>
    <col min="1" max="1" width="6" style="42" customWidth="1"/>
    <col min="2" max="2" width="90.6640625" style="42" customWidth="1"/>
    <col min="3" max="3" width="6.5" style="42" customWidth="1"/>
    <col min="4" max="4" width="4.5" style="42" bestFit="1" customWidth="1"/>
    <col min="5" max="5" width="5.6640625" style="42" bestFit="1" customWidth="1"/>
    <col min="6" max="6" width="4.5" style="42" bestFit="1" customWidth="1"/>
    <col min="7" max="7" width="7.1640625" style="42" bestFit="1" customWidth="1"/>
    <col min="8" max="8" width="8.6640625" style="42" bestFit="1" customWidth="1"/>
    <col min="9" max="9" width="5.33203125" style="42" bestFit="1" customWidth="1"/>
    <col min="10" max="10" width="3.1640625" style="42" bestFit="1" customWidth="1"/>
    <col min="11" max="11" width="5.1640625" style="42" customWidth="1"/>
    <col min="12" max="12" width="7.33203125" style="42" customWidth="1"/>
    <col min="13" max="13" width="9.6640625" style="42" bestFit="1" customWidth="1"/>
    <col min="14" max="14" width="9.5" style="42" bestFit="1" customWidth="1"/>
    <col min="15" max="15" width="8.83203125" style="42" bestFit="1" customWidth="1"/>
    <col min="16" max="16" width="8.5" style="42" bestFit="1" customWidth="1"/>
    <col min="17" max="17" width="6" style="42" customWidth="1"/>
    <col min="18" max="18" width="6.1640625" style="143" bestFit="1" customWidth="1"/>
    <col min="19" max="19" width="12" style="42" bestFit="1" customWidth="1"/>
    <col min="20" max="20" width="8.1640625" style="42" bestFit="1" customWidth="1"/>
    <col min="21" max="21" width="16.6640625" style="42" bestFit="1" customWidth="1"/>
    <col min="22" max="22" width="7.5" style="42" bestFit="1" customWidth="1"/>
    <col min="23" max="23" width="15.83203125" style="42" bestFit="1" customWidth="1"/>
    <col min="24" max="24" width="6.6640625" style="42" bestFit="1" customWidth="1"/>
    <col min="25" max="16384" width="9.1640625" style="42"/>
  </cols>
  <sheetData>
    <row r="1" spans="4:24" x14ac:dyDescent="0.15">
      <c r="E1" s="11">
        <f ca="1">RSQ(OFFSET(G8,E3-D8,0):OFFSET(G8,E4-D8,0),OFFSET(D8,E3-D8,0):OFFSET(D8,E4-D8,0))</f>
        <v>0.99422992946008115</v>
      </c>
      <c r="F1" s="6">
        <v>7.6235246511500465</v>
      </c>
      <c r="G1" s="116" t="s">
        <v>72</v>
      </c>
      <c r="H1" s="6"/>
      <c r="U1" s="102"/>
      <c r="W1" s="101"/>
    </row>
    <row r="2" spans="4:24" x14ac:dyDescent="0.15">
      <c r="E2" s="12">
        <f ca="1" xml:space="preserve"> (- INTERCEPT(OFFSET(G8,E3-D8,0):OFFSET(G8,E4-D8,0),OFFSET(D8,E3-D8,0):OFFSET(D8,E4-D8,0)) - LN(9))/SLOPE(OFFSET(G8,E3-D8,0):OFFSET(G8,E4-D8,0),OFFSET(D8,E3-D8,0):OFFSET(D8,E4-D8,0))</f>
        <v>1876.8278198271396</v>
      </c>
      <c r="F2" s="12">
        <f ca="1" xml:space="preserve"> (- INTERCEPT(OFFSET(G8,E3-D8,0):OFFSET(G8,E4-D8,0),OFFSET(D8,E3-D8,0):OFFSET(D8,E4-D8,0)) + LN(9))/SLOPE(OFFSET(G8,E3-D8,0):OFFSET(G8,E4-D8,0),OFFSET(D8,E3-D8,0):OFFSET(D8,E4-D8,0))</f>
        <v>1984.9421359712478</v>
      </c>
      <c r="G2" s="116" t="s">
        <v>152</v>
      </c>
      <c r="H2" s="6"/>
      <c r="I2" s="100"/>
      <c r="U2" s="102"/>
      <c r="W2" s="101"/>
    </row>
    <row r="3" spans="4:24" x14ac:dyDescent="0.15">
      <c r="E3" s="3">
        <v>1873</v>
      </c>
      <c r="F3" s="8">
        <f ca="1">(E3-AVERAGE(E$2:F$2))/(F$2-E$2)*LN(81)</f>
        <v>-2.3528113692018837</v>
      </c>
      <c r="G3" s="116" t="s">
        <v>74</v>
      </c>
      <c r="H3" s="8"/>
      <c r="I3" s="6"/>
    </row>
    <row r="4" spans="4:24" x14ac:dyDescent="0.15">
      <c r="E4" s="3">
        <f ca="1">OFFSET(D9,COUNT(E10:E301),0)</f>
        <v>2009</v>
      </c>
      <c r="F4" s="8">
        <f ca="1">(E4-AVERAGE(E$2:F$2))/(F$2-E$2)*LN(81)</f>
        <v>3.1750882314285818</v>
      </c>
      <c r="G4" s="10"/>
      <c r="H4" s="12"/>
      <c r="I4" s="6"/>
    </row>
    <row r="5" spans="4:24" x14ac:dyDescent="0.15">
      <c r="E5" s="11">
        <f ca="1">RSQ(OFFSET(K8,E3-D8,0):OFFSET(K8,E4-D8,0),OFFSET(D8,E3-D8,0):OFFSET(D8,E4-D8,0))</f>
        <v>0.99379801088266029</v>
      </c>
      <c r="F5" s="27">
        <v>7.4721804419954845</v>
      </c>
      <c r="G5" s="116" t="s">
        <v>73</v>
      </c>
      <c r="H5" s="3"/>
      <c r="I5" s="3"/>
    </row>
    <row r="7" spans="4:24" x14ac:dyDescent="0.15">
      <c r="D7" s="43"/>
      <c r="E7" s="29" t="s">
        <v>0</v>
      </c>
      <c r="F7" s="48" t="s">
        <v>1</v>
      </c>
      <c r="G7" s="48" t="s">
        <v>2</v>
      </c>
      <c r="H7" s="209" t="s">
        <v>217</v>
      </c>
      <c r="I7" s="69" t="s">
        <v>27</v>
      </c>
      <c r="J7" s="77" t="s">
        <v>41</v>
      </c>
      <c r="K7" s="59" t="s">
        <v>3</v>
      </c>
      <c r="M7" s="94" t="s">
        <v>28</v>
      </c>
      <c r="N7" s="94" t="s">
        <v>29</v>
      </c>
      <c r="O7" s="94" t="s">
        <v>30</v>
      </c>
      <c r="P7" s="94" t="s">
        <v>31</v>
      </c>
      <c r="R7" s="144"/>
      <c r="S7" s="199" t="s">
        <v>166</v>
      </c>
      <c r="T7" s="140" t="s">
        <v>67</v>
      </c>
      <c r="U7" s="179" t="s">
        <v>126</v>
      </c>
      <c r="V7" s="71" t="s">
        <v>38</v>
      </c>
      <c r="W7" s="179" t="s">
        <v>125</v>
      </c>
      <c r="X7" s="71" t="s">
        <v>39</v>
      </c>
    </row>
    <row r="8" spans="4:24" x14ac:dyDescent="0.15">
      <c r="D8" s="44">
        <v>1814</v>
      </c>
      <c r="E8" s="16"/>
      <c r="F8" s="49">
        <v>0</v>
      </c>
      <c r="N8" s="94">
        <v>0</v>
      </c>
      <c r="O8" s="49"/>
      <c r="P8" s="94">
        <v>0</v>
      </c>
      <c r="R8" s="143" t="s">
        <v>7</v>
      </c>
      <c r="S8" s="42">
        <v>1913</v>
      </c>
      <c r="T8" s="47">
        <f t="shared" ref="T8:T26" si="0">LOOKUP(U8,D$8:D$292,N$8:N$292) + V8 + LOOKUP(W8,D$8:D$292,P$8:P$292) + X8</f>
        <v>31.140199999999997</v>
      </c>
      <c r="U8" s="46">
        <v>1913</v>
      </c>
      <c r="V8" s="56">
        <v>11</v>
      </c>
      <c r="W8" s="46">
        <v>1913</v>
      </c>
      <c r="X8" s="56">
        <v>17.582999999999998</v>
      </c>
    </row>
    <row r="9" spans="4:24" x14ac:dyDescent="0.15">
      <c r="D9" s="44">
        <v>1815</v>
      </c>
      <c r="E9" s="21">
        <f t="shared" ref="E9:E40" si="1">SUM(M9,O9)</f>
        <v>0.9</v>
      </c>
      <c r="F9" s="6">
        <f>F8+E9/1000</f>
        <v>8.9999999999999998E-4</v>
      </c>
      <c r="G9" s="8">
        <f xml:space="preserve"> -LN(F$1/F9-1)</f>
        <v>-9.0442365474399935</v>
      </c>
      <c r="H9" s="3"/>
      <c r="I9" s="6">
        <f t="shared" ref="I9:I40" ca="1" si="2" xml:space="preserve"> G9*(F$2-E$2)/LN(81) + AVERAGE(E$2:F$2) - D9</f>
        <v>-106.62560646662109</v>
      </c>
      <c r="J9" s="6"/>
      <c r="K9" s="6">
        <f>NORMSINV(F9/F$5)</f>
        <v>-3.6717518370265094</v>
      </c>
      <c r="M9" s="46">
        <v>0</v>
      </c>
      <c r="N9" s="46">
        <v>0</v>
      </c>
      <c r="O9" s="56">
        <v>0.9</v>
      </c>
      <c r="P9" s="56">
        <f>P8+O9/1000</f>
        <v>8.9999999999999998E-4</v>
      </c>
      <c r="R9" s="145" t="s">
        <v>99</v>
      </c>
      <c r="S9" s="42">
        <v>1936</v>
      </c>
      <c r="T9" s="47">
        <f t="shared" si="0"/>
        <v>33.030999999999999</v>
      </c>
      <c r="U9" s="46">
        <v>1913</v>
      </c>
      <c r="V9" s="56">
        <v>11</v>
      </c>
      <c r="W9" s="46">
        <v>1935</v>
      </c>
      <c r="X9" s="56">
        <v>18.600000000000001</v>
      </c>
    </row>
    <row r="10" spans="4:24" x14ac:dyDescent="0.15">
      <c r="D10" s="44">
        <v>1816</v>
      </c>
      <c r="E10" s="21">
        <f t="shared" si="1"/>
        <v>0.94</v>
      </c>
      <c r="F10" s="6">
        <f t="shared" ref="F10:F73" si="3">F9+E10/1000</f>
        <v>1.8400000000000001E-3</v>
      </c>
      <c r="G10" s="8">
        <f t="shared" ref="G10:G73" si="4" xml:space="preserve"> -LN(F$1/F10-1)</f>
        <v>-8.3289871354526799</v>
      </c>
      <c r="I10" s="6">
        <f t="shared" ca="1" si="2"/>
        <v>-90.028702206785965</v>
      </c>
      <c r="J10" s="6"/>
      <c r="K10" s="6">
        <f t="shared" ref="K10:K73" si="5">NORMSINV(F10/F$5)</f>
        <v>-3.4848062794384149</v>
      </c>
      <c r="M10" s="46">
        <v>0</v>
      </c>
      <c r="N10" s="46">
        <v>0</v>
      </c>
      <c r="O10" s="56">
        <v>0.94</v>
      </c>
      <c r="P10" s="56">
        <f t="shared" ref="P10:P73" si="6">P9+O10/1000</f>
        <v>1.8400000000000001E-3</v>
      </c>
      <c r="R10" s="145" t="s">
        <v>101</v>
      </c>
      <c r="S10" s="42">
        <v>1938</v>
      </c>
      <c r="T10" s="47">
        <f t="shared" si="0"/>
        <v>23.522599999999997</v>
      </c>
      <c r="U10" s="46">
        <v>1913</v>
      </c>
      <c r="V10" s="56">
        <v>11</v>
      </c>
      <c r="W10" s="46">
        <v>1937</v>
      </c>
      <c r="X10" s="56">
        <v>9</v>
      </c>
    </row>
    <row r="11" spans="4:24" x14ac:dyDescent="0.15">
      <c r="D11" s="44">
        <v>1817</v>
      </c>
      <c r="E11" s="21">
        <f t="shared" si="1"/>
        <v>0.98</v>
      </c>
      <c r="F11" s="6">
        <f t="shared" si="3"/>
        <v>2.82E-3</v>
      </c>
      <c r="G11" s="8">
        <f t="shared" si="4"/>
        <v>-7.9018872333594272</v>
      </c>
      <c r="I11" s="6">
        <f t="shared" ca="1" si="2"/>
        <v>-80.520988449094602</v>
      </c>
      <c r="J11" s="6"/>
      <c r="K11" s="6">
        <f t="shared" si="5"/>
        <v>-3.3688591993042931</v>
      </c>
      <c r="M11" s="46">
        <v>0</v>
      </c>
      <c r="N11" s="46">
        <v>0</v>
      </c>
      <c r="O11" s="56">
        <v>0.98</v>
      </c>
      <c r="P11" s="56">
        <f t="shared" si="6"/>
        <v>2.82E-3</v>
      </c>
      <c r="R11" s="145" t="s">
        <v>102</v>
      </c>
      <c r="S11" s="42">
        <v>1948</v>
      </c>
      <c r="T11" s="47">
        <f t="shared" si="0"/>
        <v>21.302399999999999</v>
      </c>
      <c r="U11" s="46">
        <v>1913</v>
      </c>
      <c r="V11" s="56">
        <v>11</v>
      </c>
      <c r="W11" s="46">
        <v>1946</v>
      </c>
      <c r="X11" s="56">
        <v>6.4</v>
      </c>
    </row>
    <row r="12" spans="4:24" x14ac:dyDescent="0.15">
      <c r="D12" s="44">
        <v>1818</v>
      </c>
      <c r="E12" s="21">
        <f t="shared" si="1"/>
        <v>1.02</v>
      </c>
      <c r="F12" s="6">
        <f t="shared" si="3"/>
        <v>3.8400000000000001E-3</v>
      </c>
      <c r="G12" s="8">
        <f t="shared" si="4"/>
        <v>-7.5930178968611894</v>
      </c>
      <c r="I12" s="6">
        <f t="shared" ca="1" si="2"/>
        <v>-73.922038974872976</v>
      </c>
      <c r="J12" s="6"/>
      <c r="K12" s="6">
        <f t="shared" si="5"/>
        <v>-3.282800861056181</v>
      </c>
      <c r="M12" s="46">
        <v>0</v>
      </c>
      <c r="N12" s="46">
        <v>0</v>
      </c>
      <c r="O12" s="56">
        <v>1.02</v>
      </c>
      <c r="P12" s="56">
        <f t="shared" si="6"/>
        <v>3.8400000000000001E-3</v>
      </c>
      <c r="R12" s="145" t="s">
        <v>103</v>
      </c>
      <c r="S12" s="42">
        <v>1950</v>
      </c>
      <c r="T12" s="47">
        <f t="shared" si="0"/>
        <v>26.2987</v>
      </c>
      <c r="U12" s="46">
        <v>1913</v>
      </c>
      <c r="V12" s="56">
        <v>11</v>
      </c>
      <c r="W12" s="46">
        <v>1947</v>
      </c>
      <c r="X12" s="56">
        <v>11.349</v>
      </c>
    </row>
    <row r="13" spans="4:24" x14ac:dyDescent="0.15">
      <c r="D13" s="44">
        <v>1819</v>
      </c>
      <c r="E13" s="21">
        <f t="shared" si="1"/>
        <v>1.06</v>
      </c>
      <c r="F13" s="6">
        <f t="shared" si="3"/>
        <v>4.8999999999999998E-3</v>
      </c>
      <c r="G13" s="8">
        <f t="shared" si="4"/>
        <v>-7.349115935298415</v>
      </c>
      <c r="I13" s="6">
        <f t="shared" ca="1" si="2"/>
        <v>-68.92144758049335</v>
      </c>
      <c r="J13" s="6"/>
      <c r="K13" s="6">
        <f t="shared" si="5"/>
        <v>-3.2134444841992758</v>
      </c>
      <c r="M13" s="46">
        <v>0</v>
      </c>
      <c r="N13" s="46">
        <v>0</v>
      </c>
      <c r="O13" s="56">
        <v>1.06</v>
      </c>
      <c r="P13" s="56">
        <f t="shared" si="6"/>
        <v>4.8999999999999998E-3</v>
      </c>
      <c r="R13" s="145" t="s">
        <v>104</v>
      </c>
      <c r="S13" s="42">
        <v>1952</v>
      </c>
      <c r="T13" s="47">
        <f t="shared" si="0"/>
        <v>20.2715</v>
      </c>
      <c r="U13" s="46">
        <v>1947</v>
      </c>
      <c r="V13" s="56">
        <v>2.72</v>
      </c>
      <c r="W13" s="46">
        <v>1949</v>
      </c>
      <c r="X13" s="56">
        <v>12.718</v>
      </c>
    </row>
    <row r="14" spans="4:24" x14ac:dyDescent="0.15">
      <c r="D14" s="44">
        <v>1820</v>
      </c>
      <c r="E14" s="21">
        <f t="shared" si="1"/>
        <v>1.1000000000000001</v>
      </c>
      <c r="F14" s="6">
        <f t="shared" si="3"/>
        <v>6.0000000000000001E-3</v>
      </c>
      <c r="G14" s="8">
        <f t="shared" si="4"/>
        <v>-7.1464472777473533</v>
      </c>
      <c r="I14" s="6">
        <f t="shared" ca="1" si="2"/>
        <v>-64.935297429756019</v>
      </c>
      <c r="J14" s="6"/>
      <c r="K14" s="6">
        <f t="shared" si="5"/>
        <v>-3.1548226527447718</v>
      </c>
      <c r="M14" s="46">
        <v>0</v>
      </c>
      <c r="N14" s="46">
        <v>0</v>
      </c>
      <c r="O14" s="56">
        <v>1.1000000000000001</v>
      </c>
      <c r="P14" s="56">
        <f t="shared" si="6"/>
        <v>6.0000000000000001E-3</v>
      </c>
      <c r="R14" s="145" t="s">
        <v>105</v>
      </c>
      <c r="S14" s="42">
        <v>1954</v>
      </c>
      <c r="T14" s="47">
        <f t="shared" si="0"/>
        <v>23.5395</v>
      </c>
      <c r="U14" s="46">
        <v>1947</v>
      </c>
      <c r="V14" s="56">
        <v>5.9880000000000004</v>
      </c>
      <c r="W14" s="46">
        <v>1949</v>
      </c>
      <c r="X14" s="56">
        <v>12.718</v>
      </c>
    </row>
    <row r="15" spans="4:24" x14ac:dyDescent="0.15">
      <c r="D15" s="44">
        <v>1821</v>
      </c>
      <c r="E15" s="21">
        <f t="shared" si="1"/>
        <v>1.18</v>
      </c>
      <c r="F15" s="6">
        <f t="shared" si="3"/>
        <v>7.1799999999999998E-3</v>
      </c>
      <c r="G15" s="8">
        <f t="shared" si="4"/>
        <v>-6.966752445952026</v>
      </c>
      <c r="I15" s="6">
        <f t="shared" ca="1" si="2"/>
        <v>-61.514360204091417</v>
      </c>
      <c r="J15" s="6"/>
      <c r="K15" s="6">
        <f t="shared" si="5"/>
        <v>-3.1020592134119922</v>
      </c>
      <c r="M15" s="46">
        <v>0</v>
      </c>
      <c r="N15" s="46">
        <v>0</v>
      </c>
      <c r="O15" s="56">
        <v>1.18</v>
      </c>
      <c r="P15" s="56">
        <f t="shared" si="6"/>
        <v>7.1799999999999998E-3</v>
      </c>
      <c r="R15" s="145" t="s">
        <v>107</v>
      </c>
      <c r="S15" s="42">
        <v>1960</v>
      </c>
      <c r="T15" s="47">
        <f t="shared" si="0"/>
        <v>20.5869</v>
      </c>
      <c r="U15" s="46">
        <v>1947</v>
      </c>
      <c r="V15" s="56">
        <v>5.9880000000000004</v>
      </c>
      <c r="W15" s="46">
        <v>1953</v>
      </c>
      <c r="X15" s="56">
        <v>9.5459999999999994</v>
      </c>
    </row>
    <row r="16" spans="4:24" x14ac:dyDescent="0.15">
      <c r="D16" s="44">
        <v>1822</v>
      </c>
      <c r="E16" s="21">
        <f t="shared" si="1"/>
        <v>1.26</v>
      </c>
      <c r="F16" s="6">
        <f t="shared" si="3"/>
        <v>8.4399999999999996E-3</v>
      </c>
      <c r="G16" s="8">
        <f t="shared" si="4"/>
        <v>-6.8049040730286245</v>
      </c>
      <c r="I16" s="6">
        <f t="shared" ca="1" si="2"/>
        <v>-58.532489998801793</v>
      </c>
      <c r="J16" s="6"/>
      <c r="K16" s="6">
        <f t="shared" si="5"/>
        <v>-3.0538770960859742</v>
      </c>
      <c r="M16" s="46">
        <v>0</v>
      </c>
      <c r="N16" s="46">
        <v>0</v>
      </c>
      <c r="O16" s="56">
        <v>1.26</v>
      </c>
      <c r="P16" s="56">
        <f t="shared" si="6"/>
        <v>8.4399999999999996E-3</v>
      </c>
      <c r="R16" s="145" t="s">
        <v>108</v>
      </c>
      <c r="S16" s="42">
        <v>1962</v>
      </c>
      <c r="T16" s="47">
        <f t="shared" si="0"/>
        <v>13.4886</v>
      </c>
      <c r="U16" s="46">
        <v>1956</v>
      </c>
      <c r="V16" s="56">
        <v>3.4249999999999998</v>
      </c>
      <c r="W16" s="46">
        <v>1959</v>
      </c>
      <c r="X16" s="56">
        <v>4.4000000000000004</v>
      </c>
    </row>
    <row r="17" spans="4:24" x14ac:dyDescent="0.15">
      <c r="D17" s="44">
        <v>1823</v>
      </c>
      <c r="E17" s="21">
        <f t="shared" si="1"/>
        <v>1.34</v>
      </c>
      <c r="F17" s="6">
        <f t="shared" si="3"/>
        <v>9.7800000000000005E-3</v>
      </c>
      <c r="G17" s="8">
        <f t="shared" si="4"/>
        <v>-6.6573709155786904</v>
      </c>
      <c r="I17" s="6">
        <f t="shared" ca="1" si="2"/>
        <v>-55.902809493949235</v>
      </c>
      <c r="J17" s="6"/>
      <c r="K17" s="6">
        <f t="shared" si="5"/>
        <v>-3.0093921711546936</v>
      </c>
      <c r="M17" s="46">
        <v>0</v>
      </c>
      <c r="N17" s="46">
        <v>0</v>
      </c>
      <c r="O17" s="56">
        <v>1.34</v>
      </c>
      <c r="P17" s="56">
        <f t="shared" si="6"/>
        <v>9.7800000000000005E-3</v>
      </c>
      <c r="R17" s="145" t="s">
        <v>109</v>
      </c>
      <c r="S17" s="42">
        <v>1968</v>
      </c>
      <c r="T17" s="47">
        <f t="shared" si="0"/>
        <v>10.8812</v>
      </c>
      <c r="U17" s="46">
        <v>1967</v>
      </c>
      <c r="V17" s="56">
        <v>1.796</v>
      </c>
      <c r="W17" s="46">
        <v>1966</v>
      </c>
      <c r="X17" s="56">
        <v>2.8</v>
      </c>
    </row>
    <row r="18" spans="4:24" x14ac:dyDescent="0.15">
      <c r="D18" s="44">
        <v>1824</v>
      </c>
      <c r="E18" s="21">
        <f t="shared" si="1"/>
        <v>1.42</v>
      </c>
      <c r="F18" s="6">
        <f t="shared" si="3"/>
        <v>1.12E-2</v>
      </c>
      <c r="G18" s="8">
        <f t="shared" si="4"/>
        <v>-6.5216100991201245</v>
      </c>
      <c r="I18" s="6">
        <f t="shared" ca="1" si="2"/>
        <v>-53.562757689054024</v>
      </c>
      <c r="J18" s="6"/>
      <c r="K18" s="6">
        <f t="shared" si="5"/>
        <v>-2.9679648316614147</v>
      </c>
      <c r="M18" s="46">
        <v>0</v>
      </c>
      <c r="N18" s="46">
        <v>0</v>
      </c>
      <c r="O18" s="56">
        <v>1.42</v>
      </c>
      <c r="P18" s="56">
        <f t="shared" si="6"/>
        <v>1.12E-2</v>
      </c>
      <c r="R18" s="145" t="s">
        <v>8</v>
      </c>
      <c r="S18" s="46">
        <v>1974</v>
      </c>
      <c r="T18" s="47">
        <f t="shared" si="0"/>
        <v>7.2161000000000008</v>
      </c>
      <c r="U18" s="46">
        <v>1973</v>
      </c>
      <c r="V18" s="56">
        <v>0.127</v>
      </c>
      <c r="W18" s="46">
        <v>1973</v>
      </c>
      <c r="X18" s="56">
        <v>0.45800000000000002</v>
      </c>
    </row>
    <row r="19" spans="4:24" x14ac:dyDescent="0.15">
      <c r="D19" s="44">
        <v>1825</v>
      </c>
      <c r="E19" s="21">
        <f t="shared" si="1"/>
        <v>1.5</v>
      </c>
      <c r="F19" s="6">
        <f t="shared" si="3"/>
        <v>1.2699999999999999E-2</v>
      </c>
      <c r="G19" s="8">
        <f t="shared" si="4"/>
        <v>-6.3957248156660826</v>
      </c>
      <c r="I19" s="6">
        <f t="shared" ca="1" si="2"/>
        <v>-51.46566841706408</v>
      </c>
      <c r="J19" s="6"/>
      <c r="K19" s="6">
        <f t="shared" si="5"/>
        <v>-2.929115987583971</v>
      </c>
      <c r="M19" s="46">
        <v>0</v>
      </c>
      <c r="N19" s="46">
        <v>0</v>
      </c>
      <c r="O19" s="56">
        <v>1.5</v>
      </c>
      <c r="P19" s="56">
        <f t="shared" si="6"/>
        <v>1.2699999999999999E-2</v>
      </c>
      <c r="R19" s="145" t="s">
        <v>9</v>
      </c>
      <c r="S19" s="42">
        <v>1980</v>
      </c>
      <c r="T19" s="47">
        <f t="shared" si="0"/>
        <v>7.8184000000000013</v>
      </c>
      <c r="U19" s="46">
        <v>1978</v>
      </c>
      <c r="V19" s="56">
        <v>0.44</v>
      </c>
      <c r="W19" s="46">
        <v>1977</v>
      </c>
      <c r="X19" s="56">
        <v>0.61</v>
      </c>
    </row>
    <row r="20" spans="4:24" x14ac:dyDescent="0.15">
      <c r="D20" s="44">
        <v>1826</v>
      </c>
      <c r="E20" s="21">
        <f t="shared" si="1"/>
        <v>1.6</v>
      </c>
      <c r="F20" s="6">
        <f t="shared" si="3"/>
        <v>1.43E-2</v>
      </c>
      <c r="G20" s="8">
        <f t="shared" si="4"/>
        <v>-6.2768570228735694</v>
      </c>
      <c r="I20" s="6">
        <f t="shared" ca="1" si="2"/>
        <v>-49.541226768750221</v>
      </c>
      <c r="J20" s="6"/>
      <c r="K20" s="6">
        <f t="shared" si="5"/>
        <v>-2.892036834740713</v>
      </c>
      <c r="M20" s="46">
        <v>0</v>
      </c>
      <c r="N20" s="46">
        <v>0</v>
      </c>
      <c r="O20" s="56">
        <v>1.6</v>
      </c>
      <c r="P20" s="56">
        <f t="shared" si="6"/>
        <v>1.43E-2</v>
      </c>
      <c r="R20" s="145" t="s">
        <v>10</v>
      </c>
      <c r="S20" s="42">
        <v>1986</v>
      </c>
      <c r="T20" s="47">
        <f t="shared" si="0"/>
        <v>7.7474100000000012</v>
      </c>
      <c r="U20" s="46">
        <v>1984</v>
      </c>
      <c r="V20" s="56">
        <v>0.41</v>
      </c>
      <c r="W20" s="46">
        <v>1984</v>
      </c>
      <c r="X20" s="56">
        <v>0.38100000000000001</v>
      </c>
    </row>
    <row r="21" spans="4:24" x14ac:dyDescent="0.15">
      <c r="D21" s="44">
        <v>1827</v>
      </c>
      <c r="E21" s="21">
        <f t="shared" si="1"/>
        <v>1.7</v>
      </c>
      <c r="F21" s="6">
        <f t="shared" si="3"/>
        <v>1.6E-2</v>
      </c>
      <c r="G21" s="8">
        <f t="shared" si="4"/>
        <v>-6.1643043999007316</v>
      </c>
      <c r="I21" s="6">
        <f t="shared" ca="1" si="2"/>
        <v>-47.77215391464847</v>
      </c>
      <c r="J21" s="6"/>
      <c r="K21" s="6">
        <f t="shared" si="5"/>
        <v>-2.8565628693445686</v>
      </c>
      <c r="M21" s="46">
        <v>0</v>
      </c>
      <c r="N21" s="46">
        <v>0</v>
      </c>
      <c r="O21" s="56">
        <v>1.7</v>
      </c>
      <c r="P21" s="56">
        <f t="shared" si="6"/>
        <v>1.6E-2</v>
      </c>
      <c r="R21" s="145" t="s">
        <v>11</v>
      </c>
      <c r="S21" s="42">
        <v>1989</v>
      </c>
      <c r="T21" s="47">
        <f t="shared" si="0"/>
        <v>7.6947300000000007</v>
      </c>
      <c r="U21" s="46">
        <v>1987</v>
      </c>
      <c r="V21" s="56">
        <v>0.41</v>
      </c>
      <c r="W21" s="46">
        <v>1987</v>
      </c>
      <c r="X21" s="56">
        <v>0.25800000000000001</v>
      </c>
    </row>
    <row r="22" spans="4:24" x14ac:dyDescent="0.15">
      <c r="D22" s="44">
        <v>1828</v>
      </c>
      <c r="E22" s="21">
        <f t="shared" si="1"/>
        <v>1.8</v>
      </c>
      <c r="F22" s="6">
        <f t="shared" si="3"/>
        <v>1.78E-2</v>
      </c>
      <c r="G22" s="8">
        <f t="shared" si="4"/>
        <v>-6.057458029003195</v>
      </c>
      <c r="I22" s="6">
        <f t="shared" ca="1" si="2"/>
        <v>-46.143468972467417</v>
      </c>
      <c r="J22" s="6"/>
      <c r="K22" s="6">
        <f t="shared" si="5"/>
        <v>-2.8225500214099983</v>
      </c>
      <c r="M22" s="46">
        <v>0</v>
      </c>
      <c r="N22" s="46">
        <v>0</v>
      </c>
      <c r="O22" s="56">
        <v>1.8</v>
      </c>
      <c r="P22" s="56">
        <f t="shared" si="6"/>
        <v>1.78E-2</v>
      </c>
      <c r="R22" s="145" t="s">
        <v>12</v>
      </c>
      <c r="S22" s="42">
        <v>1992</v>
      </c>
      <c r="T22" s="47">
        <f t="shared" si="0"/>
        <v>7.6953700000000014</v>
      </c>
      <c r="U22" s="46">
        <v>1990</v>
      </c>
      <c r="V22" s="56">
        <v>0.41</v>
      </c>
      <c r="W22" s="46">
        <v>1990</v>
      </c>
      <c r="X22" s="56">
        <v>0.21</v>
      </c>
    </row>
    <row r="23" spans="4:24" x14ac:dyDescent="0.15">
      <c r="D23" s="44">
        <v>1829</v>
      </c>
      <c r="E23" s="21">
        <f t="shared" si="1"/>
        <v>1.7</v>
      </c>
      <c r="F23" s="6">
        <f t="shared" si="3"/>
        <v>1.95E-2</v>
      </c>
      <c r="G23" s="8">
        <f t="shared" si="4"/>
        <v>-5.9660184798994935</v>
      </c>
      <c r="I23" s="6">
        <f t="shared" ca="1" si="2"/>
        <v>-44.89382994561447</v>
      </c>
      <c r="J23" s="6"/>
      <c r="K23" s="6">
        <f t="shared" si="5"/>
        <v>-2.7931740500716358</v>
      </c>
      <c r="M23" s="46">
        <v>0</v>
      </c>
      <c r="N23" s="46">
        <v>0</v>
      </c>
      <c r="O23" s="56">
        <v>1.7</v>
      </c>
      <c r="P23" s="56">
        <f t="shared" si="6"/>
        <v>1.95E-2</v>
      </c>
      <c r="R23" s="145" t="s">
        <v>13</v>
      </c>
      <c r="S23" s="42">
        <v>1995</v>
      </c>
      <c r="T23" s="47">
        <f t="shared" si="0"/>
        <v>7.2543637682815758</v>
      </c>
      <c r="U23" s="46">
        <v>1993</v>
      </c>
      <c r="V23" s="94">
        <v>0</v>
      </c>
      <c r="W23" s="46">
        <v>1993</v>
      </c>
      <c r="X23" s="56">
        <v>0.13900000000000001</v>
      </c>
    </row>
    <row r="24" spans="4:24" x14ac:dyDescent="0.15">
      <c r="D24" s="44">
        <v>1830</v>
      </c>
      <c r="E24" s="21">
        <f t="shared" si="1"/>
        <v>1.9</v>
      </c>
      <c r="F24" s="6">
        <f t="shared" si="3"/>
        <v>2.1399999999999999E-2</v>
      </c>
      <c r="G24" s="8">
        <f t="shared" si="4"/>
        <v>-5.8727921245390275</v>
      </c>
      <c r="I24" s="6">
        <f t="shared" ca="1" si="2"/>
        <v>-43.600231066290235</v>
      </c>
      <c r="J24" s="6"/>
      <c r="K24" s="6">
        <f t="shared" si="5"/>
        <v>-2.7629637321198417</v>
      </c>
      <c r="M24" s="46">
        <v>0</v>
      </c>
      <c r="N24" s="46">
        <v>0</v>
      </c>
      <c r="O24" s="56">
        <v>1.9</v>
      </c>
      <c r="P24" s="56">
        <f t="shared" si="6"/>
        <v>2.1399999999999999E-2</v>
      </c>
      <c r="R24" s="145" t="s">
        <v>14</v>
      </c>
      <c r="S24" s="42">
        <v>1998</v>
      </c>
      <c r="T24" s="47">
        <f t="shared" si="0"/>
        <v>7.260258856237173</v>
      </c>
      <c r="U24" s="46">
        <v>1996</v>
      </c>
      <c r="V24" s="94">
        <v>0</v>
      </c>
      <c r="W24" s="46">
        <v>1996</v>
      </c>
      <c r="X24" s="56">
        <v>0.11600000000000001</v>
      </c>
    </row>
    <row r="25" spans="4:24" x14ac:dyDescent="0.15">
      <c r="D25" s="44">
        <v>1831</v>
      </c>
      <c r="E25" s="21">
        <f t="shared" si="1"/>
        <v>4.0999999999999996</v>
      </c>
      <c r="F25" s="6">
        <f t="shared" si="3"/>
        <v>2.5499999999999998E-2</v>
      </c>
      <c r="G25" s="8">
        <f t="shared" si="4"/>
        <v>-5.6969651260040983</v>
      </c>
      <c r="I25" s="6">
        <f t="shared" ca="1" si="2"/>
        <v>-40.27445210351334</v>
      </c>
      <c r="J25" s="6"/>
      <c r="K25" s="6">
        <f t="shared" si="5"/>
        <v>-2.7052491812410455</v>
      </c>
      <c r="M25" s="56">
        <v>2.2999999999999998</v>
      </c>
      <c r="N25" s="56">
        <f>N24+M25/1000</f>
        <v>2.3E-3</v>
      </c>
      <c r="O25" s="56">
        <v>1.8</v>
      </c>
      <c r="P25" s="56">
        <f t="shared" si="6"/>
        <v>2.3199999999999998E-2</v>
      </c>
      <c r="R25" s="145" t="s">
        <v>15</v>
      </c>
      <c r="S25" s="42">
        <v>2001</v>
      </c>
      <c r="T25" s="47">
        <f t="shared" si="0"/>
        <v>7.200467477926086</v>
      </c>
      <c r="U25" s="46">
        <v>1999</v>
      </c>
      <c r="V25" s="94">
        <v>0</v>
      </c>
      <c r="W25" s="46">
        <v>1999</v>
      </c>
      <c r="X25" s="56">
        <v>3.5999999999999997E-2</v>
      </c>
    </row>
    <row r="26" spans="4:24" x14ac:dyDescent="0.15">
      <c r="D26" s="44">
        <v>1832</v>
      </c>
      <c r="E26" s="21">
        <f t="shared" si="1"/>
        <v>4.3</v>
      </c>
      <c r="F26" s="6">
        <f t="shared" si="3"/>
        <v>2.98E-2</v>
      </c>
      <c r="G26" s="8">
        <f t="shared" si="4"/>
        <v>-5.5405690878858698</v>
      </c>
      <c r="I26" s="6">
        <f t="shared" ca="1" si="2"/>
        <v>-37.426722817392829</v>
      </c>
      <c r="J26" s="6"/>
      <c r="K26" s="6">
        <f t="shared" si="5"/>
        <v>-2.6530733837374632</v>
      </c>
      <c r="M26" s="56">
        <v>2.2999999999999998</v>
      </c>
      <c r="N26" s="56">
        <f t="shared" ref="N26:N89" si="7">N25+M26/1000</f>
        <v>4.5999999999999999E-3</v>
      </c>
      <c r="O26" s="56">
        <v>2</v>
      </c>
      <c r="P26" s="56">
        <f t="shared" si="6"/>
        <v>2.52E-2</v>
      </c>
      <c r="R26" s="145" t="s">
        <v>16</v>
      </c>
      <c r="S26" s="42">
        <v>2004</v>
      </c>
      <c r="T26" s="47">
        <f t="shared" si="0"/>
        <v>7.1890732257186949</v>
      </c>
      <c r="U26" s="46">
        <v>2002</v>
      </c>
      <c r="V26" s="94">
        <v>0</v>
      </c>
      <c r="W26" s="46">
        <v>2002</v>
      </c>
      <c r="X26" s="56">
        <v>1.4999999999999999E-2</v>
      </c>
    </row>
    <row r="27" spans="4:24" x14ac:dyDescent="0.15">
      <c r="D27" s="44">
        <v>1833</v>
      </c>
      <c r="E27" s="21">
        <f t="shared" si="1"/>
        <v>4.5999999999999996</v>
      </c>
      <c r="F27" s="6">
        <f t="shared" si="3"/>
        <v>3.44E-2</v>
      </c>
      <c r="G27" s="8">
        <f t="shared" si="4"/>
        <v>-5.3964149701301531</v>
      </c>
      <c r="I27" s="6">
        <f t="shared" ca="1" si="2"/>
        <v>-34.88017504497293</v>
      </c>
      <c r="J27" s="6"/>
      <c r="K27" s="6">
        <f t="shared" si="5"/>
        <v>-2.6042526156078214</v>
      </c>
      <c r="M27" s="56">
        <v>2.5</v>
      </c>
      <c r="N27" s="56">
        <f t="shared" si="7"/>
        <v>7.1000000000000004E-3</v>
      </c>
      <c r="O27" s="56">
        <v>2.1</v>
      </c>
      <c r="P27" s="56">
        <f t="shared" si="6"/>
        <v>2.7300000000000001E-2</v>
      </c>
      <c r="R27" s="145"/>
      <c r="T27" s="47"/>
      <c r="U27" s="46"/>
      <c r="V27" s="94"/>
      <c r="W27" s="46"/>
      <c r="X27" s="94"/>
    </row>
    <row r="28" spans="4:24" x14ac:dyDescent="0.15">
      <c r="D28" s="44">
        <v>1834</v>
      </c>
      <c r="E28" s="21">
        <f t="shared" si="1"/>
        <v>4.9000000000000004</v>
      </c>
      <c r="F28" s="6">
        <f t="shared" si="3"/>
        <v>3.9300000000000002E-2</v>
      </c>
      <c r="G28" s="8">
        <f t="shared" si="4"/>
        <v>-5.2626011463442985</v>
      </c>
      <c r="I28" s="6">
        <f t="shared" ca="1" si="2"/>
        <v>-32.588024074502755</v>
      </c>
      <c r="J28" s="6"/>
      <c r="K28" s="6">
        <f t="shared" si="5"/>
        <v>-2.558283889977079</v>
      </c>
      <c r="M28" s="56">
        <v>2.4</v>
      </c>
      <c r="N28" s="56">
        <f t="shared" si="7"/>
        <v>9.4999999999999998E-3</v>
      </c>
      <c r="O28" s="56">
        <v>2.5</v>
      </c>
      <c r="P28" s="56">
        <f t="shared" si="6"/>
        <v>2.98E-2</v>
      </c>
      <c r="R28" s="342"/>
      <c r="T28" s="56"/>
      <c r="V28" s="94"/>
      <c r="X28" s="94"/>
    </row>
    <row r="29" spans="4:24" x14ac:dyDescent="0.15">
      <c r="D29" s="44">
        <v>1835</v>
      </c>
      <c r="E29" s="21">
        <f t="shared" si="1"/>
        <v>5.0999999999999996</v>
      </c>
      <c r="F29" s="6">
        <f t="shared" si="3"/>
        <v>4.4400000000000002E-2</v>
      </c>
      <c r="G29" s="8">
        <f t="shared" si="4"/>
        <v>-5.1399135211511284</v>
      </c>
      <c r="I29" s="6">
        <f t="shared" ca="1" si="2"/>
        <v>-30.569605103150934</v>
      </c>
      <c r="J29" s="6"/>
      <c r="K29" s="6">
        <f t="shared" si="5"/>
        <v>-2.5155678113215036</v>
      </c>
      <c r="M29" s="56">
        <v>2.6</v>
      </c>
      <c r="N29" s="56">
        <f t="shared" si="7"/>
        <v>1.21E-2</v>
      </c>
      <c r="O29" s="56">
        <v>2.5</v>
      </c>
      <c r="P29" s="56">
        <f t="shared" si="6"/>
        <v>3.2300000000000002E-2</v>
      </c>
    </row>
    <row r="30" spans="4:24" x14ac:dyDescent="0.15">
      <c r="D30" s="44">
        <v>1836</v>
      </c>
      <c r="E30" s="21">
        <f t="shared" si="1"/>
        <v>5.9</v>
      </c>
      <c r="F30" s="6">
        <f t="shared" si="3"/>
        <v>5.0300000000000004E-2</v>
      </c>
      <c r="G30" s="8">
        <f t="shared" si="4"/>
        <v>-5.0143691563179145</v>
      </c>
      <c r="I30" s="6">
        <f t="shared" ca="1" si="2"/>
        <v>-28.480903272283967</v>
      </c>
      <c r="J30" s="6"/>
      <c r="K30" s="6">
        <f t="shared" si="5"/>
        <v>-2.4712737246134653</v>
      </c>
      <c r="M30" s="56">
        <v>3.1</v>
      </c>
      <c r="N30" s="56">
        <f t="shared" si="7"/>
        <v>1.52E-2</v>
      </c>
      <c r="O30" s="56">
        <v>2.8</v>
      </c>
      <c r="P30" s="56">
        <f t="shared" si="6"/>
        <v>3.5099999999999999E-2</v>
      </c>
    </row>
    <row r="31" spans="4:24" x14ac:dyDescent="0.15">
      <c r="D31" s="44">
        <v>1837</v>
      </c>
      <c r="E31" s="21">
        <f t="shared" si="1"/>
        <v>6.2</v>
      </c>
      <c r="F31" s="6">
        <f t="shared" si="3"/>
        <v>5.6500000000000002E-2</v>
      </c>
      <c r="G31" s="8">
        <f t="shared" si="4"/>
        <v>-4.8973145862545477</v>
      </c>
      <c r="I31" s="6">
        <f t="shared" ca="1" si="2"/>
        <v>-26.601071386986632</v>
      </c>
      <c r="J31" s="6"/>
      <c r="K31" s="6">
        <f t="shared" si="5"/>
        <v>-2.4294257737233091</v>
      </c>
      <c r="M31" s="56">
        <v>3.2</v>
      </c>
      <c r="N31" s="56">
        <f t="shared" si="7"/>
        <v>1.84E-2</v>
      </c>
      <c r="O31" s="56">
        <v>3</v>
      </c>
      <c r="P31" s="56">
        <f t="shared" si="6"/>
        <v>3.8100000000000002E-2</v>
      </c>
    </row>
    <row r="32" spans="4:24" x14ac:dyDescent="0.15">
      <c r="D32" s="44">
        <v>1838</v>
      </c>
      <c r="E32" s="21">
        <f t="shared" si="1"/>
        <v>6.4</v>
      </c>
      <c r="F32" s="6">
        <f t="shared" si="3"/>
        <v>6.2899999999999998E-2</v>
      </c>
      <c r="G32" s="8">
        <f t="shared" si="4"/>
        <v>-4.7891629278673573</v>
      </c>
      <c r="I32" s="6">
        <f t="shared" ca="1" si="2"/>
        <v>-24.940273144742832</v>
      </c>
      <c r="J32" s="6"/>
      <c r="K32" s="6">
        <f t="shared" si="5"/>
        <v>-2.3902745535172709</v>
      </c>
      <c r="M32" s="56">
        <v>3.3</v>
      </c>
      <c r="N32" s="56">
        <f t="shared" si="7"/>
        <v>2.1700000000000001E-2</v>
      </c>
      <c r="O32" s="56">
        <v>3.1</v>
      </c>
      <c r="P32" s="56">
        <f t="shared" si="6"/>
        <v>4.1200000000000001E-2</v>
      </c>
    </row>
    <row r="33" spans="4:16" x14ac:dyDescent="0.15">
      <c r="D33" s="44">
        <v>1839</v>
      </c>
      <c r="E33" s="21">
        <f t="shared" si="1"/>
        <v>6.5</v>
      </c>
      <c r="F33" s="6">
        <f t="shared" si="3"/>
        <v>6.9400000000000003E-2</v>
      </c>
      <c r="G33" s="8">
        <f t="shared" si="4"/>
        <v>-4.6899621369671625</v>
      </c>
      <c r="I33" s="6">
        <f t="shared" ca="1" si="2"/>
        <v>-23.499688377087523</v>
      </c>
      <c r="J33" s="6"/>
      <c r="K33" s="6">
        <f t="shared" si="5"/>
        <v>-2.3539408124535441</v>
      </c>
      <c r="M33" s="56">
        <v>3.5</v>
      </c>
      <c r="N33" s="56">
        <f t="shared" si="7"/>
        <v>2.52E-2</v>
      </c>
      <c r="O33" s="56">
        <v>3</v>
      </c>
      <c r="P33" s="56">
        <f t="shared" si="6"/>
        <v>4.4200000000000003E-2</v>
      </c>
    </row>
    <row r="34" spans="4:16" x14ac:dyDescent="0.15">
      <c r="D34" s="44">
        <v>1840</v>
      </c>
      <c r="E34" s="21">
        <f t="shared" si="1"/>
        <v>6.9</v>
      </c>
      <c r="F34" s="6">
        <f t="shared" si="3"/>
        <v>7.6300000000000007E-2</v>
      </c>
      <c r="G34" s="8">
        <f t="shared" si="4"/>
        <v>-4.5942622404985674</v>
      </c>
      <c r="I34" s="6">
        <f t="shared" ca="1" si="2"/>
        <v>-22.14523426973642</v>
      </c>
      <c r="J34" s="6"/>
      <c r="K34" s="6">
        <f t="shared" si="5"/>
        <v>-2.3184952830047352</v>
      </c>
      <c r="M34" s="56">
        <v>3.9</v>
      </c>
      <c r="N34" s="56">
        <f t="shared" si="7"/>
        <v>2.9100000000000001E-2</v>
      </c>
      <c r="O34" s="56">
        <v>3</v>
      </c>
      <c r="P34" s="56">
        <f t="shared" si="6"/>
        <v>4.7200000000000006E-2</v>
      </c>
    </row>
    <row r="35" spans="4:16" x14ac:dyDescent="0.15">
      <c r="D35" s="44">
        <v>1841</v>
      </c>
      <c r="E35" s="21">
        <f t="shared" si="1"/>
        <v>7.4</v>
      </c>
      <c r="F35" s="6">
        <f t="shared" si="3"/>
        <v>8.3700000000000011E-2</v>
      </c>
      <c r="G35" s="8">
        <f t="shared" si="4"/>
        <v>-4.5007152274205078</v>
      </c>
      <c r="I35" s="6">
        <f t="shared" ca="1" si="2"/>
        <v>-20.843746417611555</v>
      </c>
      <c r="J35" s="6"/>
      <c r="K35" s="6">
        <f t="shared" si="5"/>
        <v>-2.2834631817008657</v>
      </c>
      <c r="M35" s="56">
        <v>4</v>
      </c>
      <c r="N35" s="56">
        <f t="shared" si="7"/>
        <v>3.3100000000000004E-2</v>
      </c>
      <c r="O35" s="56">
        <v>3.4</v>
      </c>
      <c r="P35" s="56">
        <f t="shared" si="6"/>
        <v>5.0600000000000006E-2</v>
      </c>
    </row>
    <row r="36" spans="4:16" x14ac:dyDescent="0.15">
      <c r="D36" s="44">
        <v>1842</v>
      </c>
      <c r="E36" s="21">
        <f t="shared" si="1"/>
        <v>7.6999999999999993</v>
      </c>
      <c r="F36" s="6">
        <f t="shared" si="3"/>
        <v>9.1400000000000009E-2</v>
      </c>
      <c r="G36" s="8">
        <f t="shared" si="4"/>
        <v>-4.4116869607219567</v>
      </c>
      <c r="I36" s="6">
        <f t="shared" ca="1" si="2"/>
        <v>-19.653430900733838</v>
      </c>
      <c r="J36" s="6"/>
      <c r="K36" s="6">
        <f t="shared" si="5"/>
        <v>-2.2497616870121342</v>
      </c>
      <c r="M36" s="56">
        <v>4.0999999999999996</v>
      </c>
      <c r="N36" s="56">
        <f t="shared" si="7"/>
        <v>3.7200000000000004E-2</v>
      </c>
      <c r="O36" s="56">
        <v>3.6</v>
      </c>
      <c r="P36" s="56">
        <f t="shared" si="6"/>
        <v>5.4200000000000005E-2</v>
      </c>
    </row>
    <row r="37" spans="4:16" x14ac:dyDescent="0.15">
      <c r="D37" s="44">
        <v>1843</v>
      </c>
      <c r="E37" s="21">
        <f t="shared" si="1"/>
        <v>7.7</v>
      </c>
      <c r="F37" s="6">
        <f t="shared" si="3"/>
        <v>9.9100000000000008E-2</v>
      </c>
      <c r="G37" s="8">
        <f t="shared" si="4"/>
        <v>-4.329780187039117</v>
      </c>
      <c r="I37" s="6">
        <f t="shared" ca="1" si="2"/>
        <v>-18.63832172263028</v>
      </c>
      <c r="J37" s="6"/>
      <c r="K37" s="6">
        <f t="shared" si="5"/>
        <v>-2.2184369311260741</v>
      </c>
      <c r="M37" s="56">
        <v>4</v>
      </c>
      <c r="N37" s="56">
        <f t="shared" si="7"/>
        <v>4.1200000000000001E-2</v>
      </c>
      <c r="O37" s="56">
        <v>3.7</v>
      </c>
      <c r="P37" s="56">
        <f t="shared" si="6"/>
        <v>5.7900000000000007E-2</v>
      </c>
    </row>
    <row r="38" spans="4:16" x14ac:dyDescent="0.15">
      <c r="D38" s="44">
        <v>1844</v>
      </c>
      <c r="E38" s="21">
        <f t="shared" si="1"/>
        <v>8.1999999999999993</v>
      </c>
      <c r="F38" s="6">
        <f t="shared" si="3"/>
        <v>0.10730000000000001</v>
      </c>
      <c r="G38" s="8">
        <f t="shared" si="4"/>
        <v>-4.2491906001719473</v>
      </c>
      <c r="I38" s="6">
        <f t="shared" ca="1" si="2"/>
        <v>-17.655618597435023</v>
      </c>
      <c r="J38" s="6"/>
      <c r="K38" s="6">
        <f t="shared" si="5"/>
        <v>-2.1873105212630817</v>
      </c>
      <c r="M38" s="56">
        <v>4.4000000000000004</v>
      </c>
      <c r="N38" s="56">
        <f t="shared" si="7"/>
        <v>4.5600000000000002E-2</v>
      </c>
      <c r="O38" s="56">
        <v>3.8</v>
      </c>
      <c r="P38" s="56">
        <f t="shared" si="6"/>
        <v>6.1700000000000005E-2</v>
      </c>
    </row>
    <row r="39" spans="4:16" x14ac:dyDescent="0.15">
      <c r="D39" s="44">
        <v>1845</v>
      </c>
      <c r="E39" s="21">
        <f t="shared" si="1"/>
        <v>9.1000000000000014</v>
      </c>
      <c r="F39" s="6">
        <f t="shared" si="3"/>
        <v>0.1164</v>
      </c>
      <c r="G39" s="8">
        <f t="shared" si="4"/>
        <v>-4.1665752667934699</v>
      </c>
      <c r="I39" s="6">
        <f t="shared" ca="1" si="2"/>
        <v>-16.623077098636713</v>
      </c>
      <c r="J39" s="6"/>
      <c r="K39" s="6">
        <f t="shared" si="5"/>
        <v>-2.1550801272191138</v>
      </c>
      <c r="M39" s="56">
        <v>4.9000000000000004</v>
      </c>
      <c r="N39" s="56">
        <f t="shared" si="7"/>
        <v>5.0500000000000003E-2</v>
      </c>
      <c r="O39" s="56">
        <v>4.2</v>
      </c>
      <c r="P39" s="56">
        <f t="shared" si="6"/>
        <v>6.59E-2</v>
      </c>
    </row>
    <row r="40" spans="4:16" x14ac:dyDescent="0.15">
      <c r="D40" s="44">
        <v>1846</v>
      </c>
      <c r="E40" s="21">
        <f t="shared" si="1"/>
        <v>9.5</v>
      </c>
      <c r="F40" s="6">
        <f t="shared" si="3"/>
        <v>0.12590000000000001</v>
      </c>
      <c r="G40" s="8">
        <f t="shared" si="4"/>
        <v>-4.0868535951298952</v>
      </c>
      <c r="I40" s="6">
        <f t="shared" ca="1" si="2"/>
        <v>-15.661726833698822</v>
      </c>
      <c r="J40" s="6"/>
      <c r="K40" s="6">
        <f t="shared" si="5"/>
        <v>-2.1236630445038944</v>
      </c>
      <c r="M40" s="56">
        <v>5</v>
      </c>
      <c r="N40" s="56">
        <f t="shared" si="7"/>
        <v>5.5500000000000001E-2</v>
      </c>
      <c r="O40" s="56">
        <v>4.5</v>
      </c>
      <c r="P40" s="56">
        <f t="shared" si="6"/>
        <v>7.0400000000000004E-2</v>
      </c>
    </row>
    <row r="41" spans="4:16" x14ac:dyDescent="0.15">
      <c r="D41" s="44">
        <v>1847</v>
      </c>
      <c r="E41" s="21">
        <f t="shared" ref="E41:E72" si="8">SUM(M41,O41)</f>
        <v>10.9</v>
      </c>
      <c r="F41" s="6">
        <f t="shared" si="3"/>
        <v>0.1368</v>
      </c>
      <c r="G41" s="8">
        <f t="shared" si="4"/>
        <v>-4.0023666794392803</v>
      </c>
      <c r="I41" s="6">
        <f t="shared" ref="I41:I72" ca="1" si="9" xml:space="preserve"> G41*(F$2-E$2)/LN(81) + AVERAGE(E$2:F$2) - D41</f>
        <v>-14.583139781826048</v>
      </c>
      <c r="J41" s="6"/>
      <c r="K41" s="6">
        <f t="shared" si="5"/>
        <v>-2.0900220599159098</v>
      </c>
      <c r="M41" s="56">
        <v>5.7</v>
      </c>
      <c r="N41" s="56">
        <f t="shared" si="7"/>
        <v>6.1200000000000004E-2</v>
      </c>
      <c r="O41" s="56">
        <v>5.2</v>
      </c>
      <c r="P41" s="56">
        <f t="shared" si="6"/>
        <v>7.5600000000000001E-2</v>
      </c>
    </row>
    <row r="42" spans="4:16" x14ac:dyDescent="0.15">
      <c r="D42" s="44">
        <v>1848</v>
      </c>
      <c r="E42" s="21">
        <f t="shared" si="8"/>
        <v>8.9</v>
      </c>
      <c r="F42" s="6">
        <f t="shared" si="3"/>
        <v>0.1457</v>
      </c>
      <c r="G42" s="8">
        <f t="shared" si="4"/>
        <v>-3.93814749343167</v>
      </c>
      <c r="I42" s="6">
        <f t="shared" ca="1" si="9"/>
        <v>-14.003188999789472</v>
      </c>
      <c r="J42" s="6"/>
      <c r="K42" s="6">
        <f t="shared" si="5"/>
        <v>-2.0642081241063788</v>
      </c>
      <c r="M42" s="56">
        <v>4.9000000000000004</v>
      </c>
      <c r="N42" s="56">
        <f t="shared" si="7"/>
        <v>6.6100000000000006E-2</v>
      </c>
      <c r="O42" s="56">
        <v>4</v>
      </c>
      <c r="P42" s="56">
        <f t="shared" si="6"/>
        <v>7.9600000000000004E-2</v>
      </c>
    </row>
    <row r="43" spans="4:16" x14ac:dyDescent="0.15">
      <c r="D43" s="44">
        <v>1849</v>
      </c>
      <c r="E43" s="21">
        <f t="shared" si="8"/>
        <v>9.3000000000000007</v>
      </c>
      <c r="F43" s="6">
        <f t="shared" si="3"/>
        <v>0.155</v>
      </c>
      <c r="G43" s="8">
        <f t="shared" si="4"/>
        <v>-3.8750276385085276</v>
      </c>
      <c r="I43" s="6">
        <f t="shared" ca="1" si="9"/>
        <v>-13.45028448094331</v>
      </c>
      <c r="J43" s="6"/>
      <c r="K43" s="6">
        <f t="shared" si="5"/>
        <v>-2.0386274766130854</v>
      </c>
      <c r="M43" s="56">
        <v>5.3</v>
      </c>
      <c r="N43" s="56">
        <f t="shared" si="7"/>
        <v>7.1400000000000005E-2</v>
      </c>
      <c r="O43" s="56">
        <v>4</v>
      </c>
      <c r="P43" s="56">
        <f t="shared" si="6"/>
        <v>8.3600000000000008E-2</v>
      </c>
    </row>
    <row r="44" spans="4:16" x14ac:dyDescent="0.15">
      <c r="D44" s="44">
        <v>1850</v>
      </c>
      <c r="E44" s="21">
        <f t="shared" si="8"/>
        <v>10.199999999999999</v>
      </c>
      <c r="F44" s="6">
        <f t="shared" si="3"/>
        <v>0.16519999999999999</v>
      </c>
      <c r="G44" s="8">
        <f t="shared" si="4"/>
        <v>-3.8099292292957774</v>
      </c>
      <c r="I44" s="6">
        <f t="shared" ca="1" si="9"/>
        <v>-12.848702633848234</v>
      </c>
      <c r="J44" s="6"/>
      <c r="K44" s="6">
        <f t="shared" si="5"/>
        <v>-2.0120245646114956</v>
      </c>
      <c r="M44" s="56">
        <v>5.8</v>
      </c>
      <c r="N44" s="56">
        <f t="shared" si="7"/>
        <v>7.7200000000000005E-2</v>
      </c>
      <c r="O44" s="56">
        <v>4.4000000000000004</v>
      </c>
      <c r="P44" s="56">
        <f t="shared" si="6"/>
        <v>8.8000000000000009E-2</v>
      </c>
    </row>
    <row r="45" spans="4:16" x14ac:dyDescent="0.15">
      <c r="D45" s="44">
        <v>1851</v>
      </c>
      <c r="E45" s="21">
        <f t="shared" si="8"/>
        <v>10.7</v>
      </c>
      <c r="F45" s="6">
        <f t="shared" si="3"/>
        <v>0.17589999999999997</v>
      </c>
      <c r="G45" s="8">
        <f t="shared" si="4"/>
        <v>-3.7457347700183989</v>
      </c>
      <c r="I45" s="6">
        <f t="shared" ca="1" si="9"/>
        <v>-12.269360190521638</v>
      </c>
      <c r="J45" s="6"/>
      <c r="K45" s="6">
        <f t="shared" si="5"/>
        <v>-1.9855680760545305</v>
      </c>
      <c r="M45" s="56">
        <v>6.2</v>
      </c>
      <c r="N45" s="56">
        <f t="shared" si="7"/>
        <v>8.3400000000000002E-2</v>
      </c>
      <c r="O45" s="56">
        <v>4.5</v>
      </c>
      <c r="P45" s="56">
        <f t="shared" si="6"/>
        <v>9.2500000000000013E-2</v>
      </c>
    </row>
    <row r="46" spans="4:16" x14ac:dyDescent="0.15">
      <c r="D46" s="44">
        <v>1852</v>
      </c>
      <c r="E46" s="21">
        <f t="shared" si="8"/>
        <v>11.7</v>
      </c>
      <c r="F46" s="6">
        <f t="shared" si="3"/>
        <v>0.18759999999999996</v>
      </c>
      <c r="G46" s="8">
        <f t="shared" si="4"/>
        <v>-3.6797661792364362</v>
      </c>
      <c r="I46" s="6">
        <f t="shared" ca="1" si="9"/>
        <v>-11.646369724970555</v>
      </c>
      <c r="J46" s="6"/>
      <c r="K46" s="6">
        <f t="shared" si="5"/>
        <v>-1.9581456865466713</v>
      </c>
      <c r="M46" s="56">
        <v>6.8</v>
      </c>
      <c r="N46" s="56">
        <f t="shared" si="7"/>
        <v>9.0200000000000002E-2</v>
      </c>
      <c r="O46" s="56">
        <v>4.9000000000000004</v>
      </c>
      <c r="P46" s="56">
        <f t="shared" si="6"/>
        <v>9.7400000000000014E-2</v>
      </c>
    </row>
    <row r="47" spans="4:16" x14ac:dyDescent="0.15">
      <c r="D47" s="44">
        <v>1853</v>
      </c>
      <c r="E47" s="21">
        <f t="shared" si="8"/>
        <v>13.100000000000001</v>
      </c>
      <c r="F47" s="6">
        <f t="shared" si="3"/>
        <v>0.20069999999999996</v>
      </c>
      <c r="G47" s="8">
        <f t="shared" si="4"/>
        <v>-3.6105036886665864</v>
      </c>
      <c r="I47" s="6">
        <f t="shared" ca="1" si="9"/>
        <v>-10.942341179223149</v>
      </c>
      <c r="J47" s="6"/>
      <c r="K47" s="6">
        <f t="shared" si="5"/>
        <v>-1.9290934703687863</v>
      </c>
      <c r="M47" s="56">
        <v>7.2</v>
      </c>
      <c r="N47" s="56">
        <f t="shared" si="7"/>
        <v>9.74E-2</v>
      </c>
      <c r="O47" s="56">
        <v>5.9</v>
      </c>
      <c r="P47" s="56">
        <f t="shared" si="6"/>
        <v>0.10330000000000002</v>
      </c>
    </row>
    <row r="48" spans="4:16" x14ac:dyDescent="0.15">
      <c r="D48" s="44">
        <v>1854</v>
      </c>
      <c r="E48" s="21">
        <f t="shared" si="8"/>
        <v>14.7</v>
      </c>
      <c r="F48" s="6">
        <f t="shared" si="3"/>
        <v>0.21539999999999995</v>
      </c>
      <c r="G48" s="8">
        <f t="shared" si="4"/>
        <v>-3.537835838021294</v>
      </c>
      <c r="I48" s="6">
        <f t="shared" ca="1" si="9"/>
        <v>-10.154532354577896</v>
      </c>
      <c r="J48" s="6"/>
      <c r="K48" s="6">
        <f t="shared" si="5"/>
        <v>-1.8983206604170486</v>
      </c>
      <c r="M48" s="56">
        <v>7.9</v>
      </c>
      <c r="N48" s="56">
        <f t="shared" si="7"/>
        <v>0.1053</v>
      </c>
      <c r="O48" s="56">
        <v>6.8</v>
      </c>
      <c r="P48" s="56">
        <f t="shared" si="6"/>
        <v>0.11010000000000002</v>
      </c>
    </row>
    <row r="49" spans="4:16" x14ac:dyDescent="0.15">
      <c r="D49" s="44">
        <v>1855</v>
      </c>
      <c r="E49" s="21">
        <f t="shared" si="8"/>
        <v>15.9</v>
      </c>
      <c r="F49" s="6">
        <f t="shared" si="3"/>
        <v>0.23129999999999995</v>
      </c>
      <c r="G49" s="8">
        <f t="shared" si="4"/>
        <v>-3.4644684347411094</v>
      </c>
      <c r="I49" s="6">
        <f t="shared" ca="1" si="9"/>
        <v>-9.3495128052056771</v>
      </c>
      <c r="J49" s="6"/>
      <c r="K49" s="6">
        <f t="shared" si="5"/>
        <v>-1.8669423435930257</v>
      </c>
      <c r="M49" s="56">
        <v>8.4</v>
      </c>
      <c r="N49" s="56">
        <f t="shared" si="7"/>
        <v>0.11370000000000001</v>
      </c>
      <c r="O49" s="56">
        <v>7.5</v>
      </c>
      <c r="P49" s="56">
        <f t="shared" si="6"/>
        <v>0.11760000000000001</v>
      </c>
    </row>
    <row r="50" spans="4:16" x14ac:dyDescent="0.15">
      <c r="D50" s="44">
        <v>1856</v>
      </c>
      <c r="E50" s="21">
        <f t="shared" si="8"/>
        <v>16.100000000000001</v>
      </c>
      <c r="F50" s="6">
        <f t="shared" si="3"/>
        <v>0.24739999999999995</v>
      </c>
      <c r="G50" s="8">
        <f t="shared" si="4"/>
        <v>-3.3949972046946346</v>
      </c>
      <c r="I50" s="6">
        <f t="shared" ca="1" si="9"/>
        <v>-8.6403487521461102</v>
      </c>
      <c r="J50" s="6"/>
      <c r="K50" s="6">
        <f t="shared" si="5"/>
        <v>-1.8369386168869621</v>
      </c>
      <c r="M50" s="56">
        <v>8.1999999999999993</v>
      </c>
      <c r="N50" s="56">
        <f t="shared" si="7"/>
        <v>0.12190000000000001</v>
      </c>
      <c r="O50" s="56">
        <v>7.9</v>
      </c>
      <c r="P50" s="56">
        <f t="shared" si="6"/>
        <v>0.1255</v>
      </c>
    </row>
    <row r="51" spans="4:16" x14ac:dyDescent="0.15">
      <c r="D51" s="44">
        <v>1857</v>
      </c>
      <c r="E51" s="21">
        <f t="shared" si="8"/>
        <v>16.3</v>
      </c>
      <c r="F51" s="6">
        <f t="shared" si="3"/>
        <v>0.26369999999999993</v>
      </c>
      <c r="G51" s="8">
        <f t="shared" si="4"/>
        <v>-3.3289792935078668</v>
      </c>
      <c r="I51" s="6">
        <f t="shared" ca="1" si="9"/>
        <v>-8.0161448826734159</v>
      </c>
      <c r="J51" s="6"/>
      <c r="K51" s="6">
        <f t="shared" si="5"/>
        <v>-1.808158681389626</v>
      </c>
      <c r="M51" s="56">
        <v>8.4</v>
      </c>
      <c r="N51" s="56">
        <f t="shared" si="7"/>
        <v>0.1303</v>
      </c>
      <c r="O51" s="56">
        <v>7.9</v>
      </c>
      <c r="P51" s="56">
        <f t="shared" si="6"/>
        <v>0.13339999999999999</v>
      </c>
    </row>
    <row r="52" spans="4:16" x14ac:dyDescent="0.15">
      <c r="D52" s="44">
        <v>1858</v>
      </c>
      <c r="E52" s="21">
        <f t="shared" si="8"/>
        <v>16.3</v>
      </c>
      <c r="F52" s="6">
        <f t="shared" si="3"/>
        <v>0.27999999999999992</v>
      </c>
      <c r="G52" s="8">
        <f t="shared" si="4"/>
        <v>-3.2667846008856567</v>
      </c>
      <c r="I52" s="6">
        <f t="shared" ca="1" si="9"/>
        <v>-7.4860016442441975</v>
      </c>
      <c r="J52" s="6"/>
      <c r="K52" s="6">
        <f t="shared" si="5"/>
        <v>-1.7808028911565452</v>
      </c>
      <c r="M52" s="56">
        <v>8.9</v>
      </c>
      <c r="N52" s="56">
        <f t="shared" si="7"/>
        <v>0.13919999999999999</v>
      </c>
      <c r="O52" s="56">
        <v>7.4</v>
      </c>
      <c r="P52" s="56">
        <f t="shared" si="6"/>
        <v>0.14079999999999998</v>
      </c>
    </row>
    <row r="53" spans="4:16" x14ac:dyDescent="0.15">
      <c r="D53" s="44">
        <v>1859</v>
      </c>
      <c r="E53" s="21">
        <f t="shared" si="8"/>
        <v>16.7</v>
      </c>
      <c r="F53" s="6">
        <f t="shared" si="3"/>
        <v>0.29669999999999991</v>
      </c>
      <c r="G53" s="8">
        <f t="shared" si="4"/>
        <v>-3.2065759747015665</v>
      </c>
      <c r="I53" s="6">
        <f t="shared" ca="1" si="9"/>
        <v>-7.0047205514938469</v>
      </c>
      <c r="J53" s="6"/>
      <c r="K53" s="6">
        <f t="shared" si="5"/>
        <v>-1.7540930145894325</v>
      </c>
      <c r="M53" s="56">
        <v>9.1999999999999993</v>
      </c>
      <c r="N53" s="56">
        <f t="shared" si="7"/>
        <v>0.14839999999999998</v>
      </c>
      <c r="O53" s="56">
        <v>7.5</v>
      </c>
      <c r="P53" s="56">
        <f t="shared" si="6"/>
        <v>0.14829999999999999</v>
      </c>
    </row>
    <row r="54" spans="4:16" x14ac:dyDescent="0.15">
      <c r="D54" s="44">
        <v>1860</v>
      </c>
      <c r="E54" s="21">
        <f t="shared" si="8"/>
        <v>17.899999999999999</v>
      </c>
      <c r="F54" s="6">
        <f t="shared" si="3"/>
        <v>0.31459999999999988</v>
      </c>
      <c r="G54" s="8">
        <f t="shared" si="4"/>
        <v>-3.1455494447525965</v>
      </c>
      <c r="I54" s="6">
        <f t="shared" ca="1" si="9"/>
        <v>-6.5033170035505918</v>
      </c>
      <c r="J54" s="6"/>
      <c r="K54" s="6">
        <f t="shared" si="5"/>
        <v>-1.7267883846968086</v>
      </c>
      <c r="M54" s="56">
        <v>9.6</v>
      </c>
      <c r="N54" s="56">
        <f t="shared" si="7"/>
        <v>0.15799999999999997</v>
      </c>
      <c r="O54" s="56">
        <v>8.3000000000000007</v>
      </c>
      <c r="P54" s="56">
        <f t="shared" si="6"/>
        <v>0.15659999999999999</v>
      </c>
    </row>
    <row r="55" spans="4:16" x14ac:dyDescent="0.15">
      <c r="D55" s="44">
        <v>1861</v>
      </c>
      <c r="E55" s="21">
        <f t="shared" si="8"/>
        <v>19.5</v>
      </c>
      <c r="F55" s="6">
        <f t="shared" si="3"/>
        <v>0.3340999999999999</v>
      </c>
      <c r="G55" s="8">
        <f t="shared" si="4"/>
        <v>-3.0827395495007224</v>
      </c>
      <c r="I55" s="6">
        <f t="shared" ca="1" si="9"/>
        <v>-5.9580382591102534</v>
      </c>
      <c r="J55" s="6"/>
      <c r="K55" s="6">
        <f t="shared" si="5"/>
        <v>-1.6984384762701608</v>
      </c>
      <c r="M55" s="56">
        <v>10.1</v>
      </c>
      <c r="N55" s="56">
        <f t="shared" si="7"/>
        <v>0.16809999999999997</v>
      </c>
      <c r="O55" s="56">
        <v>9.4</v>
      </c>
      <c r="P55" s="56">
        <f t="shared" si="6"/>
        <v>0.16599999999999998</v>
      </c>
    </row>
    <row r="56" spans="4:16" x14ac:dyDescent="0.15">
      <c r="D56" s="44">
        <v>1862</v>
      </c>
      <c r="E56" s="21">
        <f t="shared" si="8"/>
        <v>20.200000000000003</v>
      </c>
      <c r="F56" s="6">
        <f t="shared" si="3"/>
        <v>0.35429999999999989</v>
      </c>
      <c r="G56" s="8">
        <f t="shared" si="4"/>
        <v>-3.021260902507783</v>
      </c>
      <c r="I56" s="6">
        <f t="shared" ca="1" si="9"/>
        <v>-5.4455115138548535</v>
      </c>
      <c r="J56" s="6"/>
      <c r="K56" s="6">
        <f t="shared" si="5"/>
        <v>-1.6704429547126332</v>
      </c>
      <c r="M56" s="56">
        <v>9.9</v>
      </c>
      <c r="N56" s="56">
        <f t="shared" si="7"/>
        <v>0.17799999999999996</v>
      </c>
      <c r="O56" s="56">
        <v>10.3</v>
      </c>
      <c r="P56" s="56">
        <f t="shared" si="6"/>
        <v>0.17629999999999998</v>
      </c>
    </row>
    <row r="57" spans="4:16" x14ac:dyDescent="0.15">
      <c r="D57" s="44">
        <v>1863</v>
      </c>
      <c r="E57" s="21">
        <f t="shared" si="8"/>
        <v>21</v>
      </c>
      <c r="F57" s="6">
        <f t="shared" si="3"/>
        <v>0.37529999999999991</v>
      </c>
      <c r="G57" s="8">
        <f t="shared" si="4"/>
        <v>-2.9607861360173531</v>
      </c>
      <c r="I57" s="6">
        <f t="shared" ca="1" si="9"/>
        <v>-4.9576827114358366</v>
      </c>
      <c r="J57" s="6"/>
      <c r="K57" s="6">
        <f t="shared" si="5"/>
        <v>-1.6426633470908916</v>
      </c>
      <c r="M57" s="56">
        <v>10.3</v>
      </c>
      <c r="N57" s="56">
        <f t="shared" si="7"/>
        <v>0.18829999999999997</v>
      </c>
      <c r="O57" s="56">
        <v>10.7</v>
      </c>
      <c r="P57" s="56">
        <f t="shared" si="6"/>
        <v>0.18699999999999997</v>
      </c>
    </row>
    <row r="58" spans="4:16" x14ac:dyDescent="0.15">
      <c r="D58" s="44">
        <v>1864</v>
      </c>
      <c r="E58" s="21">
        <f t="shared" si="8"/>
        <v>22.4</v>
      </c>
      <c r="F58" s="6">
        <f t="shared" si="3"/>
        <v>0.39769999999999989</v>
      </c>
      <c r="G58" s="8">
        <f t="shared" si="4"/>
        <v>-2.8997186928211582</v>
      </c>
      <c r="I58" s="6">
        <f t="shared" ca="1" si="9"/>
        <v>-4.4552725964376805</v>
      </c>
      <c r="J58" s="6"/>
      <c r="K58" s="6">
        <f t="shared" si="5"/>
        <v>-1.6143654609772036</v>
      </c>
      <c r="M58" s="56">
        <v>11.2</v>
      </c>
      <c r="N58" s="56">
        <f t="shared" si="7"/>
        <v>0.19949999999999996</v>
      </c>
      <c r="O58" s="56">
        <v>11.2</v>
      </c>
      <c r="P58" s="56">
        <f t="shared" si="6"/>
        <v>0.19819999999999996</v>
      </c>
    </row>
    <row r="59" spans="4:16" x14ac:dyDescent="0.15">
      <c r="D59" s="44">
        <v>1865</v>
      </c>
      <c r="E59" s="21">
        <f t="shared" si="8"/>
        <v>23.4</v>
      </c>
      <c r="F59" s="6">
        <f t="shared" si="3"/>
        <v>0.42109999999999986</v>
      </c>
      <c r="G59" s="8">
        <f t="shared" si="4"/>
        <v>-2.8393026702504911</v>
      </c>
      <c r="I59" s="6">
        <f t="shared" ca="1" si="9"/>
        <v>-3.9688890397112573</v>
      </c>
      <c r="J59" s="6"/>
      <c r="K59" s="6">
        <f t="shared" si="5"/>
        <v>-1.5861229977506845</v>
      </c>
      <c r="M59" s="56">
        <v>11.8</v>
      </c>
      <c r="N59" s="56">
        <f t="shared" si="7"/>
        <v>0.21129999999999996</v>
      </c>
      <c r="O59" s="56">
        <v>11.6</v>
      </c>
      <c r="P59" s="56">
        <f t="shared" si="6"/>
        <v>0.20979999999999996</v>
      </c>
    </row>
    <row r="60" spans="4:16" x14ac:dyDescent="0.15">
      <c r="D60" s="44">
        <v>1866</v>
      </c>
      <c r="E60" s="21">
        <f t="shared" si="8"/>
        <v>25.1</v>
      </c>
      <c r="F60" s="6">
        <f t="shared" si="3"/>
        <v>0.44619999999999987</v>
      </c>
      <c r="G60" s="8">
        <f t="shared" si="4"/>
        <v>-2.777914699346574</v>
      </c>
      <c r="I60" s="6">
        <f t="shared" ca="1" si="9"/>
        <v>-3.4585931504768723</v>
      </c>
      <c r="J60" s="6"/>
      <c r="K60" s="6">
        <f t="shared" si="5"/>
        <v>-1.5571719588065913</v>
      </c>
      <c r="M60" s="56">
        <v>12.8</v>
      </c>
      <c r="N60" s="56">
        <f t="shared" si="7"/>
        <v>0.22409999999999997</v>
      </c>
      <c r="O60" s="56">
        <v>12.3</v>
      </c>
      <c r="P60" s="56">
        <f t="shared" si="6"/>
        <v>0.22209999999999996</v>
      </c>
    </row>
    <row r="61" spans="4:16" x14ac:dyDescent="0.15">
      <c r="D61" s="44">
        <v>1867</v>
      </c>
      <c r="E61" s="21">
        <f t="shared" si="8"/>
        <v>25.5</v>
      </c>
      <c r="F61" s="6">
        <f t="shared" si="3"/>
        <v>0.4716999999999999</v>
      </c>
      <c r="G61" s="8">
        <f t="shared" si="4"/>
        <v>-2.7187796088059275</v>
      </c>
      <c r="I61" s="6">
        <f t="shared" ca="1" si="9"/>
        <v>-3.0037236892785586</v>
      </c>
      <c r="J61" s="6"/>
      <c r="K61" s="6">
        <f t="shared" si="5"/>
        <v>-1.5290381726081035</v>
      </c>
      <c r="M61" s="56">
        <v>12.8</v>
      </c>
      <c r="N61" s="56">
        <f t="shared" si="7"/>
        <v>0.23689999999999997</v>
      </c>
      <c r="O61" s="56">
        <v>12.7</v>
      </c>
      <c r="P61" s="56">
        <f t="shared" si="6"/>
        <v>0.23479999999999995</v>
      </c>
    </row>
    <row r="62" spans="4:16" x14ac:dyDescent="0.15">
      <c r="D62" s="44">
        <v>1868</v>
      </c>
      <c r="E62" s="21">
        <f t="shared" si="8"/>
        <v>25.6</v>
      </c>
      <c r="F62" s="6">
        <f t="shared" si="3"/>
        <v>0.49729999999999991</v>
      </c>
      <c r="G62" s="8">
        <f t="shared" si="4"/>
        <v>-2.6623434055094997</v>
      </c>
      <c r="I62" s="6">
        <f t="shared" ca="1" si="9"/>
        <v>-2.615253528308358</v>
      </c>
      <c r="J62" s="6"/>
      <c r="K62" s="6">
        <f t="shared" si="5"/>
        <v>-1.5019614539993078</v>
      </c>
      <c r="M62" s="56">
        <v>12.3</v>
      </c>
      <c r="N62" s="56">
        <f t="shared" si="7"/>
        <v>0.24919999999999998</v>
      </c>
      <c r="O62" s="56">
        <v>13.3</v>
      </c>
      <c r="P62" s="56">
        <f t="shared" si="6"/>
        <v>0.24809999999999996</v>
      </c>
    </row>
    <row r="63" spans="4:16" x14ac:dyDescent="0.15">
      <c r="D63" s="44">
        <v>1869</v>
      </c>
      <c r="E63" s="21">
        <f t="shared" si="8"/>
        <v>26.4</v>
      </c>
      <c r="F63" s="6">
        <f t="shared" si="3"/>
        <v>0.52369999999999994</v>
      </c>
      <c r="G63" s="8">
        <f t="shared" si="4"/>
        <v>-2.6069063644178683</v>
      </c>
      <c r="I63" s="6">
        <f t="shared" ca="1" si="9"/>
        <v>-2.2513652283830652</v>
      </c>
      <c r="J63" s="6"/>
      <c r="K63" s="6">
        <f t="shared" si="5"/>
        <v>-1.47514607873095</v>
      </c>
      <c r="M63" s="56">
        <v>12.9</v>
      </c>
      <c r="N63" s="56">
        <f t="shared" si="7"/>
        <v>0.2621</v>
      </c>
      <c r="O63" s="56">
        <v>13.5</v>
      </c>
      <c r="P63" s="56">
        <f t="shared" si="6"/>
        <v>0.26159999999999994</v>
      </c>
    </row>
    <row r="64" spans="4:16" x14ac:dyDescent="0.15">
      <c r="D64" s="44">
        <v>1870</v>
      </c>
      <c r="E64" s="21">
        <f t="shared" si="8"/>
        <v>27</v>
      </c>
      <c r="F64" s="6">
        <f t="shared" si="3"/>
        <v>0.55069999999999997</v>
      </c>
      <c r="G64" s="8">
        <f t="shared" si="4"/>
        <v>-2.5528250091623579</v>
      </c>
      <c r="I64" s="6">
        <f t="shared" ca="1" si="9"/>
        <v>-1.9208301524727176</v>
      </c>
      <c r="J64" s="6"/>
      <c r="K64" s="6">
        <f t="shared" si="5"/>
        <v>-1.4487762418179664</v>
      </c>
      <c r="M64" s="56">
        <v>13.7</v>
      </c>
      <c r="N64" s="56">
        <f t="shared" si="7"/>
        <v>0.27579999999999999</v>
      </c>
      <c r="O64" s="56">
        <v>13.3</v>
      </c>
      <c r="P64" s="56">
        <f t="shared" si="6"/>
        <v>0.27489999999999992</v>
      </c>
    </row>
    <row r="65" spans="4:16" x14ac:dyDescent="0.15">
      <c r="D65" s="44">
        <v>1871</v>
      </c>
      <c r="E65" s="21">
        <f t="shared" si="8"/>
        <v>27.1</v>
      </c>
      <c r="F65" s="6">
        <f t="shared" si="3"/>
        <v>0.57779999999999998</v>
      </c>
      <c r="G65" s="8">
        <f t="shared" si="4"/>
        <v>-2.5009484913586539</v>
      </c>
      <c r="I65" s="6">
        <f t="shared" ca="1" si="9"/>
        <v>-1.6445395301720964</v>
      </c>
      <c r="J65" s="6"/>
      <c r="K65" s="6">
        <f t="shared" si="5"/>
        <v>-1.4232846572849303</v>
      </c>
      <c r="M65" s="56">
        <v>13.8</v>
      </c>
      <c r="N65" s="56">
        <f t="shared" si="7"/>
        <v>0.28959999999999997</v>
      </c>
      <c r="O65" s="56">
        <v>13.3</v>
      </c>
      <c r="P65" s="56">
        <f t="shared" si="6"/>
        <v>0.2881999999999999</v>
      </c>
    </row>
    <row r="66" spans="4:16" x14ac:dyDescent="0.15">
      <c r="D66" s="44">
        <v>1872</v>
      </c>
      <c r="E66" s="21">
        <f t="shared" si="8"/>
        <v>31.5</v>
      </c>
      <c r="F66" s="6">
        <f t="shared" si="3"/>
        <v>0.60929999999999995</v>
      </c>
      <c r="G66" s="8">
        <f t="shared" si="4"/>
        <v>-2.4433847018962669</v>
      </c>
      <c r="I66" s="6">
        <f t="shared" ca="1" si="9"/>
        <v>-1.2283279611358466</v>
      </c>
      <c r="J66" s="6"/>
      <c r="K66" s="6">
        <f t="shared" si="5"/>
        <v>-1.3947709332873344</v>
      </c>
      <c r="M66" s="56">
        <v>15.7</v>
      </c>
      <c r="N66" s="56">
        <f t="shared" si="7"/>
        <v>0.30529999999999996</v>
      </c>
      <c r="O66" s="56">
        <v>15.8</v>
      </c>
      <c r="P66" s="56">
        <f t="shared" si="6"/>
        <v>0.30399999999999988</v>
      </c>
    </row>
    <row r="67" spans="4:16" x14ac:dyDescent="0.15">
      <c r="D67" s="44">
        <v>1873</v>
      </c>
      <c r="E67" s="21">
        <f t="shared" si="8"/>
        <v>33.299999999999997</v>
      </c>
      <c r="F67" s="6">
        <f t="shared" si="3"/>
        <v>0.64259999999999995</v>
      </c>
      <c r="G67" s="8">
        <f t="shared" si="4"/>
        <v>-2.3854142118125523</v>
      </c>
      <c r="I67" s="6">
        <f t="shared" ca="1" si="9"/>
        <v>-0.80211055109339213</v>
      </c>
      <c r="J67" s="6">
        <f ca="1">F$1/(1+EXP((AVERAGE(E$2:F$2)-D67)*LN(81)/(F$2-E$2)))</f>
        <v>0.66204646641972287</v>
      </c>
      <c r="K67" s="6">
        <f t="shared" si="5"/>
        <v>-1.3658119720011455</v>
      </c>
      <c r="M67" s="56">
        <v>15.8</v>
      </c>
      <c r="N67" s="56">
        <f t="shared" si="7"/>
        <v>0.32109999999999994</v>
      </c>
      <c r="O67" s="56">
        <v>17.5</v>
      </c>
      <c r="P67" s="56">
        <f t="shared" si="6"/>
        <v>0.3214999999999999</v>
      </c>
    </row>
    <row r="68" spans="4:16" x14ac:dyDescent="0.15">
      <c r="D68" s="44">
        <v>1874</v>
      </c>
      <c r="E68" s="21">
        <f t="shared" si="8"/>
        <v>31.599999999999998</v>
      </c>
      <c r="F68" s="6">
        <f t="shared" si="3"/>
        <v>0.67419999999999991</v>
      </c>
      <c r="G68" s="8">
        <f t="shared" si="4"/>
        <v>-2.3328729585409285</v>
      </c>
      <c r="I68" s="6">
        <f t="shared" ca="1" si="9"/>
        <v>-0.50946579247192858</v>
      </c>
      <c r="J68" s="6">
        <f ca="1">F$1/(1+EXP((AVERAGE(E$2:F$2)-D68)*LN(81)/(F$2-E$2)))</f>
        <v>0.68703551628744264</v>
      </c>
      <c r="K68" s="6">
        <f t="shared" si="5"/>
        <v>-1.3393522463703311</v>
      </c>
      <c r="M68" s="56">
        <v>14.7</v>
      </c>
      <c r="N68" s="56">
        <f t="shared" si="7"/>
        <v>0.33579999999999993</v>
      </c>
      <c r="O68" s="56">
        <v>16.899999999999999</v>
      </c>
      <c r="P68" s="56">
        <f t="shared" si="6"/>
        <v>0.33839999999999992</v>
      </c>
    </row>
    <row r="69" spans="4:16" x14ac:dyDescent="0.15">
      <c r="D69" s="44">
        <v>1875</v>
      </c>
      <c r="E69" s="21">
        <f t="shared" si="8"/>
        <v>32</v>
      </c>
      <c r="F69" s="6">
        <f t="shared" si="3"/>
        <v>0.70619999999999994</v>
      </c>
      <c r="G69" s="8">
        <f t="shared" si="4"/>
        <v>-2.2818858792586036</v>
      </c>
      <c r="I69" s="6">
        <f t="shared" ca="1" si="9"/>
        <v>-0.25505755727067481</v>
      </c>
      <c r="J69" s="6">
        <f ca="1">F$1/(1+EXP((AVERAGE(E$2:F$2)-D69)*LN(81)/(F$2-E$2)))</f>
        <v>0.7128711944120959</v>
      </c>
      <c r="K69" s="6">
        <f t="shared" si="5"/>
        <v>-1.3134803701114066</v>
      </c>
      <c r="M69" s="56">
        <v>15</v>
      </c>
      <c r="N69" s="56">
        <f t="shared" si="7"/>
        <v>0.35079999999999995</v>
      </c>
      <c r="O69" s="56">
        <v>17</v>
      </c>
      <c r="P69" s="56">
        <f t="shared" si="6"/>
        <v>0.35539999999999994</v>
      </c>
    </row>
    <row r="70" spans="4:16" x14ac:dyDescent="0.15">
      <c r="D70" s="44">
        <v>1876</v>
      </c>
      <c r="E70" s="21">
        <f t="shared" si="8"/>
        <v>31.400000000000002</v>
      </c>
      <c r="F70" s="6">
        <f t="shared" si="3"/>
        <v>0.73759999999999992</v>
      </c>
      <c r="G70" s="8">
        <f t="shared" si="4"/>
        <v>-2.2338330292712167</v>
      </c>
      <c r="I70" s="6">
        <f t="shared" ca="1" si="9"/>
        <v>-7.2838618717923964E-2</v>
      </c>
      <c r="J70" s="6">
        <f ca="1">F$1/(1+EXP((AVERAGE(E$2:F$2)-D70)*LN(81)/(F$2-E$2)))</f>
        <v>0.73957482576415701</v>
      </c>
      <c r="K70" s="6">
        <f t="shared" si="5"/>
        <v>-1.2889207507020572</v>
      </c>
      <c r="M70" s="56">
        <v>14.3</v>
      </c>
      <c r="N70" s="56">
        <f t="shared" si="7"/>
        <v>0.36509999999999992</v>
      </c>
      <c r="O70" s="56">
        <v>17.100000000000001</v>
      </c>
      <c r="P70" s="56">
        <f t="shared" si="6"/>
        <v>0.37249999999999994</v>
      </c>
    </row>
    <row r="71" spans="4:16" x14ac:dyDescent="0.15">
      <c r="D71" s="44">
        <v>1877</v>
      </c>
      <c r="E71" s="21">
        <f t="shared" si="8"/>
        <v>30.700000000000003</v>
      </c>
      <c r="F71" s="6">
        <f t="shared" si="3"/>
        <v>0.76829999999999987</v>
      </c>
      <c r="G71" s="8">
        <f t="shared" si="4"/>
        <v>-2.1885860814530966</v>
      </c>
      <c r="I71" s="6">
        <f t="shared" ca="1" si="9"/>
        <v>4.034818781588001E-2</v>
      </c>
      <c r="J71" s="6">
        <f ca="1">F$1/(1+EXP((AVERAGE(E$2:F$2)-D71)*LN(81)/(F$2-E$2)))</f>
        <v>0.76716771007999407</v>
      </c>
      <c r="K71" s="6">
        <f t="shared" si="5"/>
        <v>-1.2656378026007824</v>
      </c>
      <c r="M71" s="56">
        <v>13.9</v>
      </c>
      <c r="N71" s="56">
        <f t="shared" si="7"/>
        <v>0.37899999999999995</v>
      </c>
      <c r="O71" s="56">
        <v>16.8</v>
      </c>
      <c r="P71" s="56">
        <f t="shared" si="6"/>
        <v>0.38929999999999992</v>
      </c>
    </row>
    <row r="72" spans="4:16" x14ac:dyDescent="0.15">
      <c r="D72" s="44">
        <v>1878</v>
      </c>
      <c r="E72" s="21">
        <f t="shared" si="8"/>
        <v>31.9</v>
      </c>
      <c r="F72" s="6">
        <f t="shared" si="3"/>
        <v>0.80019999999999991</v>
      </c>
      <c r="G72" s="8">
        <f t="shared" si="4"/>
        <v>-2.1432404211377878</v>
      </c>
      <c r="I72" s="6">
        <f t="shared" ca="1" si="9"/>
        <v>0.15596356588434901</v>
      </c>
      <c r="J72" s="6">
        <f t="shared" ref="J72:J134" ca="1" si="10">F$1/(1+EXP((AVERAGE(E$2:F$2)-D72)*LN(81)/(F$2-E$2)))</f>
        <v>0.79567107125616932</v>
      </c>
      <c r="K72" s="6">
        <f t="shared" si="5"/>
        <v>-1.2421502719760424</v>
      </c>
      <c r="M72" s="56">
        <v>14.9</v>
      </c>
      <c r="N72" s="56">
        <f t="shared" si="7"/>
        <v>0.39389999999999997</v>
      </c>
      <c r="O72" s="56">
        <v>17</v>
      </c>
      <c r="P72" s="56">
        <f t="shared" si="6"/>
        <v>0.40629999999999994</v>
      </c>
    </row>
    <row r="73" spans="4:16" x14ac:dyDescent="0.15">
      <c r="D73" s="44">
        <v>1879</v>
      </c>
      <c r="E73" s="21">
        <f t="shared" ref="E73:E104" si="11">SUM(M73,O73)</f>
        <v>32.5</v>
      </c>
      <c r="F73" s="6">
        <f t="shared" si="3"/>
        <v>0.83269999999999988</v>
      </c>
      <c r="G73" s="8">
        <f t="shared" si="4"/>
        <v>-2.0986542307685263</v>
      </c>
      <c r="I73" s="6">
        <f t="shared" ref="I73:I104" ca="1" si="12" xml:space="preserve"> G73*(F$2-E$2)/LN(81) + AVERAGE(E$2:F$2) - D73</f>
        <v>0.25289410520304045</v>
      </c>
      <c r="J73" s="6">
        <f t="shared" ca="1" si="10"/>
        <v>0.82510600312284987</v>
      </c>
      <c r="K73" s="6">
        <f t="shared" si="5"/>
        <v>-1.218905513962212</v>
      </c>
      <c r="M73" s="56">
        <v>15.4</v>
      </c>
      <c r="N73" s="56">
        <f t="shared" si="7"/>
        <v>0.4093</v>
      </c>
      <c r="O73" s="56">
        <v>17.100000000000001</v>
      </c>
      <c r="P73" s="56">
        <f t="shared" si="6"/>
        <v>0.42339999999999994</v>
      </c>
    </row>
    <row r="74" spans="4:16" x14ac:dyDescent="0.15">
      <c r="D74" s="44">
        <v>1880</v>
      </c>
      <c r="E74" s="21">
        <f t="shared" si="11"/>
        <v>36.299999999999997</v>
      </c>
      <c r="F74" s="6">
        <f t="shared" ref="F74:F137" si="13">F73+E74/1000</f>
        <v>0.86899999999999988</v>
      </c>
      <c r="G74" s="8">
        <f t="shared" ref="G74:G137" si="14" xml:space="preserve"> -LN(F$1/F74-1)</f>
        <v>-2.0506247527268542</v>
      </c>
      <c r="I74" s="6">
        <f t="shared" ca="1" si="12"/>
        <v>0.43453803609554598</v>
      </c>
      <c r="J74" s="6">
        <f t="shared" ca="1" si="10"/>
        <v>0.8554934115401065</v>
      </c>
      <c r="K74" s="6">
        <f t="shared" ref="K74:K137" si="15">NORMSINV(F74/F$5)</f>
        <v>-1.1936980691241863</v>
      </c>
      <c r="M74" s="56">
        <v>16.899999999999999</v>
      </c>
      <c r="N74" s="56">
        <f t="shared" si="7"/>
        <v>0.42620000000000002</v>
      </c>
      <c r="O74" s="56">
        <v>19.399999999999999</v>
      </c>
      <c r="P74" s="56">
        <f t="shared" ref="P74:P137" si="16">P73+O74/1000</f>
        <v>0.44279999999999992</v>
      </c>
    </row>
    <row r="75" spans="4:16" x14ac:dyDescent="0.15">
      <c r="D75" s="44">
        <v>1881</v>
      </c>
      <c r="E75" s="21">
        <f t="shared" si="11"/>
        <v>36.700000000000003</v>
      </c>
      <c r="F75" s="6">
        <f t="shared" si="13"/>
        <v>0.90569999999999984</v>
      </c>
      <c r="G75" s="8">
        <f t="shared" si="14"/>
        <v>-2.003811543103569</v>
      </c>
      <c r="I75" s="6">
        <f t="shared" ca="1" si="12"/>
        <v>0.58625875621146406</v>
      </c>
      <c r="J75" s="6">
        <f t="shared" ca="1" si="10"/>
        <v>0.88685395277951451</v>
      </c>
      <c r="K75" s="6">
        <f t="shared" si="15"/>
        <v>-1.1689613609234406</v>
      </c>
      <c r="M75" s="56">
        <v>16.899999999999999</v>
      </c>
      <c r="N75" s="56">
        <f t="shared" si="7"/>
        <v>0.44310000000000005</v>
      </c>
      <c r="O75" s="56">
        <v>19.8</v>
      </c>
      <c r="P75" s="56">
        <f t="shared" si="16"/>
        <v>0.4625999999999999</v>
      </c>
    </row>
    <row r="76" spans="4:16" x14ac:dyDescent="0.15">
      <c r="D76" s="44">
        <v>1882</v>
      </c>
      <c r="E76" s="21">
        <f t="shared" si="11"/>
        <v>38.200000000000003</v>
      </c>
      <c r="F76" s="6">
        <f t="shared" si="13"/>
        <v>0.94389999999999985</v>
      </c>
      <c r="G76" s="8">
        <f t="shared" si="14"/>
        <v>-1.9567968466734809</v>
      </c>
      <c r="I76" s="6">
        <f t="shared" ca="1" si="12"/>
        <v>0.74293655002702508</v>
      </c>
      <c r="J76" s="6">
        <f t="shared" ca="1" si="10"/>
        <v>0.91920796817457251</v>
      </c>
      <c r="K76" s="6">
        <f t="shared" si="15"/>
        <v>-1.143951402365234</v>
      </c>
      <c r="M76" s="56">
        <v>17.600000000000001</v>
      </c>
      <c r="N76" s="56">
        <f t="shared" si="7"/>
        <v>0.46070000000000005</v>
      </c>
      <c r="O76" s="56">
        <v>20.6</v>
      </c>
      <c r="P76" s="56">
        <f t="shared" si="16"/>
        <v>0.48319999999999991</v>
      </c>
    </row>
    <row r="77" spans="4:16" x14ac:dyDescent="0.15">
      <c r="D77" s="44">
        <v>1883</v>
      </c>
      <c r="E77" s="21">
        <f t="shared" si="11"/>
        <v>39.5</v>
      </c>
      <c r="F77" s="6">
        <f t="shared" si="13"/>
        <v>0.98339999999999983</v>
      </c>
      <c r="G77" s="8">
        <f t="shared" si="14"/>
        <v>-1.9098700600799958</v>
      </c>
      <c r="H77" s="60"/>
      <c r="I77" s="6">
        <f t="shared" ca="1" si="12"/>
        <v>0.89745154447200548</v>
      </c>
      <c r="J77" s="6">
        <f t="shared" ca="1" si="10"/>
        <v>0.95257541504711563</v>
      </c>
      <c r="K77" s="6">
        <f t="shared" si="15"/>
        <v>-1.1188213966268767</v>
      </c>
      <c r="M77" s="56">
        <v>18.2</v>
      </c>
      <c r="N77" s="56">
        <f t="shared" si="7"/>
        <v>0.47890000000000005</v>
      </c>
      <c r="O77" s="56">
        <v>21.3</v>
      </c>
      <c r="P77" s="56">
        <f t="shared" si="16"/>
        <v>0.50449999999999995</v>
      </c>
    </row>
    <row r="78" spans="4:16" x14ac:dyDescent="0.15">
      <c r="D78" s="44">
        <v>1884</v>
      </c>
      <c r="E78" s="21">
        <f t="shared" si="11"/>
        <v>38.1</v>
      </c>
      <c r="F78" s="6">
        <f t="shared" si="13"/>
        <v>1.0214999999999999</v>
      </c>
      <c r="G78" s="8">
        <f t="shared" si="14"/>
        <v>-1.866104232039743</v>
      </c>
      <c r="H78" s="60"/>
      <c r="I78" s="6">
        <f t="shared" ca="1" si="12"/>
        <v>0.97419914184069967</v>
      </c>
      <c r="J78" s="6">
        <f t="shared" ca="1" si="10"/>
        <v>0.98697579394315993</v>
      </c>
      <c r="K78" s="6">
        <f t="shared" si="15"/>
        <v>-1.0952339214749736</v>
      </c>
      <c r="M78" s="56">
        <v>18.100000000000001</v>
      </c>
      <c r="N78" s="56">
        <f t="shared" si="7"/>
        <v>0.49700000000000005</v>
      </c>
      <c r="O78" s="56">
        <v>20</v>
      </c>
      <c r="P78" s="56">
        <f t="shared" si="16"/>
        <v>0.52449999999999997</v>
      </c>
    </row>
    <row r="79" spans="4:16" x14ac:dyDescent="0.15">
      <c r="D79" s="44">
        <v>1885</v>
      </c>
      <c r="E79" s="21">
        <f t="shared" si="11"/>
        <v>36.9</v>
      </c>
      <c r="F79" s="6">
        <f t="shared" si="13"/>
        <v>1.0583999999999998</v>
      </c>
      <c r="G79" s="8">
        <f t="shared" si="14"/>
        <v>-1.8250131609836255</v>
      </c>
      <c r="H79" s="66"/>
      <c r="I79" s="6">
        <f t="shared" ca="1" si="12"/>
        <v>0.98514110305040958</v>
      </c>
      <c r="J79" s="6">
        <f t="shared" ca="1" si="10"/>
        <v>1.0224280722405401</v>
      </c>
      <c r="K79" s="6">
        <f t="shared" si="15"/>
        <v>-1.07295612254303</v>
      </c>
      <c r="M79" s="56">
        <v>17.399999999999999</v>
      </c>
      <c r="N79" s="56">
        <f t="shared" si="7"/>
        <v>0.51440000000000008</v>
      </c>
      <c r="O79" s="56">
        <v>19.5</v>
      </c>
      <c r="P79" s="56">
        <f t="shared" si="16"/>
        <v>0.54399999999999993</v>
      </c>
    </row>
    <row r="80" spans="4:16" x14ac:dyDescent="0.15">
      <c r="D80" s="44">
        <v>1886</v>
      </c>
      <c r="E80" s="21">
        <f t="shared" si="11"/>
        <v>37.200000000000003</v>
      </c>
      <c r="F80" s="6">
        <f t="shared" si="13"/>
        <v>1.0955999999999997</v>
      </c>
      <c r="G80" s="8">
        <f t="shared" si="14"/>
        <v>-1.7847869167787931</v>
      </c>
      <c r="H80" s="62"/>
      <c r="I80" s="6">
        <f t="shared" ca="1" si="12"/>
        <v>0.97480618510689965</v>
      </c>
      <c r="J80" s="6">
        <f t="shared" ca="1" si="10"/>
        <v>1.058950604222286</v>
      </c>
      <c r="K80" s="6">
        <f t="shared" si="15"/>
        <v>-1.051023631805222</v>
      </c>
      <c r="M80" s="56">
        <v>17.3</v>
      </c>
      <c r="N80" s="56">
        <f t="shared" si="7"/>
        <v>0.53170000000000006</v>
      </c>
      <c r="O80" s="56">
        <v>19.899999999999999</v>
      </c>
      <c r="P80" s="56">
        <f t="shared" si="16"/>
        <v>0.56389999999999996</v>
      </c>
    </row>
    <row r="81" spans="4:16" x14ac:dyDescent="0.15">
      <c r="D81" s="44">
        <v>1887</v>
      </c>
      <c r="E81" s="21">
        <f t="shared" si="11"/>
        <v>39.700000000000003</v>
      </c>
      <c r="F81" s="6">
        <f t="shared" si="13"/>
        <v>1.1352999999999998</v>
      </c>
      <c r="G81" s="8">
        <f t="shared" si="14"/>
        <v>-1.7430920086649571</v>
      </c>
      <c r="H81" s="62"/>
      <c r="I81" s="6">
        <f t="shared" ca="1" si="12"/>
        <v>1.0006040311523066</v>
      </c>
      <c r="J81" s="6">
        <f t="shared" ca="1" si="10"/>
        <v>1.0965610477438728</v>
      </c>
      <c r="K81" s="6">
        <f t="shared" si="15"/>
        <v>-1.0281616004156628</v>
      </c>
      <c r="M81" s="56">
        <v>18.399999999999999</v>
      </c>
      <c r="N81" s="56">
        <f t="shared" si="7"/>
        <v>0.55010000000000003</v>
      </c>
      <c r="O81" s="56">
        <v>21.3</v>
      </c>
      <c r="P81" s="56">
        <f t="shared" si="16"/>
        <v>0.58519999999999994</v>
      </c>
    </row>
    <row r="82" spans="4:16" x14ac:dyDescent="0.15">
      <c r="D82" s="44">
        <v>1888</v>
      </c>
      <c r="E82" s="21">
        <f t="shared" si="11"/>
        <v>41.8</v>
      </c>
      <c r="F82" s="6">
        <f t="shared" si="13"/>
        <v>1.1770999999999998</v>
      </c>
      <c r="G82" s="8">
        <f t="shared" si="14"/>
        <v>-1.7004718730294002</v>
      </c>
      <c r="H82" s="60">
        <v>2.8627729143674867</v>
      </c>
      <c r="I82" s="6">
        <f t="shared" ca="1" si="12"/>
        <v>1.0491647622072833</v>
      </c>
      <c r="J82" s="6">
        <f t="shared" ca="1" si="10"/>
        <v>1.1352762776592511</v>
      </c>
      <c r="K82" s="6">
        <f t="shared" si="15"/>
        <v>-1.0046571154361896</v>
      </c>
      <c r="M82" s="56">
        <v>19.2</v>
      </c>
      <c r="N82" s="56">
        <f t="shared" si="7"/>
        <v>0.56930000000000003</v>
      </c>
      <c r="O82" s="56">
        <v>22.6</v>
      </c>
      <c r="P82" s="56">
        <f t="shared" si="16"/>
        <v>0.6077999999999999</v>
      </c>
    </row>
    <row r="83" spans="4:16" x14ac:dyDescent="0.15">
      <c r="D83" s="44">
        <v>1889</v>
      </c>
      <c r="E83" s="21">
        <f t="shared" si="11"/>
        <v>44.2</v>
      </c>
      <c r="F83" s="6">
        <f t="shared" si="13"/>
        <v>1.2212999999999998</v>
      </c>
      <c r="G83" s="8">
        <f t="shared" si="14"/>
        <v>-1.6567296665134259</v>
      </c>
      <c r="H83" s="60">
        <v>2.966379315927766</v>
      </c>
      <c r="I83" s="6">
        <f t="shared" ca="1" si="12"/>
        <v>1.1253312116655252</v>
      </c>
      <c r="J83" s="6">
        <f t="shared" ca="1" si="10"/>
        <v>1.1751122962097507</v>
      </c>
      <c r="K83" s="6">
        <f t="shared" si="15"/>
        <v>-0.98039224942515824</v>
      </c>
      <c r="M83" s="56">
        <v>19.899999999999999</v>
      </c>
      <c r="N83" s="56">
        <f t="shared" si="7"/>
        <v>0.58920000000000006</v>
      </c>
      <c r="O83" s="56">
        <v>24.3</v>
      </c>
      <c r="P83" s="56">
        <f t="shared" si="16"/>
        <v>0.63209999999999988</v>
      </c>
    </row>
    <row r="84" spans="4:16" x14ac:dyDescent="0.15">
      <c r="D84" s="44">
        <v>1890</v>
      </c>
      <c r="E84" s="21">
        <f t="shared" si="11"/>
        <v>46.5</v>
      </c>
      <c r="F84" s="6">
        <f t="shared" si="13"/>
        <v>1.2677999999999998</v>
      </c>
      <c r="G84" s="8">
        <f t="shared" si="14"/>
        <v>-1.6120728117778542</v>
      </c>
      <c r="H84" s="60">
        <v>3.1541571823683436</v>
      </c>
      <c r="I84" s="6">
        <f t="shared" ca="1" si="12"/>
        <v>1.2240002691398786</v>
      </c>
      <c r="J84" s="6">
        <f t="shared" ca="1" si="10"/>
        <v>1.2160841406214054</v>
      </c>
      <c r="K84" s="6">
        <f t="shared" si="15"/>
        <v>-0.95547270851531818</v>
      </c>
      <c r="M84" s="56">
        <v>20.399999999999999</v>
      </c>
      <c r="N84" s="56">
        <f t="shared" si="7"/>
        <v>0.60960000000000003</v>
      </c>
      <c r="O84" s="56">
        <v>26.1</v>
      </c>
      <c r="P84" s="56">
        <f t="shared" si="16"/>
        <v>0.6581999999999999</v>
      </c>
    </row>
    <row r="85" spans="4:16" x14ac:dyDescent="0.15">
      <c r="D85" s="44">
        <v>1891</v>
      </c>
      <c r="E85" s="21">
        <f t="shared" si="11"/>
        <v>45.7</v>
      </c>
      <c r="F85" s="6">
        <f t="shared" si="13"/>
        <v>1.3134999999999999</v>
      </c>
      <c r="G85" s="8">
        <f t="shared" si="14"/>
        <v>-1.5694442530819139</v>
      </c>
      <c r="H85" s="55">
        <v>3.3261577956011368</v>
      </c>
      <c r="I85" s="6">
        <f t="shared" ca="1" si="12"/>
        <v>1.2727682283095874</v>
      </c>
      <c r="J85" s="6">
        <f t="shared" ca="1" si="10"/>
        <v>1.2582057881997539</v>
      </c>
      <c r="K85" s="6">
        <f t="shared" si="15"/>
        <v>-0.93154689419935488</v>
      </c>
      <c r="M85" s="56">
        <v>19.7</v>
      </c>
      <c r="N85" s="56">
        <f t="shared" si="7"/>
        <v>0.62930000000000008</v>
      </c>
      <c r="O85" s="56">
        <v>26</v>
      </c>
      <c r="P85" s="56">
        <f t="shared" si="16"/>
        <v>0.68419999999999992</v>
      </c>
    </row>
    <row r="86" spans="4:16" x14ac:dyDescent="0.15">
      <c r="D86" s="44">
        <v>1892</v>
      </c>
      <c r="E86" s="21">
        <f t="shared" si="11"/>
        <v>45.8</v>
      </c>
      <c r="F86" s="6">
        <f t="shared" si="13"/>
        <v>1.3593</v>
      </c>
      <c r="G86" s="8">
        <f t="shared" si="14"/>
        <v>-1.52788496053533</v>
      </c>
      <c r="H86" s="55">
        <v>3.4594656158894193</v>
      </c>
      <c r="I86" s="6">
        <f t="shared" ca="1" si="12"/>
        <v>1.2952295960396896</v>
      </c>
      <c r="J86" s="6">
        <f t="shared" ca="1" si="10"/>
        <v>1.3014900592564338</v>
      </c>
      <c r="K86" s="6">
        <f t="shared" si="15"/>
        <v>-0.9080921385335069</v>
      </c>
      <c r="M86" s="56">
        <v>19.600000000000001</v>
      </c>
      <c r="N86" s="56">
        <f t="shared" si="7"/>
        <v>0.64890000000000003</v>
      </c>
      <c r="O86" s="56">
        <v>26.2</v>
      </c>
      <c r="P86" s="56">
        <f t="shared" si="16"/>
        <v>0.71039999999999992</v>
      </c>
    </row>
    <row r="87" spans="4:16" x14ac:dyDescent="0.15">
      <c r="D87" s="44">
        <v>1893</v>
      </c>
      <c r="E87" s="21">
        <f t="shared" si="11"/>
        <v>46.099999999999994</v>
      </c>
      <c r="F87" s="6">
        <f t="shared" si="13"/>
        <v>1.4054</v>
      </c>
      <c r="G87" s="8">
        <f t="shared" si="14"/>
        <v>-1.4871463984834119</v>
      </c>
      <c r="H87" s="55">
        <v>3.5526217217919784</v>
      </c>
      <c r="I87" s="6">
        <f t="shared" ca="1" si="12"/>
        <v>1.2974989640340482</v>
      </c>
      <c r="J87" s="6">
        <f t="shared" ca="1" si="10"/>
        <v>1.3459485182485431</v>
      </c>
      <c r="K87" s="6">
        <f t="shared" si="15"/>
        <v>-0.88497772366305094</v>
      </c>
      <c r="M87" s="56">
        <v>19.399999999999999</v>
      </c>
      <c r="N87" s="56">
        <f t="shared" si="7"/>
        <v>0.66830000000000001</v>
      </c>
      <c r="O87" s="56">
        <v>26.7</v>
      </c>
      <c r="P87" s="56">
        <f t="shared" si="16"/>
        <v>0.73709999999999987</v>
      </c>
    </row>
    <row r="88" spans="4:16" x14ac:dyDescent="0.15">
      <c r="D88" s="44">
        <v>1894</v>
      </c>
      <c r="E88" s="21">
        <f t="shared" si="11"/>
        <v>47.9</v>
      </c>
      <c r="F88" s="6">
        <f t="shared" si="13"/>
        <v>1.4533</v>
      </c>
      <c r="G88" s="8">
        <f t="shared" si="14"/>
        <v>-1.4458984148394878</v>
      </c>
      <c r="H88" s="55">
        <v>3.6410949934144585</v>
      </c>
      <c r="I88" s="6">
        <f t="shared" ca="1" si="12"/>
        <v>1.312301362929702</v>
      </c>
      <c r="J88" s="6">
        <f t="shared" ca="1" si="10"/>
        <v>1.3915913735594301</v>
      </c>
      <c r="K88" s="6">
        <f t="shared" si="15"/>
        <v>-0.86145129402842779</v>
      </c>
      <c r="M88" s="56">
        <v>20.5</v>
      </c>
      <c r="N88" s="56">
        <f t="shared" si="7"/>
        <v>0.68879999999999997</v>
      </c>
      <c r="O88" s="56">
        <v>27.4</v>
      </c>
      <c r="P88" s="56">
        <f t="shared" si="16"/>
        <v>0.76449999999999985</v>
      </c>
    </row>
    <row r="89" spans="4:16" x14ac:dyDescent="0.15">
      <c r="D89" s="44">
        <v>1895</v>
      </c>
      <c r="E89" s="21">
        <f t="shared" si="11"/>
        <v>48.5</v>
      </c>
      <c r="F89" s="6">
        <f t="shared" si="13"/>
        <v>1.5018</v>
      </c>
      <c r="G89" s="8">
        <f t="shared" si="14"/>
        <v>-1.4051794738842796</v>
      </c>
      <c r="H89" s="55">
        <v>3.7193288332738415</v>
      </c>
      <c r="I89" s="6">
        <f t="shared" ca="1" si="12"/>
        <v>1.3140880034245583</v>
      </c>
      <c r="J89" s="6">
        <f t="shared" ca="1" si="10"/>
        <v>1.4384273763977615</v>
      </c>
      <c r="K89" s="6">
        <f t="shared" si="15"/>
        <v>-0.83810627177901631</v>
      </c>
      <c r="M89" s="56">
        <v>20.5</v>
      </c>
      <c r="N89" s="56">
        <f t="shared" si="7"/>
        <v>0.70929999999999993</v>
      </c>
      <c r="O89" s="56">
        <v>28</v>
      </c>
      <c r="P89" s="56">
        <f t="shared" si="16"/>
        <v>0.79249999999999987</v>
      </c>
    </row>
    <row r="90" spans="4:16" x14ac:dyDescent="0.15">
      <c r="D90" s="44">
        <v>1896</v>
      </c>
      <c r="E90" s="21">
        <f t="shared" si="11"/>
        <v>50.5</v>
      </c>
      <c r="F90" s="6">
        <f t="shared" si="13"/>
        <v>1.5523</v>
      </c>
      <c r="G90" s="8">
        <f t="shared" si="14"/>
        <v>-1.3638226373913416</v>
      </c>
      <c r="H90" s="55">
        <v>3.8090462973311645</v>
      </c>
      <c r="I90" s="6">
        <f t="shared" ca="1" si="12"/>
        <v>1.3315684515857811</v>
      </c>
      <c r="J90" s="6">
        <f t="shared" ca="1" si="10"/>
        <v>1.4864637193398846</v>
      </c>
      <c r="K90" s="6">
        <f t="shared" si="15"/>
        <v>-0.81427430721134375</v>
      </c>
      <c r="M90" s="56">
        <v>21.3</v>
      </c>
      <c r="N90" s="56">
        <f t="shared" ref="N90:N153" si="17">N89+M90/1000</f>
        <v>0.73059999999999992</v>
      </c>
      <c r="O90" s="56">
        <v>29.2</v>
      </c>
      <c r="P90" s="56">
        <f t="shared" si="16"/>
        <v>0.82169999999999987</v>
      </c>
    </row>
    <row r="91" spans="4:16" x14ac:dyDescent="0.15">
      <c r="D91" s="44">
        <v>1897</v>
      </c>
      <c r="E91" s="21">
        <f t="shared" si="11"/>
        <v>52.3</v>
      </c>
      <c r="F91" s="6">
        <f t="shared" si="13"/>
        <v>1.6046</v>
      </c>
      <c r="G91" s="8">
        <f t="shared" si="14"/>
        <v>-1.3220341096501151</v>
      </c>
      <c r="H91" s="55">
        <v>3.9166011651737871</v>
      </c>
      <c r="I91" s="6">
        <f t="shared" ca="1" si="12"/>
        <v>1.3596695719747913</v>
      </c>
      <c r="J91" s="6">
        <f t="shared" ca="1" si="10"/>
        <v>1.5357059350880422</v>
      </c>
      <c r="K91" s="6">
        <f t="shared" si="15"/>
        <v>-0.79007080932523888</v>
      </c>
      <c r="M91" s="56">
        <v>21.5</v>
      </c>
      <c r="N91" s="56">
        <f t="shared" si="17"/>
        <v>0.75209999999999988</v>
      </c>
      <c r="O91" s="56">
        <v>30.8</v>
      </c>
      <c r="P91" s="56">
        <f t="shared" si="16"/>
        <v>0.85249999999999992</v>
      </c>
    </row>
    <row r="92" spans="4:16" x14ac:dyDescent="0.15">
      <c r="D92" s="44">
        <v>1898</v>
      </c>
      <c r="E92" s="21">
        <f t="shared" si="11"/>
        <v>54.5</v>
      </c>
      <c r="F92" s="6">
        <f t="shared" si="13"/>
        <v>1.6591</v>
      </c>
      <c r="G92" s="8">
        <f t="shared" si="14"/>
        <v>-1.2795373101066596</v>
      </c>
      <c r="H92" s="55">
        <v>4.049658321323478</v>
      </c>
      <c r="I92" s="6">
        <f t="shared" ca="1" si="12"/>
        <v>1.4051959301689294</v>
      </c>
      <c r="J92" s="6">
        <f t="shared" ca="1" si="10"/>
        <v>1.5861577960632256</v>
      </c>
      <c r="K92" s="6">
        <f t="shared" si="15"/>
        <v>-0.76533202544413914</v>
      </c>
      <c r="M92" s="56">
        <v>22.1</v>
      </c>
      <c r="N92" s="56">
        <f t="shared" si="17"/>
        <v>0.77419999999999989</v>
      </c>
      <c r="O92" s="56">
        <v>32.4</v>
      </c>
      <c r="P92" s="56">
        <f t="shared" si="16"/>
        <v>0.88489999999999991</v>
      </c>
    </row>
    <row r="93" spans="4:16" x14ac:dyDescent="0.15">
      <c r="D93" s="44">
        <v>1899</v>
      </c>
      <c r="E93" s="21">
        <f t="shared" si="11"/>
        <v>55</v>
      </c>
      <c r="F93" s="6">
        <f t="shared" si="13"/>
        <v>1.7141</v>
      </c>
      <c r="G93" s="8">
        <f t="shared" si="14"/>
        <v>-1.2376603133968822</v>
      </c>
      <c r="H93" s="55">
        <v>4.1878053009911111</v>
      </c>
      <c r="I93" s="6">
        <f t="shared" ca="1" si="12"/>
        <v>1.4354736059574407</v>
      </c>
      <c r="J93" s="6">
        <f t="shared" ca="1" si="10"/>
        <v>1.6378212154956342</v>
      </c>
      <c r="K93" s="6">
        <f t="shared" si="15"/>
        <v>-0.74083229622471003</v>
      </c>
      <c r="M93" s="56">
        <v>22.1</v>
      </c>
      <c r="N93" s="56">
        <f t="shared" si="17"/>
        <v>0.7962999999999999</v>
      </c>
      <c r="O93" s="56">
        <v>32.9</v>
      </c>
      <c r="P93" s="56">
        <f t="shared" si="16"/>
        <v>0.91779999999999995</v>
      </c>
    </row>
    <row r="94" spans="4:16" x14ac:dyDescent="0.15">
      <c r="D94" s="44">
        <v>1900</v>
      </c>
      <c r="E94" s="21">
        <f t="shared" si="11"/>
        <v>56.9</v>
      </c>
      <c r="F94" s="6">
        <f t="shared" si="13"/>
        <v>1.7709999999999999</v>
      </c>
      <c r="G94" s="8">
        <f t="shared" si="14"/>
        <v>-1.1953287736451339</v>
      </c>
      <c r="H94" s="55">
        <v>4.3368938447963874</v>
      </c>
      <c r="I94" s="6">
        <f t="shared" ca="1" si="12"/>
        <v>1.4769341646083376</v>
      </c>
      <c r="J94" s="6">
        <f t="shared" ca="1" si="10"/>
        <v>1.6906961507170664</v>
      </c>
      <c r="K94" s="6">
        <f t="shared" si="15"/>
        <v>-0.71594557541773551</v>
      </c>
      <c r="M94" s="56">
        <v>23.5</v>
      </c>
      <c r="N94" s="56">
        <f t="shared" si="17"/>
        <v>0.81979999999999986</v>
      </c>
      <c r="O94" s="56">
        <v>33.4</v>
      </c>
      <c r="P94" s="56">
        <f t="shared" si="16"/>
        <v>0.95119999999999993</v>
      </c>
    </row>
    <row r="95" spans="4:16" x14ac:dyDescent="0.15">
      <c r="D95" s="44">
        <v>1901</v>
      </c>
      <c r="E95" s="21">
        <f t="shared" si="11"/>
        <v>54.5</v>
      </c>
      <c r="F95" s="6">
        <f t="shared" si="13"/>
        <v>1.8254999999999999</v>
      </c>
      <c r="G95" s="8">
        <f t="shared" si="14"/>
        <v>-1.155663360041246</v>
      </c>
      <c r="H95" s="55">
        <v>4.448332157799511</v>
      </c>
      <c r="I95" s="6">
        <f t="shared" ca="1" si="12"/>
        <v>1.4528014270154017</v>
      </c>
      <c r="J95" s="6">
        <f t="shared" ca="1" si="10"/>
        <v>1.7447805093972719</v>
      </c>
      <c r="K95" s="6">
        <f t="shared" si="15"/>
        <v>-0.6925175038371344</v>
      </c>
      <c r="M95" s="56">
        <v>22.2</v>
      </c>
      <c r="N95" s="56">
        <f t="shared" si="17"/>
        <v>0.84199999999999986</v>
      </c>
      <c r="O95" s="56">
        <v>32.299999999999997</v>
      </c>
      <c r="P95" s="56">
        <f t="shared" si="16"/>
        <v>0.98349999999999993</v>
      </c>
    </row>
    <row r="96" spans="4:16" x14ac:dyDescent="0.15">
      <c r="D96" s="44">
        <v>1902</v>
      </c>
      <c r="E96" s="21">
        <f t="shared" si="11"/>
        <v>52.9</v>
      </c>
      <c r="F96" s="6">
        <f t="shared" si="13"/>
        <v>1.8783999999999998</v>
      </c>
      <c r="G96" s="8">
        <f t="shared" si="14"/>
        <v>-1.1179312577418146</v>
      </c>
      <c r="H96" s="55">
        <v>4.5077729839720808</v>
      </c>
      <c r="I96" s="6">
        <f t="shared" ca="1" si="12"/>
        <v>1.3811044504886922</v>
      </c>
      <c r="J96" s="6">
        <f t="shared" ca="1" si="10"/>
        <v>1.8000700594994705</v>
      </c>
      <c r="K96" s="6">
        <f t="shared" si="15"/>
        <v>-0.67013523629953431</v>
      </c>
      <c r="M96" s="56">
        <v>22.9</v>
      </c>
      <c r="N96" s="56">
        <f t="shared" si="17"/>
        <v>0.86489999999999989</v>
      </c>
      <c r="O96" s="56">
        <v>30</v>
      </c>
      <c r="P96" s="56">
        <f t="shared" si="16"/>
        <v>1.0134999999999998</v>
      </c>
    </row>
    <row r="97" spans="4:16" x14ac:dyDescent="0.15">
      <c r="D97" s="44">
        <v>1903</v>
      </c>
      <c r="E97" s="21">
        <f t="shared" si="11"/>
        <v>58.7</v>
      </c>
      <c r="F97" s="6">
        <f t="shared" si="13"/>
        <v>1.9370999999999998</v>
      </c>
      <c r="G97" s="8">
        <f t="shared" si="14"/>
        <v>-1.0768896847569829</v>
      </c>
      <c r="H97" s="55">
        <v>4.5830069820546546</v>
      </c>
      <c r="I97" s="6">
        <f t="shared" ca="1" si="12"/>
        <v>1.3908286367422988</v>
      </c>
      <c r="J97" s="6">
        <f t="shared" ca="1" si="10"/>
        <v>1.8565583437580215</v>
      </c>
      <c r="K97" s="6">
        <f t="shared" si="15"/>
        <v>-0.64568527848435964</v>
      </c>
      <c r="M97" s="56">
        <v>23.8</v>
      </c>
      <c r="N97" s="56">
        <f t="shared" si="17"/>
        <v>0.88869999999999993</v>
      </c>
      <c r="O97" s="56">
        <v>34.9</v>
      </c>
      <c r="P97" s="56">
        <f t="shared" si="16"/>
        <v>1.0483999999999998</v>
      </c>
    </row>
    <row r="98" spans="4:16" x14ac:dyDescent="0.15">
      <c r="D98" s="44">
        <v>1904</v>
      </c>
      <c r="E98" s="21">
        <f t="shared" si="11"/>
        <v>58.400000000000006</v>
      </c>
      <c r="F98" s="6">
        <f t="shared" si="13"/>
        <v>1.9954999999999998</v>
      </c>
      <c r="G98" s="8">
        <f t="shared" si="14"/>
        <v>-1.0368638738265252</v>
      </c>
      <c r="H98" s="55">
        <v>4.6563488116897931</v>
      </c>
      <c r="I98" s="6">
        <f t="shared" ca="1" si="12"/>
        <v>1.3755625646017506</v>
      </c>
      <c r="J98" s="6">
        <f t="shared" ca="1" si="10"/>
        <v>1.9142365995027104</v>
      </c>
      <c r="K98" s="6">
        <f t="shared" si="15"/>
        <v>-0.62173746739106805</v>
      </c>
      <c r="M98" s="56">
        <v>24.2</v>
      </c>
      <c r="N98" s="56">
        <f t="shared" si="17"/>
        <v>0.91289999999999993</v>
      </c>
      <c r="O98" s="56">
        <v>34.200000000000003</v>
      </c>
      <c r="P98" s="56">
        <f t="shared" si="16"/>
        <v>1.0825999999999998</v>
      </c>
    </row>
    <row r="99" spans="4:16" x14ac:dyDescent="0.15">
      <c r="D99" s="44">
        <v>1905</v>
      </c>
      <c r="E99" s="21">
        <f t="shared" si="11"/>
        <v>59.2</v>
      </c>
      <c r="F99" s="6">
        <f t="shared" si="13"/>
        <v>2.0547</v>
      </c>
      <c r="G99" s="8">
        <f t="shared" si="14"/>
        <v>-0.99705416562655547</v>
      </c>
      <c r="H99" s="55">
        <v>4.7270405516313465</v>
      </c>
      <c r="I99" s="6">
        <f t="shared" ca="1" si="12"/>
        <v>1.354979830895445</v>
      </c>
      <c r="J99" s="6">
        <f t="shared" ca="1" si="10"/>
        <v>1.9730936846684495</v>
      </c>
      <c r="K99" s="6">
        <f t="shared" si="15"/>
        <v>-0.59782013760798569</v>
      </c>
      <c r="M99" s="56">
        <v>23.3</v>
      </c>
      <c r="N99" s="56">
        <f t="shared" si="17"/>
        <v>0.93619999999999992</v>
      </c>
      <c r="O99" s="56">
        <v>35.9</v>
      </c>
      <c r="P99" s="56">
        <f t="shared" si="16"/>
        <v>1.1184999999999998</v>
      </c>
    </row>
    <row r="100" spans="4:16" x14ac:dyDescent="0.15">
      <c r="D100" s="44">
        <v>1906</v>
      </c>
      <c r="E100" s="21">
        <f t="shared" si="11"/>
        <v>59.300000000000004</v>
      </c>
      <c r="F100" s="6">
        <f t="shared" si="13"/>
        <v>2.1139999999999999</v>
      </c>
      <c r="G100" s="8">
        <f t="shared" si="14"/>
        <v>-0.95789646178658594</v>
      </c>
      <c r="H100" s="55">
        <v>4.789748347847981</v>
      </c>
      <c r="I100" s="6">
        <f t="shared" ca="1" si="12"/>
        <v>1.3183561776056649</v>
      </c>
      <c r="J100" s="6">
        <f t="shared" ca="1" si="10"/>
        <v>2.0331160108354882</v>
      </c>
      <c r="K100" s="6">
        <f t="shared" si="15"/>
        <v>-0.57420045705021894</v>
      </c>
      <c r="M100" s="56">
        <v>25.1</v>
      </c>
      <c r="N100" s="56">
        <f t="shared" si="17"/>
        <v>0.96129999999999993</v>
      </c>
      <c r="O100" s="56">
        <v>34.200000000000003</v>
      </c>
      <c r="P100" s="56">
        <f t="shared" si="16"/>
        <v>1.1526999999999998</v>
      </c>
    </row>
    <row r="101" spans="4:16" x14ac:dyDescent="0.15">
      <c r="D101" s="44">
        <v>1907</v>
      </c>
      <c r="E101" s="21">
        <f t="shared" si="11"/>
        <v>62.099999999999994</v>
      </c>
      <c r="F101" s="6">
        <f t="shared" si="13"/>
        <v>2.1760999999999999</v>
      </c>
      <c r="G101" s="8">
        <f t="shared" si="14"/>
        <v>-0.91760867209893937</v>
      </c>
      <c r="H101" s="55">
        <v>4.8605696651600878</v>
      </c>
      <c r="I101" s="6">
        <f t="shared" ca="1" si="12"/>
        <v>1.3095354307338312</v>
      </c>
      <c r="J101" s="6">
        <f t="shared" ca="1" si="10"/>
        <v>2.0942874841427352</v>
      </c>
      <c r="K101" s="6">
        <f t="shared" si="15"/>
        <v>-0.54980400066591695</v>
      </c>
      <c r="M101" s="56">
        <v>25.3</v>
      </c>
      <c r="N101" s="56">
        <f t="shared" si="17"/>
        <v>0.98659999999999992</v>
      </c>
      <c r="O101" s="56">
        <v>36.799999999999997</v>
      </c>
      <c r="P101" s="56">
        <f t="shared" si="16"/>
        <v>1.1894999999999998</v>
      </c>
    </row>
    <row r="102" spans="4:16" x14ac:dyDescent="0.15">
      <c r="D102" s="44">
        <v>1908</v>
      </c>
      <c r="E102" s="21">
        <f t="shared" si="11"/>
        <v>60.5</v>
      </c>
      <c r="F102" s="6">
        <f t="shared" si="13"/>
        <v>2.2366000000000001</v>
      </c>
      <c r="G102" s="8">
        <f t="shared" si="14"/>
        <v>-0.87901780082509118</v>
      </c>
      <c r="H102" s="55">
        <v>4.9204733986645417</v>
      </c>
      <c r="I102" s="6">
        <f t="shared" ca="1" si="12"/>
        <v>1.2589662946093085</v>
      </c>
      <c r="J102" s="6">
        <f t="shared" ca="1" si="10"/>
        <v>2.1565894549047631</v>
      </c>
      <c r="K102" s="6">
        <f t="shared" si="15"/>
        <v>-0.52634688408011909</v>
      </c>
      <c r="M102" s="56">
        <v>23.1</v>
      </c>
      <c r="N102" s="56">
        <f t="shared" si="17"/>
        <v>1.0096999999999998</v>
      </c>
      <c r="O102" s="56">
        <v>37.4</v>
      </c>
      <c r="P102" s="56">
        <f t="shared" si="16"/>
        <v>1.2268999999999999</v>
      </c>
    </row>
    <row r="103" spans="4:16" x14ac:dyDescent="0.15">
      <c r="D103" s="44">
        <v>1909</v>
      </c>
      <c r="E103" s="21">
        <f t="shared" si="11"/>
        <v>62.9</v>
      </c>
      <c r="F103" s="6">
        <f t="shared" si="13"/>
        <v>2.2995000000000001</v>
      </c>
      <c r="G103" s="8">
        <f t="shared" si="14"/>
        <v>-0.83953782271777666</v>
      </c>
      <c r="H103" s="55">
        <v>4.982600576358279</v>
      </c>
      <c r="I103" s="6">
        <f t="shared" ca="1" si="12"/>
        <v>1.2302713852411671</v>
      </c>
      <c r="J103" s="6">
        <f t="shared" ca="1" si="10"/>
        <v>2.220000676740908</v>
      </c>
      <c r="K103" s="6">
        <f t="shared" si="15"/>
        <v>-0.50226234167214789</v>
      </c>
      <c r="M103" s="56">
        <v>25.1</v>
      </c>
      <c r="N103" s="56">
        <f t="shared" si="17"/>
        <v>1.0347999999999997</v>
      </c>
      <c r="O103" s="56">
        <v>37.799999999999997</v>
      </c>
      <c r="P103" s="56">
        <f t="shared" si="16"/>
        <v>1.2646999999999999</v>
      </c>
    </row>
    <row r="104" spans="4:16" x14ac:dyDescent="0.15">
      <c r="D104" s="44">
        <v>1910</v>
      </c>
      <c r="E104" s="21">
        <f t="shared" si="11"/>
        <v>63.9</v>
      </c>
      <c r="F104" s="6">
        <f t="shared" si="13"/>
        <v>2.3633999999999999</v>
      </c>
      <c r="G104" s="8">
        <f t="shared" si="14"/>
        <v>-0.8000534641833198</v>
      </c>
      <c r="H104" s="55">
        <v>5.0470500763489889</v>
      </c>
      <c r="I104" s="6">
        <f t="shared" ca="1" si="12"/>
        <v>1.2016842452130732</v>
      </c>
      <c r="J104" s="6">
        <f t="shared" ca="1" si="10"/>
        <v>2.2844972759920075</v>
      </c>
      <c r="K104" s="6">
        <f t="shared" si="15"/>
        <v>-0.47808959611464458</v>
      </c>
      <c r="M104" s="56">
        <v>25.5</v>
      </c>
      <c r="N104" s="56">
        <f t="shared" si="17"/>
        <v>1.0602999999999998</v>
      </c>
      <c r="O104" s="56">
        <v>38.4</v>
      </c>
      <c r="P104" s="56">
        <f t="shared" si="16"/>
        <v>1.3030999999999999</v>
      </c>
    </row>
    <row r="105" spans="4:16" x14ac:dyDescent="0.15">
      <c r="D105" s="44">
        <v>1911</v>
      </c>
      <c r="E105" s="21">
        <f t="shared" ref="E105:E136" si="18">SUM(M105,O105)</f>
        <v>63.800000000000004</v>
      </c>
      <c r="F105" s="6">
        <f t="shared" si="13"/>
        <v>2.4272</v>
      </c>
      <c r="G105" s="8">
        <f t="shared" si="14"/>
        <v>-0.76121324822012693</v>
      </c>
      <c r="H105" s="55">
        <v>5.1082928961964642</v>
      </c>
      <c r="I105" s="6">
        <f t="shared" ref="I105:I136" ca="1" si="19" xml:space="preserve"> G105*(F$2-E$2)/LN(81) + AVERAGE(E$2:F$2) - D105</f>
        <v>1.1572496050455356</v>
      </c>
      <c r="J105" s="6">
        <f t="shared" ca="1" si="10"/>
        <v>2.3500527321564744</v>
      </c>
      <c r="K105" s="6">
        <f t="shared" si="15"/>
        <v>-0.45423025084048502</v>
      </c>
      <c r="M105" s="56">
        <v>24.6</v>
      </c>
      <c r="N105" s="56">
        <f t="shared" si="17"/>
        <v>1.0848999999999998</v>
      </c>
      <c r="O105" s="56">
        <v>39.200000000000003</v>
      </c>
      <c r="P105" s="56">
        <f t="shared" si="16"/>
        <v>1.3422999999999998</v>
      </c>
    </row>
    <row r="106" spans="4:16" x14ac:dyDescent="0.15">
      <c r="D106" s="44">
        <v>1912</v>
      </c>
      <c r="E106" s="21">
        <f t="shared" si="18"/>
        <v>65.599999999999994</v>
      </c>
      <c r="F106" s="6">
        <f t="shared" si="13"/>
        <v>2.4927999999999999</v>
      </c>
      <c r="G106" s="8">
        <f t="shared" si="14"/>
        <v>-0.7218403300466022</v>
      </c>
      <c r="H106" s="55">
        <v>5.1721682925218015</v>
      </c>
      <c r="I106" s="6">
        <f t="shared" ca="1" si="19"/>
        <v>1.1259207565601628</v>
      </c>
      <c r="J106" s="6">
        <f t="shared" ca="1" si="10"/>
        <v>2.4166378700222753</v>
      </c>
      <c r="K106" s="6">
        <f t="shared" si="15"/>
        <v>-0.4299643494454885</v>
      </c>
      <c r="M106" s="56">
        <v>24.5</v>
      </c>
      <c r="N106" s="56">
        <f t="shared" si="17"/>
        <v>1.1093999999999997</v>
      </c>
      <c r="O106" s="56">
        <v>41.1</v>
      </c>
      <c r="P106" s="56">
        <f t="shared" si="16"/>
        <v>1.3833999999999997</v>
      </c>
    </row>
    <row r="107" spans="4:16" x14ac:dyDescent="0.15">
      <c r="D107" s="44">
        <v>1913</v>
      </c>
      <c r="E107" s="21">
        <f t="shared" si="18"/>
        <v>64.400000000000006</v>
      </c>
      <c r="F107" s="6">
        <f t="shared" si="13"/>
        <v>2.5571999999999999</v>
      </c>
      <c r="G107" s="8">
        <f t="shared" si="14"/>
        <v>-0.68370272393276121</v>
      </c>
      <c r="H107" s="55">
        <v>5.2290976806427629</v>
      </c>
      <c r="I107" s="6">
        <f t="shared" ca="1" si="19"/>
        <v>1.0642001766295834</v>
      </c>
      <c r="J107" s="6">
        <f t="shared" ca="1" si="10"/>
        <v>2.4842208641050139</v>
      </c>
      <c r="K107" s="6">
        <f t="shared" si="15"/>
        <v>-0.40638621648262191</v>
      </c>
      <c r="M107" s="56">
        <v>23.6</v>
      </c>
      <c r="N107" s="56">
        <f t="shared" si="17"/>
        <v>1.1329999999999998</v>
      </c>
      <c r="O107" s="56">
        <v>40.799999999999997</v>
      </c>
      <c r="P107" s="56">
        <f t="shared" si="16"/>
        <v>1.4241999999999997</v>
      </c>
    </row>
    <row r="108" spans="4:16" x14ac:dyDescent="0.15">
      <c r="D108" s="44">
        <v>1914</v>
      </c>
      <c r="E108" s="21">
        <f t="shared" si="18"/>
        <v>44.2</v>
      </c>
      <c r="F108" s="6">
        <f t="shared" si="13"/>
        <v>2.6013999999999999</v>
      </c>
      <c r="G108" s="8">
        <f t="shared" si="14"/>
        <v>-0.65780331979738571</v>
      </c>
      <c r="H108" s="55">
        <v>5.2019882029169482</v>
      </c>
      <c r="I108" s="6">
        <f t="shared" ca="1" si="19"/>
        <v>0.70138956444156975</v>
      </c>
      <c r="J108" s="6">
        <f t="shared" ca="1" si="10"/>
        <v>2.552767255924822</v>
      </c>
      <c r="K108" s="6">
        <f t="shared" si="15"/>
        <v>-0.39033425674851757</v>
      </c>
      <c r="M108" s="56">
        <v>16.7</v>
      </c>
      <c r="N108" s="56">
        <f t="shared" si="17"/>
        <v>1.1496999999999997</v>
      </c>
      <c r="O108" s="56">
        <v>27.5</v>
      </c>
      <c r="P108" s="56">
        <f t="shared" si="16"/>
        <v>1.4516999999999998</v>
      </c>
    </row>
    <row r="109" spans="4:16" x14ac:dyDescent="0.15">
      <c r="D109" s="44">
        <v>1915</v>
      </c>
      <c r="E109" s="21">
        <f t="shared" si="18"/>
        <v>33.700000000000003</v>
      </c>
      <c r="F109" s="6">
        <f t="shared" si="13"/>
        <v>2.6351</v>
      </c>
      <c r="G109" s="8">
        <f t="shared" si="14"/>
        <v>-0.63819902680963203</v>
      </c>
      <c r="H109" s="55">
        <v>5.0969085176350974</v>
      </c>
      <c r="I109" s="6">
        <f t="shared" ca="1" si="19"/>
        <v>0.18370365097644026</v>
      </c>
      <c r="J109" s="6">
        <f t="shared" ca="1" si="10"/>
        <v>2.6222399845665616</v>
      </c>
      <c r="K109" s="6">
        <f t="shared" si="15"/>
        <v>-0.37816298641941648</v>
      </c>
      <c r="M109" s="56">
        <v>14.2</v>
      </c>
      <c r="N109" s="56">
        <f t="shared" si="17"/>
        <v>1.1638999999999997</v>
      </c>
      <c r="O109" s="56">
        <v>19.5</v>
      </c>
      <c r="P109" s="56">
        <f t="shared" si="16"/>
        <v>1.4711999999999998</v>
      </c>
    </row>
    <row r="110" spans="4:16" x14ac:dyDescent="0.15">
      <c r="D110" s="44">
        <v>1916</v>
      </c>
      <c r="E110" s="21">
        <f t="shared" si="18"/>
        <v>38.200000000000003</v>
      </c>
      <c r="F110" s="6">
        <f t="shared" si="13"/>
        <v>2.6732999999999998</v>
      </c>
      <c r="G110" s="8">
        <f t="shared" si="14"/>
        <v>-0.61611929531684295</v>
      </c>
      <c r="H110" s="55">
        <v>4.9657322937945043</v>
      </c>
      <c r="I110" s="6">
        <f t="shared" ca="1" si="19"/>
        <v>-0.27308035380610818</v>
      </c>
      <c r="J110" s="6">
        <f t="shared" ca="1" si="10"/>
        <v>2.6925994308694854</v>
      </c>
      <c r="K110" s="6">
        <f t="shared" si="15"/>
        <v>-0.36443378279739952</v>
      </c>
      <c r="M110" s="56">
        <v>16.899999999999999</v>
      </c>
      <c r="N110" s="56">
        <f t="shared" si="17"/>
        <v>1.1807999999999996</v>
      </c>
      <c r="O110" s="56">
        <v>21.3</v>
      </c>
      <c r="P110" s="56">
        <f t="shared" si="16"/>
        <v>1.4924999999999999</v>
      </c>
    </row>
    <row r="111" spans="4:16" x14ac:dyDescent="0.15">
      <c r="D111" s="44">
        <v>1917</v>
      </c>
      <c r="E111" s="21">
        <f t="shared" si="18"/>
        <v>43.8</v>
      </c>
      <c r="F111" s="6">
        <f t="shared" si="13"/>
        <v>2.7170999999999998</v>
      </c>
      <c r="G111" s="8">
        <f t="shared" si="14"/>
        <v>-0.59098036453475733</v>
      </c>
      <c r="H111" s="55">
        <v>4.8381537409418751</v>
      </c>
      <c r="I111" s="6">
        <f t="shared" ca="1" si="19"/>
        <v>-0.65460049104331119</v>
      </c>
      <c r="J111" s="6">
        <f t="shared" ca="1" si="10"/>
        <v>2.7638034754848371</v>
      </c>
      <c r="K111" s="6">
        <f t="shared" si="15"/>
        <v>-0.34877584628089614</v>
      </c>
      <c r="M111" s="56">
        <v>14.9</v>
      </c>
      <c r="N111" s="56">
        <f t="shared" si="17"/>
        <v>1.1956999999999995</v>
      </c>
      <c r="O111" s="56">
        <v>28.9</v>
      </c>
      <c r="P111" s="56">
        <f t="shared" si="16"/>
        <v>1.5213999999999999</v>
      </c>
    </row>
    <row r="112" spans="4:16" x14ac:dyDescent="0.15">
      <c r="D112" s="44">
        <v>1918</v>
      </c>
      <c r="E112" s="21">
        <f t="shared" si="18"/>
        <v>40.200000000000003</v>
      </c>
      <c r="F112" s="6">
        <f t="shared" si="13"/>
        <v>2.7572999999999999</v>
      </c>
      <c r="G112" s="8">
        <f t="shared" si="14"/>
        <v>-0.56806647076514027</v>
      </c>
      <c r="H112" s="55">
        <v>4.7132739475246597</v>
      </c>
      <c r="I112" s="6">
        <f t="shared" ca="1" si="19"/>
        <v>-1.0908620410339154</v>
      </c>
      <c r="J112" s="6">
        <f t="shared" ca="1" si="10"/>
        <v>2.8358075709239166</v>
      </c>
      <c r="K112" s="6">
        <f t="shared" si="15"/>
        <v>-0.33447982894337064</v>
      </c>
      <c r="M112" s="56">
        <v>13.9</v>
      </c>
      <c r="N112" s="56">
        <f t="shared" si="17"/>
        <v>1.2095999999999996</v>
      </c>
      <c r="O112" s="56">
        <v>26.3</v>
      </c>
      <c r="P112" s="56">
        <f t="shared" si="16"/>
        <v>1.5476999999999999</v>
      </c>
    </row>
    <row r="113" spans="4:16" x14ac:dyDescent="0.15">
      <c r="D113" s="44">
        <v>1919</v>
      </c>
      <c r="E113" s="21">
        <f t="shared" si="18"/>
        <v>40.9</v>
      </c>
      <c r="F113" s="6">
        <f t="shared" si="13"/>
        <v>2.7982</v>
      </c>
      <c r="G113" s="8">
        <f t="shared" si="14"/>
        <v>-0.54490166442279719</v>
      </c>
      <c r="H113" s="55">
        <v>4.5976596729366204</v>
      </c>
      <c r="I113" s="6">
        <f t="shared" ca="1" si="19"/>
        <v>-1.5209505212587828</v>
      </c>
      <c r="J113" s="6">
        <f t="shared" ca="1" si="10"/>
        <v>2.9085648275961491</v>
      </c>
      <c r="K113" s="6">
        <f t="shared" si="15"/>
        <v>-0.32000468035447971</v>
      </c>
      <c r="M113" s="56">
        <v>18.5</v>
      </c>
      <c r="N113" s="56">
        <f t="shared" si="17"/>
        <v>1.2280999999999995</v>
      </c>
      <c r="O113" s="56">
        <v>22.4</v>
      </c>
      <c r="P113" s="56">
        <f t="shared" si="16"/>
        <v>1.5700999999999998</v>
      </c>
    </row>
    <row r="114" spans="4:16" x14ac:dyDescent="0.15">
      <c r="D114" s="44">
        <v>1920</v>
      </c>
      <c r="E114" s="21">
        <f t="shared" si="18"/>
        <v>47.400000000000006</v>
      </c>
      <c r="F114" s="6">
        <f t="shared" si="13"/>
        <v>2.8456000000000001</v>
      </c>
      <c r="G114" s="8">
        <f t="shared" si="14"/>
        <v>-0.51823233717112338</v>
      </c>
      <c r="H114" s="55">
        <v>4.502868070442319</v>
      </c>
      <c r="I114" s="6">
        <f t="shared" ca="1" si="19"/>
        <v>-1.8648191208596927</v>
      </c>
      <c r="J114" s="6">
        <f t="shared" ca="1" si="10"/>
        <v>2.9820261137081063</v>
      </c>
      <c r="K114" s="6">
        <f t="shared" si="15"/>
        <v>-0.30331234075062469</v>
      </c>
      <c r="M114" s="56">
        <v>22.1</v>
      </c>
      <c r="N114" s="56">
        <f t="shared" si="17"/>
        <v>1.2501999999999995</v>
      </c>
      <c r="O114" s="56">
        <v>25.3</v>
      </c>
      <c r="P114" s="56">
        <f t="shared" si="16"/>
        <v>1.5953999999999999</v>
      </c>
    </row>
    <row r="115" spans="4:16" x14ac:dyDescent="0.15">
      <c r="D115" s="44">
        <v>1921</v>
      </c>
      <c r="E115" s="21">
        <f t="shared" si="18"/>
        <v>50.8</v>
      </c>
      <c r="F115" s="6">
        <f t="shared" si="13"/>
        <v>2.8964000000000003</v>
      </c>
      <c r="G115" s="8">
        <f t="shared" si="14"/>
        <v>-0.48984853496474517</v>
      </c>
      <c r="H115" s="55">
        <v>4.4314861891422384</v>
      </c>
      <c r="I115" s="6">
        <f t="shared" ca="1" si="19"/>
        <v>-2.1665073968863453</v>
      </c>
      <c r="J115" s="6">
        <f t="shared" ca="1" si="10"/>
        <v>3.056140168761917</v>
      </c>
      <c r="K115" s="6">
        <f t="shared" si="15"/>
        <v>-0.28551587429388042</v>
      </c>
      <c r="M115" s="56">
        <v>21.8</v>
      </c>
      <c r="N115" s="56">
        <f t="shared" si="17"/>
        <v>1.2719999999999996</v>
      </c>
      <c r="O115" s="56">
        <v>29</v>
      </c>
      <c r="P115" s="56">
        <f t="shared" si="16"/>
        <v>1.6243999999999998</v>
      </c>
    </row>
    <row r="116" spans="4:16" x14ac:dyDescent="0.15">
      <c r="D116" s="44">
        <v>1922</v>
      </c>
      <c r="E116" s="21">
        <f t="shared" si="18"/>
        <v>53.099999999999994</v>
      </c>
      <c r="F116" s="6">
        <f t="shared" si="13"/>
        <v>2.9495000000000005</v>
      </c>
      <c r="G116" s="8">
        <f t="shared" si="14"/>
        <v>-0.46038484574318711</v>
      </c>
      <c r="H116" s="55">
        <v>4.3832711354902374</v>
      </c>
      <c r="I116" s="6">
        <f t="shared" ca="1" si="19"/>
        <v>-2.4416277819102561</v>
      </c>
      <c r="J116" s="6">
        <f t="shared" ca="1" si="10"/>
        <v>3.130853730256776</v>
      </c>
      <c r="K116" s="6">
        <f t="shared" si="15"/>
        <v>-0.26700973813241508</v>
      </c>
      <c r="M116" s="56">
        <v>21.2</v>
      </c>
      <c r="N116" s="56">
        <f t="shared" si="17"/>
        <v>1.2931999999999997</v>
      </c>
      <c r="O116" s="56">
        <v>31.9</v>
      </c>
      <c r="P116" s="56">
        <f t="shared" si="16"/>
        <v>1.6562999999999999</v>
      </c>
    </row>
    <row r="117" spans="4:16" x14ac:dyDescent="0.15">
      <c r="D117" s="44">
        <v>1923</v>
      </c>
      <c r="E117" s="21">
        <f t="shared" si="18"/>
        <v>61.5</v>
      </c>
      <c r="F117" s="6">
        <f t="shared" si="13"/>
        <v>3.0110000000000006</v>
      </c>
      <c r="G117" s="8">
        <f t="shared" si="14"/>
        <v>-0.42650310427554133</v>
      </c>
      <c r="H117" s="55">
        <v>4.3658972286790521</v>
      </c>
      <c r="I117" s="6">
        <f t="shared" ca="1" si="19"/>
        <v>-2.6080531563736713</v>
      </c>
      <c r="J117" s="6">
        <f t="shared" ca="1" si="10"/>
        <v>3.2061116730623409</v>
      </c>
      <c r="K117" s="6">
        <f t="shared" si="15"/>
        <v>-0.24568934375635745</v>
      </c>
      <c r="M117" s="56">
        <v>22.9</v>
      </c>
      <c r="N117" s="56">
        <f t="shared" si="17"/>
        <v>1.3160999999999996</v>
      </c>
      <c r="O117" s="56">
        <v>38.6</v>
      </c>
      <c r="P117" s="56">
        <f t="shared" si="16"/>
        <v>1.6948999999999999</v>
      </c>
    </row>
    <row r="118" spans="4:16" x14ac:dyDescent="0.15">
      <c r="D118" s="44">
        <v>1924</v>
      </c>
      <c r="E118" s="21">
        <f t="shared" si="18"/>
        <v>68.400000000000006</v>
      </c>
      <c r="F118" s="6">
        <f t="shared" si="13"/>
        <v>3.0794000000000006</v>
      </c>
      <c r="G118" s="8">
        <f t="shared" si="14"/>
        <v>-0.38910034026017737</v>
      </c>
      <c r="H118" s="55">
        <v>4.3829331501641402</v>
      </c>
      <c r="I118" s="6">
        <f t="shared" ca="1" si="19"/>
        <v>-2.6878526691018578</v>
      </c>
      <c r="J118" s="6">
        <f t="shared" ca="1" si="10"/>
        <v>3.2818571607995835</v>
      </c>
      <c r="K118" s="6">
        <f t="shared" si="15"/>
        <v>-0.22210694582587787</v>
      </c>
      <c r="M118" s="56">
        <v>23.4</v>
      </c>
      <c r="N118" s="56">
        <f t="shared" si="17"/>
        <v>1.3394999999999997</v>
      </c>
      <c r="O118" s="56">
        <v>45</v>
      </c>
      <c r="P118" s="56">
        <f t="shared" si="16"/>
        <v>1.7398999999999998</v>
      </c>
    </row>
    <row r="119" spans="4:16" x14ac:dyDescent="0.15">
      <c r="D119" s="44">
        <v>1925</v>
      </c>
      <c r="E119" s="21">
        <f t="shared" si="18"/>
        <v>71.2</v>
      </c>
      <c r="F119" s="6">
        <f t="shared" si="13"/>
        <v>3.1506000000000007</v>
      </c>
      <c r="G119" s="8">
        <f t="shared" si="14"/>
        <v>-0.35044956815865502</v>
      </c>
      <c r="H119" s="55">
        <v>4.4301887687398604</v>
      </c>
      <c r="I119" s="6">
        <f t="shared" ca="1" si="19"/>
        <v>-2.7369480967381605</v>
      </c>
      <c r="J119" s="6">
        <f t="shared" ca="1" si="10"/>
        <v>3.3580318084353218</v>
      </c>
      <c r="K119" s="6">
        <f t="shared" si="15"/>
        <v>-0.19768952407212878</v>
      </c>
      <c r="M119" s="56">
        <v>23.1</v>
      </c>
      <c r="N119" s="56">
        <f t="shared" si="17"/>
        <v>1.3625999999999996</v>
      </c>
      <c r="O119" s="56">
        <v>48.1</v>
      </c>
      <c r="P119" s="56">
        <f t="shared" si="16"/>
        <v>1.7879999999999998</v>
      </c>
    </row>
    <row r="120" spans="4:16" x14ac:dyDescent="0.15">
      <c r="D120" s="44">
        <v>1926</v>
      </c>
      <c r="E120" s="21">
        <f t="shared" si="18"/>
        <v>77.7</v>
      </c>
      <c r="F120" s="6">
        <f t="shared" si="13"/>
        <v>3.2283000000000008</v>
      </c>
      <c r="G120" s="8">
        <f t="shared" si="14"/>
        <v>-0.3085629621034558</v>
      </c>
      <c r="H120" s="55">
        <v>4.5090986717226924</v>
      </c>
      <c r="I120" s="6">
        <f t="shared" ca="1" si="19"/>
        <v>-2.7064340072895448</v>
      </c>
      <c r="J120" s="6">
        <f t="shared" ca="1" si="10"/>
        <v>3.4345758551731249</v>
      </c>
      <c r="K120" s="6">
        <f t="shared" si="15"/>
        <v>-0.1711763171060604</v>
      </c>
      <c r="M120" s="56">
        <v>25.2</v>
      </c>
      <c r="N120" s="56">
        <f t="shared" si="17"/>
        <v>1.3877999999999995</v>
      </c>
      <c r="O120" s="56">
        <v>52.5</v>
      </c>
      <c r="P120" s="56">
        <f t="shared" si="16"/>
        <v>1.8404999999999998</v>
      </c>
    </row>
    <row r="121" spans="4:16" x14ac:dyDescent="0.15">
      <c r="D121" s="44">
        <v>1927</v>
      </c>
      <c r="E121" s="21">
        <f t="shared" si="18"/>
        <v>80.5</v>
      </c>
      <c r="F121" s="6">
        <f t="shared" si="13"/>
        <v>3.3088000000000006</v>
      </c>
      <c r="G121" s="8">
        <f t="shared" si="14"/>
        <v>-0.26544792459118771</v>
      </c>
      <c r="H121" s="55">
        <v>4.6143274658597297</v>
      </c>
      <c r="I121" s="6">
        <f t="shared" ca="1" si="19"/>
        <v>-2.6456974662351058</v>
      </c>
      <c r="J121" s="6">
        <f t="shared" ca="1" si="10"/>
        <v>3.5114283466077394</v>
      </c>
      <c r="K121" s="6">
        <f t="shared" si="15"/>
        <v>-0.14383379254572873</v>
      </c>
      <c r="M121" s="56">
        <v>27.6</v>
      </c>
      <c r="N121" s="56">
        <f t="shared" si="17"/>
        <v>1.4153999999999995</v>
      </c>
      <c r="O121" s="56">
        <v>52.9</v>
      </c>
      <c r="P121" s="56">
        <f t="shared" si="16"/>
        <v>1.8933999999999997</v>
      </c>
    </row>
    <row r="122" spans="4:16" x14ac:dyDescent="0.15">
      <c r="D122" s="44">
        <v>1928</v>
      </c>
      <c r="E122" s="21">
        <f t="shared" si="18"/>
        <v>80</v>
      </c>
      <c r="F122" s="6">
        <f t="shared" si="13"/>
        <v>3.3888000000000007</v>
      </c>
      <c r="G122" s="8">
        <f t="shared" si="14"/>
        <v>-0.22284243212733645</v>
      </c>
      <c r="H122" s="55">
        <v>4.7362880530078888</v>
      </c>
      <c r="I122" s="6">
        <f t="shared" ca="1" si="19"/>
        <v>-2.5974969934150067</v>
      </c>
      <c r="J122" s="6">
        <f t="shared" ca="1" si="10"/>
        <v>3.588527325004446</v>
      </c>
      <c r="K122" s="6">
        <f t="shared" si="15"/>
        <v>-0.11676727527436905</v>
      </c>
      <c r="M122" s="56">
        <v>27.6</v>
      </c>
      <c r="N122" s="56">
        <f t="shared" si="17"/>
        <v>1.4429999999999996</v>
      </c>
      <c r="O122" s="56">
        <v>52.4</v>
      </c>
      <c r="P122" s="56">
        <f t="shared" si="16"/>
        <v>1.9457999999999998</v>
      </c>
    </row>
    <row r="123" spans="4:16" x14ac:dyDescent="0.15">
      <c r="D123" s="44">
        <v>1929</v>
      </c>
      <c r="E123" s="21">
        <f t="shared" si="18"/>
        <v>81.900000000000006</v>
      </c>
      <c r="F123" s="6">
        <f t="shared" si="13"/>
        <v>3.4707000000000008</v>
      </c>
      <c r="G123" s="8">
        <f t="shared" si="14"/>
        <v>-0.17943243882357049</v>
      </c>
      <c r="H123" s="55">
        <v>4.8719005066447822</v>
      </c>
      <c r="I123" s="6">
        <f t="shared" ca="1" si="19"/>
        <v>-2.5295038104998184</v>
      </c>
      <c r="J123" s="6">
        <f t="shared" ca="1" si="10"/>
        <v>3.6658100264707127</v>
      </c>
      <c r="K123" s="6">
        <f t="shared" si="15"/>
        <v>-8.9146114707036345E-2</v>
      </c>
      <c r="M123" s="56">
        <v>26.9</v>
      </c>
      <c r="N123" s="56">
        <f t="shared" si="17"/>
        <v>1.4698999999999995</v>
      </c>
      <c r="O123" s="56">
        <v>55</v>
      </c>
      <c r="P123" s="56">
        <f t="shared" si="16"/>
        <v>2.0007999999999999</v>
      </c>
    </row>
    <row r="124" spans="4:16" x14ac:dyDescent="0.15">
      <c r="D124" s="44">
        <v>1930</v>
      </c>
      <c r="E124" s="21">
        <f t="shared" si="18"/>
        <v>82.5</v>
      </c>
      <c r="F124" s="6">
        <f t="shared" si="13"/>
        <v>3.5532000000000008</v>
      </c>
      <c r="G124" s="8">
        <f t="shared" si="14"/>
        <v>-0.13587415722722035</v>
      </c>
      <c r="H124" s="55">
        <v>5.0169958857094459</v>
      </c>
      <c r="I124" s="6">
        <f t="shared" ca="1" si="19"/>
        <v>-2.4578623688882999</v>
      </c>
      <c r="J124" s="6">
        <f t="shared" ca="1" si="10"/>
        <v>3.7432130837068138</v>
      </c>
      <c r="K124" s="6">
        <f t="shared" si="15"/>
        <v>-6.1391154354768065E-2</v>
      </c>
      <c r="M124" s="56">
        <v>27.4</v>
      </c>
      <c r="N124" s="56">
        <f t="shared" si="17"/>
        <v>1.4972999999999996</v>
      </c>
      <c r="O124" s="56">
        <v>55.1</v>
      </c>
      <c r="P124" s="56">
        <f t="shared" si="16"/>
        <v>2.0558999999999998</v>
      </c>
    </row>
    <row r="125" spans="4:16" x14ac:dyDescent="0.15">
      <c r="D125" s="44">
        <v>1931</v>
      </c>
      <c r="E125" s="21">
        <f t="shared" si="18"/>
        <v>78</v>
      </c>
      <c r="F125" s="6">
        <f t="shared" si="13"/>
        <v>3.6312000000000006</v>
      </c>
      <c r="G125" s="8">
        <f t="shared" si="14"/>
        <v>-9.4810508420752559E-2</v>
      </c>
      <c r="H125" s="55">
        <v>5.1609260711070233</v>
      </c>
      <c r="I125" s="6">
        <f t="shared" ca="1" si="19"/>
        <v>-2.4475950628318515</v>
      </c>
      <c r="J125" s="6">
        <f t="shared" ca="1" si="10"/>
        <v>3.8206727329561145</v>
      </c>
      <c r="K125" s="6">
        <f t="shared" si="15"/>
        <v>-3.5193886561691923E-2</v>
      </c>
      <c r="M125" s="56">
        <v>27</v>
      </c>
      <c r="N125" s="56">
        <f t="shared" si="17"/>
        <v>1.5242999999999995</v>
      </c>
      <c r="O125" s="56">
        <v>51</v>
      </c>
      <c r="P125" s="56">
        <f t="shared" si="16"/>
        <v>2.1069</v>
      </c>
    </row>
    <row r="126" spans="4:16" x14ac:dyDescent="0.15">
      <c r="D126" s="44">
        <v>1932</v>
      </c>
      <c r="E126" s="21">
        <f t="shared" si="18"/>
        <v>68.699999999999989</v>
      </c>
      <c r="F126" s="6">
        <f t="shared" si="13"/>
        <v>3.6999000000000004</v>
      </c>
      <c r="G126" s="8">
        <f t="shared" si="14"/>
        <v>-5.8710090219148907E-2</v>
      </c>
      <c r="H126" s="55">
        <v>5.289727902560097</v>
      </c>
      <c r="I126" s="6">
        <f t="shared" ca="1" si="19"/>
        <v>-2.5594355031216764</v>
      </c>
      <c r="J126" s="6">
        <f t="shared" ca="1" si="10"/>
        <v>3.8981250237257195</v>
      </c>
      <c r="K126" s="6">
        <f t="shared" si="15"/>
        <v>-1.2140721233898474E-2</v>
      </c>
      <c r="M126" s="56">
        <v>21.4</v>
      </c>
      <c r="N126" s="56">
        <f t="shared" si="17"/>
        <v>1.5456999999999996</v>
      </c>
      <c r="O126" s="56">
        <v>47.3</v>
      </c>
      <c r="P126" s="56">
        <f t="shared" si="16"/>
        <v>2.1541999999999999</v>
      </c>
    </row>
    <row r="127" spans="4:16" x14ac:dyDescent="0.15">
      <c r="D127" s="44">
        <v>1933</v>
      </c>
      <c r="E127" s="21">
        <f t="shared" si="18"/>
        <v>73.3</v>
      </c>
      <c r="F127" s="6">
        <f t="shared" si="13"/>
        <v>3.7732000000000006</v>
      </c>
      <c r="G127" s="8">
        <f t="shared" si="14"/>
        <v>-2.0234021925018636E-2</v>
      </c>
      <c r="H127" s="55">
        <v>5.4133327645800495</v>
      </c>
      <c r="I127" s="6">
        <f t="shared" ca="1" si="19"/>
        <v>-2.6128290764411304</v>
      </c>
      <c r="J127" s="6">
        <f t="shared" ca="1" si="10"/>
        <v>3.9755060298150267</v>
      </c>
      <c r="K127" s="6">
        <f t="shared" si="15"/>
        <v>1.2449220787185283E-2</v>
      </c>
      <c r="M127" s="56">
        <v>25.3</v>
      </c>
      <c r="N127" s="56">
        <f t="shared" si="17"/>
        <v>1.5709999999999997</v>
      </c>
      <c r="O127" s="56">
        <v>48</v>
      </c>
      <c r="P127" s="56">
        <f t="shared" si="16"/>
        <v>2.2021999999999999</v>
      </c>
    </row>
    <row r="128" spans="4:16" x14ac:dyDescent="0.15">
      <c r="D128" s="44">
        <v>1934</v>
      </c>
      <c r="E128" s="21">
        <f t="shared" si="18"/>
        <v>75.099999999999994</v>
      </c>
      <c r="F128" s="6">
        <f t="shared" si="13"/>
        <v>3.8483000000000005</v>
      </c>
      <c r="G128" s="8">
        <f t="shared" si="14"/>
        <v>1.9171601173752155E-2</v>
      </c>
      <c r="H128" s="55">
        <v>5.5345690639260559</v>
      </c>
      <c r="I128" s="6">
        <f t="shared" ca="1" si="19"/>
        <v>-2.6433533028900911</v>
      </c>
      <c r="J128" s="6">
        <f t="shared" ca="1" si="10"/>
        <v>4.0527520601740283</v>
      </c>
      <c r="K128" s="6">
        <f t="shared" si="15"/>
        <v>3.7650945730914147E-2</v>
      </c>
      <c r="M128" s="56">
        <v>26.4</v>
      </c>
      <c r="N128" s="56">
        <f t="shared" si="17"/>
        <v>1.5973999999999997</v>
      </c>
      <c r="O128" s="56">
        <v>48.7</v>
      </c>
      <c r="P128" s="56">
        <f t="shared" si="16"/>
        <v>2.2509000000000001</v>
      </c>
    </row>
    <row r="129" spans="4:16" x14ac:dyDescent="0.15">
      <c r="D129" s="44">
        <v>1935</v>
      </c>
      <c r="E129" s="21">
        <f t="shared" si="18"/>
        <v>73.599999999999994</v>
      </c>
      <c r="F129" s="6">
        <f t="shared" si="13"/>
        <v>3.9219000000000004</v>
      </c>
      <c r="G129" s="8">
        <f t="shared" si="14"/>
        <v>5.7804412072148058E-2</v>
      </c>
      <c r="H129" s="55">
        <v>5.6511710970684765</v>
      </c>
      <c r="I129" s="6">
        <f t="shared" ca="1" si="19"/>
        <v>-2.6928906205391741</v>
      </c>
      <c r="J129" s="6">
        <f t="shared" ca="1" si="10"/>
        <v>4.1297998681152421</v>
      </c>
      <c r="K129" s="6">
        <f t="shared" si="15"/>
        <v>6.2372430503424246E-2</v>
      </c>
      <c r="M129" s="56">
        <v>26.5</v>
      </c>
      <c r="N129" s="56">
        <f t="shared" si="17"/>
        <v>1.6238999999999997</v>
      </c>
      <c r="O129" s="56">
        <v>47.1</v>
      </c>
      <c r="P129" s="56">
        <f t="shared" si="16"/>
        <v>2.298</v>
      </c>
    </row>
    <row r="130" spans="4:16" x14ac:dyDescent="0.15">
      <c r="D130" s="44">
        <v>1936</v>
      </c>
      <c r="E130" s="21">
        <f t="shared" si="18"/>
        <v>74.099999999999994</v>
      </c>
      <c r="F130" s="6">
        <f t="shared" si="13"/>
        <v>3.9960000000000004</v>
      </c>
      <c r="G130" s="8">
        <f t="shared" si="14"/>
        <v>9.674335940257936E-2</v>
      </c>
      <c r="H130" s="55">
        <v>5.7640614546531665</v>
      </c>
      <c r="I130" s="6">
        <f t="shared" ca="1" si="19"/>
        <v>-2.7348962249220676</v>
      </c>
      <c r="J130" s="6">
        <f t="shared" ca="1" si="10"/>
        <v>4.2065868574229208</v>
      </c>
      <c r="K130" s="6">
        <f t="shared" si="15"/>
        <v>8.7300468889711075E-2</v>
      </c>
      <c r="M130" s="56">
        <v>27.9</v>
      </c>
      <c r="N130" s="56">
        <f t="shared" si="17"/>
        <v>1.6517999999999997</v>
      </c>
      <c r="O130" s="56">
        <v>46.2</v>
      </c>
      <c r="P130" s="56">
        <f t="shared" si="16"/>
        <v>2.3441999999999998</v>
      </c>
    </row>
    <row r="131" spans="4:16" x14ac:dyDescent="0.15">
      <c r="D131" s="44">
        <v>1937</v>
      </c>
      <c r="E131" s="21">
        <f t="shared" si="18"/>
        <v>75.3</v>
      </c>
      <c r="F131" s="6">
        <f t="shared" si="13"/>
        <v>4.0713000000000008</v>
      </c>
      <c r="G131" s="8">
        <f t="shared" si="14"/>
        <v>0.13638828926100971</v>
      </c>
      <c r="H131" s="55">
        <v>5.8747596048819188</v>
      </c>
      <c r="I131" s="6">
        <f t="shared" ca="1" si="19"/>
        <v>-2.7595329133068844</v>
      </c>
      <c r="J131" s="6">
        <f t="shared" ca="1" si="10"/>
        <v>4.2830512839402681</v>
      </c>
      <c r="K131" s="6">
        <f t="shared" si="15"/>
        <v>0.11268799176101042</v>
      </c>
      <c r="M131" s="56">
        <v>29.9</v>
      </c>
      <c r="N131" s="56">
        <f t="shared" si="17"/>
        <v>1.6816999999999998</v>
      </c>
      <c r="O131" s="56">
        <v>45.4</v>
      </c>
      <c r="P131" s="56">
        <f t="shared" si="16"/>
        <v>2.3895999999999997</v>
      </c>
    </row>
    <row r="132" spans="4:16" x14ac:dyDescent="0.15">
      <c r="D132" s="44">
        <v>1938</v>
      </c>
      <c r="E132" s="21">
        <f t="shared" si="18"/>
        <v>77.2</v>
      </c>
      <c r="F132" s="6">
        <f t="shared" si="13"/>
        <v>4.1485000000000012</v>
      </c>
      <c r="G132" s="8">
        <f t="shared" si="14"/>
        <v>0.17714525027448078</v>
      </c>
      <c r="H132" s="55">
        <v>5.985205074912785</v>
      </c>
      <c r="I132" s="6">
        <f t="shared" ca="1" si="19"/>
        <v>-2.7568108853599824</v>
      </c>
      <c r="J132" s="6">
        <f t="shared" ca="1" si="10"/>
        <v>4.3591324512691703</v>
      </c>
      <c r="K132" s="6">
        <f t="shared" si="15"/>
        <v>0.13879188186544916</v>
      </c>
      <c r="M132" s="56">
        <v>29.6</v>
      </c>
      <c r="N132" s="56">
        <f t="shared" si="17"/>
        <v>1.7112999999999998</v>
      </c>
      <c r="O132" s="56">
        <v>47.6</v>
      </c>
      <c r="P132" s="56">
        <f t="shared" si="16"/>
        <v>2.4371999999999998</v>
      </c>
    </row>
    <row r="133" spans="4:16" x14ac:dyDescent="0.15">
      <c r="D133" s="44">
        <v>1939</v>
      </c>
      <c r="E133" s="21">
        <f t="shared" si="18"/>
        <v>80</v>
      </c>
      <c r="F133" s="6">
        <f t="shared" si="13"/>
        <v>4.2285000000000013</v>
      </c>
      <c r="G133" s="8">
        <f t="shared" si="14"/>
        <v>0.21953629823962822</v>
      </c>
      <c r="H133" s="55">
        <v>6.0978724546116494</v>
      </c>
      <c r="I133" s="6">
        <f t="shared" ca="1" si="19"/>
        <v>-2.7138862775029793</v>
      </c>
      <c r="J133" s="6">
        <f t="shared" ca="1" si="10"/>
        <v>4.4347708992864066</v>
      </c>
      <c r="K133" s="6">
        <f t="shared" si="15"/>
        <v>0.16594294585594258</v>
      </c>
      <c r="M133" s="56">
        <v>29.8</v>
      </c>
      <c r="N133" s="56">
        <f t="shared" si="17"/>
        <v>1.7410999999999999</v>
      </c>
      <c r="O133" s="56">
        <v>50.2</v>
      </c>
      <c r="P133" s="56">
        <f t="shared" si="16"/>
        <v>2.4873999999999996</v>
      </c>
    </row>
    <row r="134" spans="4:16" x14ac:dyDescent="0.15">
      <c r="D134" s="44">
        <v>1940</v>
      </c>
      <c r="E134" s="21">
        <f t="shared" si="18"/>
        <v>66.5</v>
      </c>
      <c r="F134" s="6">
        <f t="shared" si="13"/>
        <v>4.2950000000000017</v>
      </c>
      <c r="G134" s="8">
        <f t="shared" si="14"/>
        <v>0.25492239732118777</v>
      </c>
      <c r="H134" s="55">
        <v>6.1964238880059224</v>
      </c>
      <c r="I134" s="6">
        <f t="shared" ca="1" si="19"/>
        <v>-2.8433007345702208</v>
      </c>
      <c r="J134" s="6">
        <f t="shared" ca="1" si="10"/>
        <v>4.5099085842642328</v>
      </c>
      <c r="K134" s="6">
        <f t="shared" si="15"/>
        <v>0.18860489748841266</v>
      </c>
      <c r="M134" s="56">
        <v>25.5</v>
      </c>
      <c r="N134" s="56">
        <f t="shared" si="17"/>
        <v>1.7665999999999999</v>
      </c>
      <c r="O134" s="56">
        <v>41</v>
      </c>
      <c r="P134" s="56">
        <f t="shared" si="16"/>
        <v>2.5283999999999995</v>
      </c>
    </row>
    <row r="135" spans="4:16" x14ac:dyDescent="0.15">
      <c r="D135" s="44">
        <v>1941</v>
      </c>
      <c r="E135" s="21">
        <f t="shared" si="18"/>
        <v>70.599999999999994</v>
      </c>
      <c r="F135" s="6">
        <f t="shared" si="13"/>
        <v>4.3656000000000015</v>
      </c>
      <c r="G135" s="8">
        <f t="shared" si="14"/>
        <v>0.29266525431017865</v>
      </c>
      <c r="H135" s="55">
        <v>6.2881626476287069</v>
      </c>
      <c r="I135" s="6">
        <f t="shared" ca="1" si="19"/>
        <v>-2.9147331191386456</v>
      </c>
      <c r="J135" s="6">
        <f t="shared" ref="J135:J198" ca="1" si="20">F$1/(1+EXP((AVERAGE(E$2:F$2)-D135)*LN(81)/(F$2-E$2)))</f>
        <v>4.5844890494800836</v>
      </c>
      <c r="K135" s="6">
        <f t="shared" si="15"/>
        <v>0.21277080810409746</v>
      </c>
      <c r="M135" s="56">
        <v>26.7</v>
      </c>
      <c r="N135" s="56">
        <f t="shared" si="17"/>
        <v>1.7932999999999999</v>
      </c>
      <c r="O135" s="56">
        <v>43.9</v>
      </c>
      <c r="P135" s="56">
        <f t="shared" si="16"/>
        <v>2.5722999999999994</v>
      </c>
    </row>
    <row r="136" spans="4:16" x14ac:dyDescent="0.15">
      <c r="D136" s="44">
        <v>1942</v>
      </c>
      <c r="E136" s="21">
        <f t="shared" si="18"/>
        <v>68.900000000000006</v>
      </c>
      <c r="F136" s="6">
        <f t="shared" si="13"/>
        <v>4.4345000000000017</v>
      </c>
      <c r="G136" s="8">
        <f t="shared" si="14"/>
        <v>0.32969975177986827</v>
      </c>
      <c r="H136" s="55">
        <v>6.3724646155143647</v>
      </c>
      <c r="I136" s="6">
        <f t="shared" ca="1" si="19"/>
        <v>-3.0035928995689574</v>
      </c>
      <c r="J136" s="6">
        <f t="shared" ca="1" si="20"/>
        <v>4.6584575853083274</v>
      </c>
      <c r="K136" s="6">
        <f t="shared" si="15"/>
        <v>0.23647514049224069</v>
      </c>
      <c r="M136" s="56">
        <v>25.1</v>
      </c>
      <c r="N136" s="56">
        <f t="shared" si="17"/>
        <v>1.8183999999999998</v>
      </c>
      <c r="O136" s="56">
        <v>43.8</v>
      </c>
      <c r="P136" s="56">
        <f t="shared" si="16"/>
        <v>2.6160999999999994</v>
      </c>
    </row>
    <row r="137" spans="4:16" x14ac:dyDescent="0.15">
      <c r="D137" s="44">
        <v>1943</v>
      </c>
      <c r="E137" s="21">
        <f t="shared" ref="E137:E168" si="21">SUM(M137,O137)</f>
        <v>66.099999999999994</v>
      </c>
      <c r="F137" s="6">
        <f t="shared" si="13"/>
        <v>4.5006000000000013</v>
      </c>
      <c r="G137" s="8">
        <f t="shared" si="14"/>
        <v>0.36544077028494221</v>
      </c>
      <c r="H137" s="55">
        <v>6.4479563854015165</v>
      </c>
      <c r="I137" s="6">
        <f t="shared" ref="I137:I168" ca="1" si="22" xml:space="preserve"> G137*(F$2-E$2)/LN(81) + AVERAGE(E$2:F$2) - D137</f>
        <v>-3.1242754611453165</v>
      </c>
      <c r="J137" s="6">
        <f t="shared" ca="1" si="20"/>
        <v>4.7317613779045562</v>
      </c>
      <c r="K137" s="6">
        <f t="shared" si="15"/>
        <v>0.25934157640460737</v>
      </c>
      <c r="M137" s="56">
        <v>23.7</v>
      </c>
      <c r="N137" s="56">
        <f t="shared" si="17"/>
        <v>1.8420999999999998</v>
      </c>
      <c r="O137" s="56">
        <v>42.4</v>
      </c>
      <c r="P137" s="56">
        <f t="shared" si="16"/>
        <v>2.6584999999999996</v>
      </c>
    </row>
    <row r="138" spans="4:16" x14ac:dyDescent="0.15">
      <c r="D138" s="44">
        <v>1944</v>
      </c>
      <c r="E138" s="21">
        <f t="shared" si="21"/>
        <v>40.1</v>
      </c>
      <c r="F138" s="6">
        <f t="shared" ref="F138:F201" si="23">F137+E138/1000</f>
        <v>4.5407000000000011</v>
      </c>
      <c r="G138" s="8">
        <f t="shared" ref="G138:G201" si="24" xml:space="preserve"> -LN(F$1/F138-1)</f>
        <v>0.38723491394952897</v>
      </c>
      <c r="H138" s="55">
        <v>6.493480386203391</v>
      </c>
      <c r="I138" s="6">
        <f t="shared" ca="1" si="22"/>
        <v>-3.5880856327255515</v>
      </c>
      <c r="J138" s="6">
        <f t="shared" ca="1" si="20"/>
        <v>4.8043496457179371</v>
      </c>
      <c r="K138" s="6">
        <f t="shared" ref="K138:K201" si="25">NORMSINV(F138/F$5)</f>
        <v>0.2732792590975946</v>
      </c>
      <c r="M138" s="56">
        <v>13.5</v>
      </c>
      <c r="N138" s="56">
        <f t="shared" si="17"/>
        <v>1.8555999999999999</v>
      </c>
      <c r="O138" s="56">
        <v>26.6</v>
      </c>
      <c r="P138" s="56">
        <f t="shared" ref="P138:P201" si="26">P137+O138/1000</f>
        <v>2.6850999999999998</v>
      </c>
    </row>
    <row r="139" spans="4:16" x14ac:dyDescent="0.15">
      <c r="D139" s="44">
        <v>1945</v>
      </c>
      <c r="E139" s="21">
        <f t="shared" si="21"/>
        <v>50.8</v>
      </c>
      <c r="F139" s="6">
        <f t="shared" si="23"/>
        <v>4.5915000000000008</v>
      </c>
      <c r="G139" s="8">
        <f t="shared" si="24"/>
        <v>0.4149761699978336</v>
      </c>
      <c r="H139" s="55">
        <v>6.5256963960224752</v>
      </c>
      <c r="I139" s="6">
        <f t="shared" ca="1" si="22"/>
        <v>-3.9055821331794505</v>
      </c>
      <c r="J139" s="6">
        <f t="shared" ca="1" si="20"/>
        <v>4.8761737631975874</v>
      </c>
      <c r="K139" s="6">
        <f t="shared" si="25"/>
        <v>0.29101289736453395</v>
      </c>
      <c r="M139" s="56">
        <v>15.8</v>
      </c>
      <c r="N139" s="56">
        <f t="shared" si="17"/>
        <v>1.8714</v>
      </c>
      <c r="O139" s="56">
        <v>35</v>
      </c>
      <c r="P139" s="56">
        <f t="shared" si="26"/>
        <v>2.7201</v>
      </c>
    </row>
    <row r="140" spans="4:16" x14ac:dyDescent="0.15">
      <c r="D140" s="44">
        <v>1946</v>
      </c>
      <c r="E140" s="21">
        <f t="shared" si="21"/>
        <v>72.199999999999989</v>
      </c>
      <c r="F140" s="6">
        <f t="shared" si="23"/>
        <v>4.6637000000000004</v>
      </c>
      <c r="G140" s="8">
        <f t="shared" si="24"/>
        <v>0.45467909740452372</v>
      </c>
      <c r="H140" s="55">
        <v>6.5642741622399559</v>
      </c>
      <c r="I140" s="6">
        <f t="shared" ca="1" si="22"/>
        <v>-3.9287919384562429</v>
      </c>
      <c r="J140" s="6">
        <f t="shared" ca="1" si="20"/>
        <v>4.9471873711927099</v>
      </c>
      <c r="K140" s="6">
        <f t="shared" si="25"/>
        <v>0.31637691039875737</v>
      </c>
      <c r="M140" s="56">
        <v>22.9</v>
      </c>
      <c r="N140" s="56">
        <f t="shared" si="17"/>
        <v>1.8942999999999999</v>
      </c>
      <c r="O140" s="56">
        <v>49.3</v>
      </c>
      <c r="P140" s="56">
        <f t="shared" si="26"/>
        <v>2.7694000000000001</v>
      </c>
    </row>
    <row r="141" spans="4:16" x14ac:dyDescent="0.15">
      <c r="D141" s="44">
        <v>1947</v>
      </c>
      <c r="E141" s="21">
        <f t="shared" si="21"/>
        <v>71.699999999999989</v>
      </c>
      <c r="F141" s="6">
        <f t="shared" si="23"/>
        <v>4.7354000000000003</v>
      </c>
      <c r="G141" s="8">
        <f t="shared" si="24"/>
        <v>0.49445881851206819</v>
      </c>
      <c r="H141" s="55">
        <v>6.6078751082966187</v>
      </c>
      <c r="I141" s="6">
        <f t="shared" ca="1" si="22"/>
        <v>-3.9501124287905895</v>
      </c>
      <c r="J141" s="6">
        <f t="shared" ca="1" si="20"/>
        <v>5.0173464736812861</v>
      </c>
      <c r="K141" s="6">
        <f t="shared" si="25"/>
        <v>0.34176831658887741</v>
      </c>
      <c r="M141" s="56">
        <v>24.4</v>
      </c>
      <c r="N141" s="56">
        <f t="shared" si="17"/>
        <v>1.9186999999999999</v>
      </c>
      <c r="O141" s="56">
        <v>47.3</v>
      </c>
      <c r="P141" s="56">
        <f t="shared" si="26"/>
        <v>2.8167</v>
      </c>
    </row>
    <row r="142" spans="4:16" x14ac:dyDescent="0.15">
      <c r="D142" s="44">
        <v>1948</v>
      </c>
      <c r="E142" s="21">
        <f t="shared" si="21"/>
        <v>71.8</v>
      </c>
      <c r="F142" s="6">
        <f t="shared" si="23"/>
        <v>4.8071999999999999</v>
      </c>
      <c r="G142" s="8">
        <f t="shared" si="24"/>
        <v>0.53468207433649884</v>
      </c>
      <c r="H142" s="55">
        <v>6.6557685382917464</v>
      </c>
      <c r="I142" s="6">
        <f t="shared" ca="1" si="22"/>
        <v>-3.9605208682819466</v>
      </c>
      <c r="J142" s="6">
        <f t="shared" ca="1" si="20"/>
        <v>5.0866095205965092</v>
      </c>
      <c r="K142" s="6">
        <f t="shared" si="25"/>
        <v>0.36741792399334655</v>
      </c>
      <c r="M142" s="56">
        <v>26.7</v>
      </c>
      <c r="N142" s="56">
        <f t="shared" si="17"/>
        <v>1.9453999999999998</v>
      </c>
      <c r="O142" s="56">
        <v>45.1</v>
      </c>
      <c r="P142" s="56">
        <f t="shared" si="26"/>
        <v>2.8618000000000001</v>
      </c>
    </row>
    <row r="143" spans="4:16" x14ac:dyDescent="0.15">
      <c r="D143" s="44">
        <v>1949</v>
      </c>
      <c r="E143" s="21">
        <f t="shared" si="21"/>
        <v>80.900000000000006</v>
      </c>
      <c r="F143" s="6">
        <f t="shared" si="23"/>
        <v>4.8880999999999997</v>
      </c>
      <c r="G143" s="8">
        <f t="shared" si="24"/>
        <v>0.58051699060090245</v>
      </c>
      <c r="H143" s="55">
        <v>6.7144090962213712</v>
      </c>
      <c r="I143" s="6">
        <f t="shared" ca="1" si="22"/>
        <v>-3.8328685839951504</v>
      </c>
      <c r="J143" s="6">
        <f t="shared" ca="1" si="20"/>
        <v>5.1549374766519032</v>
      </c>
      <c r="K143" s="6">
        <f t="shared" si="25"/>
        <v>0.3966119336573648</v>
      </c>
      <c r="M143" s="56">
        <v>27.9</v>
      </c>
      <c r="N143" s="56">
        <f t="shared" si="17"/>
        <v>1.9732999999999998</v>
      </c>
      <c r="O143" s="56">
        <v>53</v>
      </c>
      <c r="P143" s="56">
        <f t="shared" si="26"/>
        <v>2.9148000000000001</v>
      </c>
    </row>
    <row r="144" spans="4:16" x14ac:dyDescent="0.15">
      <c r="D144" s="44">
        <v>1950</v>
      </c>
      <c r="E144" s="21">
        <f t="shared" si="21"/>
        <v>79.8</v>
      </c>
      <c r="F144" s="6">
        <f t="shared" si="23"/>
        <v>4.9678999999999993</v>
      </c>
      <c r="G144" s="8">
        <f t="shared" si="24"/>
        <v>0.62631731507983868</v>
      </c>
      <c r="H144" s="55">
        <v>6.7809364518383921</v>
      </c>
      <c r="I144" s="6">
        <f t="shared" ca="1" si="22"/>
        <v>-3.706067343172208</v>
      </c>
      <c r="J144" s="6">
        <f t="shared" ca="1" si="20"/>
        <v>5.2222938761934907</v>
      </c>
      <c r="K144" s="6">
        <f t="shared" si="25"/>
        <v>0.42574396269574333</v>
      </c>
      <c r="M144" s="56">
        <v>27.3</v>
      </c>
      <c r="N144" s="56">
        <f t="shared" si="17"/>
        <v>2.0005999999999999</v>
      </c>
      <c r="O144" s="56">
        <v>52.5</v>
      </c>
      <c r="P144" s="56">
        <f t="shared" si="26"/>
        <v>2.9673000000000003</v>
      </c>
    </row>
    <row r="145" spans="4:16" x14ac:dyDescent="0.15">
      <c r="D145" s="44">
        <v>1951</v>
      </c>
      <c r="E145" s="21">
        <f t="shared" si="21"/>
        <v>84.7</v>
      </c>
      <c r="F145" s="6">
        <f t="shared" si="23"/>
        <v>5.0525999999999991</v>
      </c>
      <c r="G145" s="8">
        <f t="shared" si="24"/>
        <v>0.67563734164264944</v>
      </c>
      <c r="H145" s="55">
        <v>6.8576913476815058</v>
      </c>
      <c r="I145" s="6">
        <f t="shared" ca="1" si="22"/>
        <v>-3.492672727290028</v>
      </c>
      <c r="J145" s="6">
        <f t="shared" ca="1" si="20"/>
        <v>5.2886448642289139</v>
      </c>
      <c r="K145" s="6">
        <f t="shared" si="25"/>
        <v>0.45706591987732259</v>
      </c>
      <c r="M145" s="56">
        <v>29.7</v>
      </c>
      <c r="N145" s="56">
        <f t="shared" si="17"/>
        <v>2.0303</v>
      </c>
      <c r="O145" s="56">
        <v>55</v>
      </c>
      <c r="P145" s="56">
        <f t="shared" si="26"/>
        <v>3.0223000000000004</v>
      </c>
    </row>
    <row r="146" spans="4:16" x14ac:dyDescent="0.15">
      <c r="D146" s="44">
        <v>1952</v>
      </c>
      <c r="E146" s="21">
        <f t="shared" si="21"/>
        <v>87.8</v>
      </c>
      <c r="F146" s="6">
        <f t="shared" si="23"/>
        <v>5.1403999999999987</v>
      </c>
      <c r="G146" s="8">
        <f t="shared" si="24"/>
        <v>0.72761319035240934</v>
      </c>
      <c r="H146" s="55">
        <v>6.9450364008356322</v>
      </c>
      <c r="I146" s="6">
        <f t="shared" ca="1" si="22"/>
        <v>-3.2139383190672106</v>
      </c>
      <c r="J146" s="6">
        <f t="shared" ca="1" si="20"/>
        <v>5.3539592238974985</v>
      </c>
      <c r="K146" s="6">
        <f t="shared" si="25"/>
        <v>0.49001517321431864</v>
      </c>
      <c r="M146" s="56">
        <v>30.4</v>
      </c>
      <c r="N146" s="56">
        <f t="shared" si="17"/>
        <v>2.0607000000000002</v>
      </c>
      <c r="O146" s="56">
        <v>57.4</v>
      </c>
      <c r="P146" s="56">
        <f t="shared" si="26"/>
        <v>3.0797000000000003</v>
      </c>
    </row>
    <row r="147" spans="4:16" x14ac:dyDescent="0.15">
      <c r="D147" s="44">
        <v>1953</v>
      </c>
      <c r="E147" s="21">
        <f t="shared" si="21"/>
        <v>84.6</v>
      </c>
      <c r="F147" s="6">
        <f t="shared" si="23"/>
        <v>5.2249999999999988</v>
      </c>
      <c r="G147" s="8">
        <f t="shared" si="24"/>
        <v>0.77860097820760377</v>
      </c>
      <c r="H147" s="55">
        <v>7.0379062482600423</v>
      </c>
      <c r="I147" s="6">
        <f t="shared" ca="1" si="22"/>
        <v>-2.9595126512213028</v>
      </c>
      <c r="J147" s="6">
        <f t="shared" ca="1" si="20"/>
        <v>5.4182083907509178</v>
      </c>
      <c r="K147" s="6">
        <f t="shared" si="25"/>
        <v>0.52227457468673244</v>
      </c>
      <c r="M147" s="56">
        <v>30.1</v>
      </c>
      <c r="N147" s="56">
        <f t="shared" si="17"/>
        <v>2.0908000000000002</v>
      </c>
      <c r="O147" s="56">
        <v>54.5</v>
      </c>
      <c r="P147" s="56">
        <f t="shared" si="26"/>
        <v>3.1342000000000003</v>
      </c>
    </row>
    <row r="148" spans="4:16" x14ac:dyDescent="0.15">
      <c r="D148" s="44">
        <v>1954</v>
      </c>
      <c r="E148" s="21">
        <f t="shared" si="21"/>
        <v>85.5</v>
      </c>
      <c r="F148" s="6">
        <f t="shared" si="23"/>
        <v>5.3104999999999984</v>
      </c>
      <c r="G148" s="8">
        <f t="shared" si="24"/>
        <v>0.8311299519345271</v>
      </c>
      <c r="H148" s="55">
        <v>7.1355563568921578</v>
      </c>
      <c r="I148" s="6">
        <f t="shared" ca="1" si="22"/>
        <v>-2.6671699997652922</v>
      </c>
      <c r="J148" s="6">
        <f t="shared" ca="1" si="20"/>
        <v>5.4813664543101588</v>
      </c>
      <c r="K148" s="6">
        <f t="shared" si="25"/>
        <v>0.55543920495433097</v>
      </c>
      <c r="M148" s="56">
        <v>29.2</v>
      </c>
      <c r="N148" s="56">
        <f t="shared" si="17"/>
        <v>2.12</v>
      </c>
      <c r="O148" s="56">
        <v>56.3</v>
      </c>
      <c r="P148" s="56">
        <f t="shared" si="26"/>
        <v>3.1905000000000001</v>
      </c>
    </row>
    <row r="149" spans="4:16" x14ac:dyDescent="0.15">
      <c r="D149" s="44">
        <v>1955</v>
      </c>
      <c r="E149" s="21">
        <f t="shared" si="21"/>
        <v>87.3</v>
      </c>
      <c r="F149" s="6">
        <f t="shared" si="23"/>
        <v>5.3977999999999984</v>
      </c>
      <c r="G149" s="8">
        <f t="shared" si="24"/>
        <v>0.88590891464568156</v>
      </c>
      <c r="H149" s="55">
        <v>7.2380979069833176</v>
      </c>
      <c r="I149" s="6">
        <f t="shared" ca="1" si="22"/>
        <v>-2.31947205534766</v>
      </c>
      <c r="J149" s="6">
        <f t="shared" ca="1" si="20"/>
        <v>5.5434101474502988</v>
      </c>
      <c r="K149" s="6">
        <f t="shared" si="25"/>
        <v>0.58994487192675726</v>
      </c>
      <c r="M149" s="56">
        <v>29.9</v>
      </c>
      <c r="N149" s="56">
        <f t="shared" si="17"/>
        <v>2.1499000000000001</v>
      </c>
      <c r="O149" s="56">
        <v>57.4</v>
      </c>
      <c r="P149" s="56">
        <f t="shared" si="26"/>
        <v>3.2479</v>
      </c>
    </row>
    <row r="150" spans="4:16" x14ac:dyDescent="0.15">
      <c r="D150" s="44">
        <v>1956</v>
      </c>
      <c r="E150" s="21">
        <f t="shared" si="21"/>
        <v>86.9</v>
      </c>
      <c r="F150" s="6">
        <f t="shared" si="23"/>
        <v>5.4846999999999984</v>
      </c>
      <c r="G150" s="8">
        <f t="shared" si="24"/>
        <v>0.94170594789167361</v>
      </c>
      <c r="H150" s="55">
        <v>7.3438042298611395</v>
      </c>
      <c r="I150" s="6">
        <f t="shared" ca="1" si="22"/>
        <v>-1.9467270582081255</v>
      </c>
      <c r="J150" s="6">
        <f t="shared" ca="1" si="20"/>
        <v>5.6043188242395363</v>
      </c>
      <c r="K150" s="6">
        <f t="shared" si="25"/>
        <v>0.62500465973464525</v>
      </c>
      <c r="M150" s="56">
        <v>29.5</v>
      </c>
      <c r="N150" s="56">
        <f t="shared" si="17"/>
        <v>2.1794000000000002</v>
      </c>
      <c r="O150" s="56">
        <v>57.4</v>
      </c>
      <c r="P150" s="56">
        <f t="shared" si="26"/>
        <v>3.3052999999999999</v>
      </c>
    </row>
    <row r="151" spans="4:16" x14ac:dyDescent="0.15">
      <c r="D151" s="44">
        <v>1957</v>
      </c>
      <c r="E151" s="21">
        <f t="shared" si="21"/>
        <v>88.1</v>
      </c>
      <c r="F151" s="6">
        <f t="shared" si="23"/>
        <v>5.5727999999999982</v>
      </c>
      <c r="G151" s="8">
        <f t="shared" si="24"/>
        <v>0.99970440157569851</v>
      </c>
      <c r="H151" s="176">
        <v>7.4525894275507181</v>
      </c>
      <c r="I151" s="6">
        <f t="shared" ca="1" si="22"/>
        <v>-1.5198216744474848</v>
      </c>
      <c r="J151" s="6">
        <f t="shared" ca="1" si="20"/>
        <v>5.6640744269227534</v>
      </c>
      <c r="K151" s="6">
        <f t="shared" si="25"/>
        <v>0.66135106737157134</v>
      </c>
      <c r="M151" s="56">
        <v>29</v>
      </c>
      <c r="N151" s="56">
        <f t="shared" si="17"/>
        <v>2.2084000000000001</v>
      </c>
      <c r="O151" s="56">
        <v>59.1</v>
      </c>
      <c r="P151" s="56">
        <f t="shared" si="26"/>
        <v>3.3643999999999998</v>
      </c>
    </row>
    <row r="152" spans="4:16" x14ac:dyDescent="0.15">
      <c r="D152" s="44">
        <v>1958</v>
      </c>
      <c r="E152" s="21">
        <f t="shared" si="21"/>
        <v>87.1</v>
      </c>
      <c r="F152" s="6">
        <f t="shared" si="23"/>
        <v>5.6598999999999986</v>
      </c>
      <c r="G152" s="8">
        <f t="shared" si="24"/>
        <v>1.0586141470326356</v>
      </c>
      <c r="H152" s="176">
        <v>7.5626338842434251</v>
      </c>
      <c r="I152" s="6">
        <f t="shared" ca="1" si="22"/>
        <v>-1.070496259559377</v>
      </c>
      <c r="J152" s="6">
        <f t="shared" ca="1" si="20"/>
        <v>5.7226614427923543</v>
      </c>
      <c r="K152" s="6">
        <f t="shared" si="25"/>
        <v>0.6981649276170323</v>
      </c>
      <c r="M152" s="56">
        <v>27.1</v>
      </c>
      <c r="N152" s="56">
        <f t="shared" si="17"/>
        <v>2.2355</v>
      </c>
      <c r="O152" s="56">
        <v>60</v>
      </c>
      <c r="P152" s="56">
        <f t="shared" si="26"/>
        <v>3.4243999999999999</v>
      </c>
    </row>
    <row r="153" spans="4:16" x14ac:dyDescent="0.15">
      <c r="D153" s="44">
        <v>1959</v>
      </c>
      <c r="E153" s="21">
        <f t="shared" si="21"/>
        <v>82.6</v>
      </c>
      <c r="F153" s="6">
        <f t="shared" si="23"/>
        <v>5.7424999999999988</v>
      </c>
      <c r="G153" s="8">
        <f t="shared" si="24"/>
        <v>1.1160780000051689</v>
      </c>
      <c r="H153" s="176">
        <v>7.6698538163515284</v>
      </c>
      <c r="I153" s="6">
        <f t="shared" ca="1" si="22"/>
        <v>-0.6567433753041314</v>
      </c>
      <c r="J153" s="6">
        <f t="shared" ca="1" si="20"/>
        <v>5.7800668517304734</v>
      </c>
      <c r="K153" s="6">
        <f t="shared" si="25"/>
        <v>0.73397268885452094</v>
      </c>
      <c r="M153" s="56">
        <v>22.8</v>
      </c>
      <c r="N153" s="56">
        <f t="shared" si="17"/>
        <v>2.2583000000000002</v>
      </c>
      <c r="O153" s="56">
        <v>59.8</v>
      </c>
      <c r="P153" s="56">
        <f t="shared" si="26"/>
        <v>3.4842</v>
      </c>
    </row>
    <row r="154" spans="4:16" x14ac:dyDescent="0.15">
      <c r="D154" s="44">
        <v>1960</v>
      </c>
      <c r="E154" s="21">
        <f t="shared" si="21"/>
        <v>80.7</v>
      </c>
      <c r="F154" s="6">
        <f t="shared" si="23"/>
        <v>5.823199999999999</v>
      </c>
      <c r="G154" s="8">
        <f t="shared" si="24"/>
        <v>1.1738829284329904</v>
      </c>
      <c r="H154" s="176">
        <v>7.7731617216987328</v>
      </c>
      <c r="I154" s="6">
        <f t="shared" ca="1" si="22"/>
        <v>-0.23459919141077989</v>
      </c>
      <c r="J154" s="6">
        <f t="shared" ca="1" si="20"/>
        <v>5.8362800652369833</v>
      </c>
      <c r="K154" s="6">
        <f t="shared" si="25"/>
        <v>0.76988980371996807</v>
      </c>
      <c r="M154" s="56">
        <v>22.5</v>
      </c>
      <c r="N154" s="56">
        <f t="shared" ref="N154:N203" si="27">N153+M154/1000</f>
        <v>2.2808000000000002</v>
      </c>
      <c r="O154" s="56">
        <v>58.2</v>
      </c>
      <c r="P154" s="56">
        <f t="shared" si="26"/>
        <v>3.5423999999999998</v>
      </c>
    </row>
    <row r="155" spans="4:16" x14ac:dyDescent="0.15">
      <c r="D155" s="44">
        <v>1961</v>
      </c>
      <c r="E155" s="21">
        <f t="shared" si="21"/>
        <v>76.8</v>
      </c>
      <c r="F155" s="6">
        <f t="shared" si="23"/>
        <v>5.8999999999999995</v>
      </c>
      <c r="G155" s="8">
        <f t="shared" si="24"/>
        <v>1.2305809410800552</v>
      </c>
      <c r="H155" s="176">
        <v>7.8703396836095472</v>
      </c>
      <c r="I155" s="6">
        <f t="shared" ca="1" si="22"/>
        <v>0.16031212700772812</v>
      </c>
      <c r="J155" s="6">
        <f t="shared" ca="1" si="20"/>
        <v>5.8912928577775139</v>
      </c>
      <c r="K155" s="6">
        <f t="shared" si="25"/>
        <v>0.8050184830740611</v>
      </c>
      <c r="M155" s="56">
        <v>21.5</v>
      </c>
      <c r="N155" s="56">
        <f t="shared" si="27"/>
        <v>2.3023000000000002</v>
      </c>
      <c r="O155" s="56">
        <v>55.3</v>
      </c>
      <c r="P155" s="56">
        <f t="shared" si="26"/>
        <v>3.5976999999999997</v>
      </c>
    </row>
    <row r="156" spans="4:16" x14ac:dyDescent="0.15">
      <c r="D156" s="44">
        <v>1962</v>
      </c>
      <c r="E156" s="21">
        <f t="shared" si="21"/>
        <v>76.400000000000006</v>
      </c>
      <c r="F156" s="6">
        <f t="shared" si="23"/>
        <v>5.976399999999999</v>
      </c>
      <c r="G156" s="8">
        <f t="shared" si="24"/>
        <v>1.2887872479047833</v>
      </c>
      <c r="H156" s="176">
        <v>7.9622207282548265</v>
      </c>
      <c r="I156" s="6">
        <f t="shared" ca="1" si="22"/>
        <v>0.59233121202532857</v>
      </c>
      <c r="J156" s="6">
        <f t="shared" ca="1" si="20"/>
        <v>5.9450992912954783</v>
      </c>
      <c r="K156" s="6">
        <f t="shared" si="25"/>
        <v>0.84097876807651106</v>
      </c>
      <c r="M156" s="56">
        <v>21.2</v>
      </c>
      <c r="N156" s="56">
        <f t="shared" si="27"/>
        <v>2.3235000000000001</v>
      </c>
      <c r="O156" s="56">
        <v>55.2</v>
      </c>
      <c r="P156" s="56">
        <f t="shared" si="26"/>
        <v>3.6528999999999998</v>
      </c>
    </row>
    <row r="157" spans="4:16" x14ac:dyDescent="0.15">
      <c r="D157" s="44">
        <v>1963</v>
      </c>
      <c r="E157" s="21">
        <f t="shared" si="21"/>
        <v>71.599999999999994</v>
      </c>
      <c r="F157" s="6">
        <f t="shared" si="23"/>
        <v>6.0479999999999992</v>
      </c>
      <c r="G157" s="8">
        <f t="shared" si="24"/>
        <v>1.3451393102277664</v>
      </c>
      <c r="H157" s="176">
        <v>8.0465309273909664</v>
      </c>
      <c r="I157" s="6">
        <f t="shared" ca="1" si="22"/>
        <v>0.97873129697813965</v>
      </c>
      <c r="J157" s="6">
        <f t="shared" ca="1" si="20"/>
        <v>5.9976956337325245</v>
      </c>
      <c r="K157" s="6">
        <f t="shared" si="25"/>
        <v>0.87569583613847191</v>
      </c>
      <c r="M157" s="56">
        <v>21.4</v>
      </c>
      <c r="N157" s="56">
        <f t="shared" si="27"/>
        <v>2.3449</v>
      </c>
      <c r="O157" s="56">
        <v>50.2</v>
      </c>
      <c r="P157" s="56">
        <f t="shared" si="26"/>
        <v>3.7030999999999996</v>
      </c>
    </row>
    <row r="158" spans="4:16" x14ac:dyDescent="0.15">
      <c r="D158" s="44">
        <v>1964</v>
      </c>
      <c r="E158" s="21">
        <f t="shared" si="21"/>
        <v>76.599999999999994</v>
      </c>
      <c r="F158" s="6">
        <f t="shared" si="23"/>
        <v>6.1245999999999992</v>
      </c>
      <c r="G158" s="8">
        <f t="shared" si="24"/>
        <v>1.4075654963960782</v>
      </c>
      <c r="H158" s="176">
        <v>8.1279366064525842</v>
      </c>
      <c r="I158" s="6">
        <f t="shared" ca="1" si="22"/>
        <v>1.5145698490971427</v>
      </c>
      <c r="J158" s="6">
        <f t="shared" ca="1" si="20"/>
        <v>6.0490802723935566</v>
      </c>
      <c r="K158" s="6">
        <f t="shared" si="25"/>
        <v>0.91404596677364025</v>
      </c>
      <c r="M158" s="56">
        <v>21.3</v>
      </c>
      <c r="N158" s="56">
        <f t="shared" si="27"/>
        <v>2.3662000000000001</v>
      </c>
      <c r="O158" s="56">
        <v>55.3</v>
      </c>
      <c r="P158" s="56">
        <f t="shared" si="26"/>
        <v>3.7583999999999995</v>
      </c>
    </row>
    <row r="159" spans="4:16" x14ac:dyDescent="0.15">
      <c r="D159" s="44">
        <v>1965</v>
      </c>
      <c r="E159" s="21">
        <f t="shared" si="21"/>
        <v>73.8</v>
      </c>
      <c r="F159" s="6">
        <f t="shared" si="23"/>
        <v>6.1983999999999995</v>
      </c>
      <c r="G159" s="8">
        <f t="shared" si="24"/>
        <v>1.4700319098443346</v>
      </c>
      <c r="H159" s="176">
        <v>8.205109254455671</v>
      </c>
      <c r="I159" s="6">
        <f t="shared" ca="1" si="22"/>
        <v>2.0513980917796744</v>
      </c>
      <c r="J159" s="6">
        <f t="shared" ca="1" si="20"/>
        <v>6.0992536229764838</v>
      </c>
      <c r="K159" s="6">
        <f t="shared" si="25"/>
        <v>0.9523107206532021</v>
      </c>
      <c r="M159" s="56">
        <v>19.8</v>
      </c>
      <c r="N159" s="56">
        <f t="shared" si="27"/>
        <v>2.3860000000000001</v>
      </c>
      <c r="O159" s="56">
        <v>54</v>
      </c>
      <c r="P159" s="56">
        <f t="shared" si="26"/>
        <v>3.8123999999999993</v>
      </c>
    </row>
    <row r="160" spans="4:16" x14ac:dyDescent="0.15">
      <c r="D160" s="44">
        <v>1966</v>
      </c>
      <c r="E160" s="21">
        <f t="shared" si="21"/>
        <v>70.400000000000006</v>
      </c>
      <c r="F160" s="6">
        <f t="shared" si="23"/>
        <v>6.2687999999999997</v>
      </c>
      <c r="G160" s="8">
        <f t="shared" si="24"/>
        <v>1.5319867245696248</v>
      </c>
      <c r="H160" s="176">
        <v>8.2767262339154435</v>
      </c>
      <c r="I160" s="6">
        <f t="shared" ca="1" si="22"/>
        <v>2.5756397407558325</v>
      </c>
      <c r="J160" s="6">
        <f t="shared" ca="1" si="20"/>
        <v>6.1482180350637998</v>
      </c>
      <c r="K160" s="6">
        <f t="shared" si="25"/>
        <v>0.99015943920202254</v>
      </c>
      <c r="M160" s="56">
        <v>17.5</v>
      </c>
      <c r="N160" s="56">
        <f t="shared" si="27"/>
        <v>2.4035000000000002</v>
      </c>
      <c r="O160" s="56">
        <v>52.9</v>
      </c>
      <c r="P160" s="56">
        <f t="shared" si="26"/>
        <v>3.8652999999999995</v>
      </c>
    </row>
    <row r="161" spans="4:16" x14ac:dyDescent="0.15">
      <c r="D161" s="44">
        <v>1967</v>
      </c>
      <c r="E161" s="21">
        <f t="shared" si="21"/>
        <v>67</v>
      </c>
      <c r="F161" s="6">
        <f t="shared" si="23"/>
        <v>6.3357999999999999</v>
      </c>
      <c r="G161" s="8">
        <f t="shared" si="24"/>
        <v>1.5933392636924355</v>
      </c>
      <c r="H161" s="176">
        <v>8.3418610371018236</v>
      </c>
      <c r="I161" s="6">
        <f t="shared" ca="1" si="22"/>
        <v>3.0850639205564221</v>
      </c>
      <c r="J161" s="6">
        <f t="shared" ca="1" si="20"/>
        <v>6.1959776948440251</v>
      </c>
      <c r="K161" s="6">
        <f t="shared" si="25"/>
        <v>1.0275469096269145</v>
      </c>
      <c r="M161" s="56">
        <v>16.399999999999999</v>
      </c>
      <c r="N161" s="56">
        <f t="shared" si="27"/>
        <v>2.4199000000000002</v>
      </c>
      <c r="O161" s="56">
        <v>50.6</v>
      </c>
      <c r="P161" s="56">
        <f t="shared" si="26"/>
        <v>3.9158999999999997</v>
      </c>
    </row>
    <row r="162" spans="4:16" x14ac:dyDescent="0.15">
      <c r="D162" s="44">
        <v>1968</v>
      </c>
      <c r="E162" s="21">
        <f t="shared" si="21"/>
        <v>59.900000000000006</v>
      </c>
      <c r="F162" s="6">
        <f t="shared" si="23"/>
        <v>6.3956999999999997</v>
      </c>
      <c r="G162" s="8">
        <f t="shared" si="24"/>
        <v>1.6503818622503876</v>
      </c>
      <c r="H162" s="176">
        <v>8.3978600543429778</v>
      </c>
      <c r="I162" s="6">
        <f t="shared" ca="1" si="22"/>
        <v>3.4884529045020827</v>
      </c>
      <c r="J162" s="6">
        <f t="shared" ca="1" si="20"/>
        <v>6.242538525796717</v>
      </c>
      <c r="K162" s="6">
        <f t="shared" si="25"/>
        <v>1.0622323763182608</v>
      </c>
      <c r="M162" s="56">
        <v>14.8</v>
      </c>
      <c r="N162" s="56">
        <f t="shared" si="27"/>
        <v>2.4347000000000003</v>
      </c>
      <c r="O162" s="56">
        <v>45.1</v>
      </c>
      <c r="P162" s="56">
        <f t="shared" si="26"/>
        <v>3.9609999999999999</v>
      </c>
    </row>
    <row r="163" spans="4:16" x14ac:dyDescent="0.15">
      <c r="D163" s="44">
        <v>1969</v>
      </c>
      <c r="E163" s="21">
        <f t="shared" si="21"/>
        <v>56.7</v>
      </c>
      <c r="F163" s="6">
        <f t="shared" si="23"/>
        <v>6.4523999999999999</v>
      </c>
      <c r="G163" s="8">
        <f t="shared" si="24"/>
        <v>1.7064876272082585</v>
      </c>
      <c r="H163" s="176">
        <v>8.4449662068628584</v>
      </c>
      <c r="I163" s="6">
        <f t="shared" ca="1" si="22"/>
        <v>3.8687934652098193</v>
      </c>
      <c r="J163" s="6">
        <f t="shared" ca="1" si="20"/>
        <v>6.2879080880361728</v>
      </c>
      <c r="K163" s="6">
        <f t="shared" si="25"/>
        <v>1.096285364526616</v>
      </c>
      <c r="M163" s="56">
        <v>13.2</v>
      </c>
      <c r="N163" s="56">
        <f t="shared" si="27"/>
        <v>2.4479000000000002</v>
      </c>
      <c r="O163" s="56">
        <v>43.5</v>
      </c>
      <c r="P163" s="56">
        <f t="shared" si="26"/>
        <v>4.0045000000000002</v>
      </c>
    </row>
    <row r="164" spans="4:16" x14ac:dyDescent="0.15">
      <c r="D164" s="44">
        <v>1970</v>
      </c>
      <c r="E164" s="21">
        <f t="shared" si="21"/>
        <v>51.5</v>
      </c>
      <c r="F164" s="6">
        <f t="shared" si="23"/>
        <v>6.5038999999999998</v>
      </c>
      <c r="G164" s="8">
        <f t="shared" si="24"/>
        <v>1.7594085007378808</v>
      </c>
      <c r="H164" s="176">
        <v>8.4825023315722081</v>
      </c>
      <c r="I164" s="6">
        <f t="shared" ca="1" si="22"/>
        <v>4.1707778209326989</v>
      </c>
      <c r="J164" s="6">
        <f t="shared" ca="1" si="20"/>
        <v>6.3320954769668392</v>
      </c>
      <c r="K164" s="6">
        <f t="shared" si="25"/>
        <v>1.1283563639601359</v>
      </c>
      <c r="M164" s="56">
        <v>11.4</v>
      </c>
      <c r="N164" s="56">
        <f t="shared" si="27"/>
        <v>2.4593000000000003</v>
      </c>
      <c r="O164" s="56">
        <v>40.1</v>
      </c>
      <c r="P164" s="56">
        <f t="shared" si="26"/>
        <v>4.0446</v>
      </c>
    </row>
    <row r="165" spans="4:16" x14ac:dyDescent="0.15">
      <c r="D165" s="44">
        <v>1971</v>
      </c>
      <c r="E165" s="21">
        <f t="shared" si="21"/>
        <v>46.8</v>
      </c>
      <c r="F165" s="6">
        <f t="shared" si="23"/>
        <v>6.5507</v>
      </c>
      <c r="G165" s="8">
        <f t="shared" si="24"/>
        <v>1.8092768831168338</v>
      </c>
      <c r="H165" s="176">
        <v>8.5103733793448431</v>
      </c>
      <c r="I165" s="6">
        <f t="shared" ca="1" si="22"/>
        <v>4.3976633459094501</v>
      </c>
      <c r="J165" s="6">
        <f t="shared" ca="1" si="20"/>
        <v>6.3751112218587371</v>
      </c>
      <c r="K165" s="6">
        <f t="shared" si="25"/>
        <v>1.1585418478633607</v>
      </c>
      <c r="M165" s="56">
        <v>11</v>
      </c>
      <c r="N165" s="56">
        <f t="shared" si="27"/>
        <v>2.4703000000000004</v>
      </c>
      <c r="O165" s="56">
        <v>35.799999999999997</v>
      </c>
      <c r="P165" s="56">
        <f t="shared" si="26"/>
        <v>4.0804</v>
      </c>
    </row>
    <row r="166" spans="4:16" x14ac:dyDescent="0.15">
      <c r="D166" s="44">
        <v>1972</v>
      </c>
      <c r="E166" s="21">
        <f t="shared" si="21"/>
        <v>43.2</v>
      </c>
      <c r="F166" s="6">
        <f t="shared" si="23"/>
        <v>6.5938999999999997</v>
      </c>
      <c r="G166" s="8">
        <f t="shared" si="24"/>
        <v>1.8569506597661665</v>
      </c>
      <c r="H166" s="176">
        <v>8.5291585196554625</v>
      </c>
      <c r="I166" s="6">
        <f t="shared" ca="1" si="22"/>
        <v>4.5705561429438148</v>
      </c>
      <c r="J166" s="6">
        <f t="shared" ca="1" si="20"/>
        <v>6.4169671849046113</v>
      </c>
      <c r="K166" s="6">
        <f t="shared" si="25"/>
        <v>1.1873740923780636</v>
      </c>
      <c r="M166" s="56">
        <v>10.5</v>
      </c>
      <c r="N166" s="56">
        <f t="shared" si="27"/>
        <v>2.4808000000000003</v>
      </c>
      <c r="O166" s="56">
        <v>32.700000000000003</v>
      </c>
      <c r="P166" s="56">
        <f t="shared" si="26"/>
        <v>4.1131000000000002</v>
      </c>
    </row>
    <row r="167" spans="4:16" x14ac:dyDescent="0.15">
      <c r="D167" s="44">
        <v>1973</v>
      </c>
      <c r="E167" s="21">
        <f t="shared" si="21"/>
        <v>37.200000000000003</v>
      </c>
      <c r="F167" s="6">
        <f t="shared" si="23"/>
        <v>6.6311</v>
      </c>
      <c r="G167" s="8">
        <f t="shared" si="24"/>
        <v>1.8993748904941214</v>
      </c>
      <c r="H167" s="176">
        <v>8.5384916488257829</v>
      </c>
      <c r="I167" s="6">
        <f t="shared" ca="1" si="22"/>
        <v>4.6142971288229546</v>
      </c>
      <c r="J167" s="6">
        <f t="shared" ca="1" si="20"/>
        <v>6.4576764612727686</v>
      </c>
      <c r="K167" s="6">
        <f t="shared" si="25"/>
        <v>1.2130174173340129</v>
      </c>
      <c r="M167" s="56">
        <v>8.8000000000000007</v>
      </c>
      <c r="N167" s="56">
        <f t="shared" si="27"/>
        <v>2.4896000000000003</v>
      </c>
      <c r="O167" s="56">
        <v>28.4</v>
      </c>
      <c r="P167" s="56">
        <f t="shared" si="26"/>
        <v>4.1415000000000006</v>
      </c>
    </row>
    <row r="168" spans="4:16" x14ac:dyDescent="0.15">
      <c r="D168" s="44">
        <v>1974</v>
      </c>
      <c r="E168" s="21">
        <f t="shared" si="21"/>
        <v>33.799999999999997</v>
      </c>
      <c r="F168" s="6">
        <f t="shared" si="23"/>
        <v>6.6649000000000003</v>
      </c>
      <c r="G168" s="8">
        <f t="shared" si="24"/>
        <v>1.9391106265709457</v>
      </c>
      <c r="H168" s="176">
        <v>8.5392775622635</v>
      </c>
      <c r="I168" s="6">
        <f t="shared" ca="1" si="22"/>
        <v>4.591894497963267</v>
      </c>
      <c r="J168" s="6">
        <f t="shared" ca="1" si="20"/>
        <v>6.4972532806213774</v>
      </c>
      <c r="K168" s="6">
        <f t="shared" si="25"/>
        <v>1.2370291234215369</v>
      </c>
      <c r="M168" s="56">
        <v>8.1</v>
      </c>
      <c r="N168" s="56">
        <f t="shared" si="27"/>
        <v>2.4977000000000005</v>
      </c>
      <c r="O168" s="56">
        <v>25.7</v>
      </c>
      <c r="P168" s="56">
        <f t="shared" si="26"/>
        <v>4.1672000000000002</v>
      </c>
    </row>
    <row r="169" spans="4:16" x14ac:dyDescent="0.15">
      <c r="D169" s="44">
        <v>1975</v>
      </c>
      <c r="E169" s="21">
        <f t="shared" ref="E169:E203" si="28">SUM(M169,O169)</f>
        <v>33.1</v>
      </c>
      <c r="F169" s="6">
        <f t="shared" si="23"/>
        <v>6.6980000000000004</v>
      </c>
      <c r="G169" s="8">
        <f t="shared" si="24"/>
        <v>1.9792034862009393</v>
      </c>
      <c r="H169" s="176">
        <v>8.5332522371771091</v>
      </c>
      <c r="I169" s="6">
        <f t="shared" ref="I169:I203" ca="1" si="29" xml:space="preserve"> G169*(F$2-E$2)/LN(81) + AVERAGE(E$2:F$2) - D169</f>
        <v>4.578277989634671</v>
      </c>
      <c r="J169" s="6">
        <f t="shared" ca="1" si="20"/>
        <v>6.5357129104918004</v>
      </c>
      <c r="K169" s="6">
        <f t="shared" si="25"/>
        <v>1.2612556854636017</v>
      </c>
      <c r="M169" s="56">
        <v>7.5</v>
      </c>
      <c r="N169" s="56">
        <f t="shared" si="27"/>
        <v>2.5052000000000003</v>
      </c>
      <c r="O169" s="56">
        <v>25.6</v>
      </c>
      <c r="P169" s="56">
        <f t="shared" si="26"/>
        <v>4.1928000000000001</v>
      </c>
    </row>
    <row r="170" spans="4:16" x14ac:dyDescent="0.15">
      <c r="D170" s="44">
        <v>1976</v>
      </c>
      <c r="E170" s="21">
        <f t="shared" si="28"/>
        <v>32.300000000000004</v>
      </c>
      <c r="F170" s="6">
        <f t="shared" si="23"/>
        <v>6.7303000000000006</v>
      </c>
      <c r="G170" s="8">
        <f t="shared" si="24"/>
        <v>2.0195368798929816</v>
      </c>
      <c r="H170" s="176">
        <v>8.5217611186200237</v>
      </c>
      <c r="I170" s="6">
        <f t="shared" ca="1" si="29"/>
        <v>4.5705792140440735</v>
      </c>
      <c r="J170" s="6">
        <f t="shared" ca="1" si="20"/>
        <v>6.5730715619511608</v>
      </c>
      <c r="K170" s="6">
        <f t="shared" si="25"/>
        <v>1.2856325246264244</v>
      </c>
      <c r="M170" s="56">
        <v>7.2</v>
      </c>
      <c r="N170" s="56">
        <f t="shared" si="27"/>
        <v>2.5124000000000004</v>
      </c>
      <c r="O170" s="56">
        <v>25.1</v>
      </c>
      <c r="P170" s="56">
        <f t="shared" si="26"/>
        <v>4.2179000000000002</v>
      </c>
    </row>
    <row r="171" spans="4:16" x14ac:dyDescent="0.15">
      <c r="D171" s="44">
        <v>1977</v>
      </c>
      <c r="E171" s="21">
        <f t="shared" si="28"/>
        <v>31.5</v>
      </c>
      <c r="F171" s="6">
        <f t="shared" si="23"/>
        <v>6.7618000000000009</v>
      </c>
      <c r="G171" s="8">
        <f t="shared" si="24"/>
        <v>2.0601086163675824</v>
      </c>
      <c r="H171" s="176">
        <v>8.5058930869080793</v>
      </c>
      <c r="I171" s="6">
        <f t="shared" ca="1" si="29"/>
        <v>4.5687442602970805</v>
      </c>
      <c r="J171" s="6">
        <f t="shared" ca="1" si="20"/>
        <v>6.6093462978078596</v>
      </c>
      <c r="K171" s="6">
        <f t="shared" si="25"/>
        <v>1.3101648728034192</v>
      </c>
      <c r="M171" s="56">
        <v>7.1</v>
      </c>
      <c r="N171" s="56">
        <f t="shared" si="27"/>
        <v>2.5195000000000003</v>
      </c>
      <c r="O171" s="56">
        <v>24.4</v>
      </c>
      <c r="P171" s="56">
        <f t="shared" si="26"/>
        <v>4.2423000000000002</v>
      </c>
    </row>
    <row r="172" spans="4:16" x14ac:dyDescent="0.15">
      <c r="D172" s="44">
        <v>1978</v>
      </c>
      <c r="E172" s="21">
        <f t="shared" si="28"/>
        <v>29</v>
      </c>
      <c r="F172" s="6">
        <f t="shared" si="23"/>
        <v>6.7908000000000008</v>
      </c>
      <c r="G172" s="8">
        <f t="shared" si="24"/>
        <v>2.0986209972538883</v>
      </c>
      <c r="H172" s="176">
        <v>8.4860658956022466</v>
      </c>
      <c r="I172" s="6">
        <f t="shared" ca="1" si="29"/>
        <v>4.5162440665417307</v>
      </c>
      <c r="J172" s="6">
        <f t="shared" ca="1" si="20"/>
        <v>6.6445549436789477</v>
      </c>
      <c r="K172" s="6">
        <f t="shared" si="25"/>
        <v>1.3334690032003564</v>
      </c>
      <c r="M172" s="56">
        <v>6.6</v>
      </c>
      <c r="N172" s="56">
        <f t="shared" si="27"/>
        <v>2.5261000000000005</v>
      </c>
      <c r="O172" s="56">
        <v>22.4</v>
      </c>
      <c r="P172" s="56">
        <f t="shared" si="26"/>
        <v>4.2647000000000004</v>
      </c>
    </row>
    <row r="173" spans="4:16" x14ac:dyDescent="0.15">
      <c r="D173" s="44">
        <v>1979</v>
      </c>
      <c r="E173" s="21">
        <f t="shared" si="28"/>
        <v>27.200000000000003</v>
      </c>
      <c r="F173" s="6">
        <f t="shared" si="23"/>
        <v>6.8180000000000005</v>
      </c>
      <c r="G173" s="8">
        <f t="shared" si="24"/>
        <v>2.1358276470108661</v>
      </c>
      <c r="H173" s="176">
        <v>8.462851795337464</v>
      </c>
      <c r="I173" s="6">
        <f t="shared" ca="1" si="29"/>
        <v>4.4316196580905398</v>
      </c>
      <c r="J173" s="6">
        <f t="shared" ca="1" si="20"/>
        <v>6.6787160021451646</v>
      </c>
      <c r="K173" s="6">
        <f t="shared" si="25"/>
        <v>1.3560049191278365</v>
      </c>
      <c r="M173" s="56">
        <v>6.1</v>
      </c>
      <c r="N173" s="56">
        <f t="shared" si="27"/>
        <v>2.5322000000000005</v>
      </c>
      <c r="O173" s="56">
        <v>21.1</v>
      </c>
      <c r="P173" s="56">
        <f t="shared" si="26"/>
        <v>4.2858000000000001</v>
      </c>
    </row>
    <row r="174" spans="4:16" x14ac:dyDescent="0.15">
      <c r="D174" s="44">
        <v>1980</v>
      </c>
      <c r="E174" s="21">
        <f t="shared" si="28"/>
        <v>27</v>
      </c>
      <c r="F174" s="6">
        <f t="shared" si="23"/>
        <v>6.8450000000000006</v>
      </c>
      <c r="G174" s="8">
        <f t="shared" si="24"/>
        <v>2.1738730820171974</v>
      </c>
      <c r="H174" s="6">
        <v>8.4371281427916092</v>
      </c>
      <c r="I174" s="6">
        <f t="shared" ca="1" si="29"/>
        <v>4.3676314409874522</v>
      </c>
      <c r="J174" s="6">
        <f t="shared" ca="1" si="20"/>
        <v>6.7118485701885202</v>
      </c>
      <c r="K174" s="6">
        <f t="shared" si="25"/>
        <v>1.3790777060936292</v>
      </c>
      <c r="M174" s="56">
        <v>6.3</v>
      </c>
      <c r="N174" s="56">
        <f t="shared" si="27"/>
        <v>2.5385000000000004</v>
      </c>
      <c r="O174" s="56">
        <v>20.7</v>
      </c>
      <c r="P174" s="56">
        <f t="shared" si="26"/>
        <v>4.3064999999999998</v>
      </c>
    </row>
    <row r="175" spans="4:16" x14ac:dyDescent="0.15">
      <c r="D175" s="45">
        <v>1981</v>
      </c>
      <c r="E175" s="21">
        <f t="shared" si="28"/>
        <v>28.83</v>
      </c>
      <c r="F175" s="6">
        <f t="shared" si="23"/>
        <v>6.8738300000000008</v>
      </c>
      <c r="G175" s="8">
        <f t="shared" si="24"/>
        <v>2.2158107344042577</v>
      </c>
      <c r="H175" s="55">
        <v>8.4100775619859949</v>
      </c>
      <c r="I175" s="6">
        <f t="shared" ca="1" si="29"/>
        <v>4.3994013964311307</v>
      </c>
      <c r="J175" s="6">
        <f t="shared" ca="1" si="20"/>
        <v>6.7439722600686434</v>
      </c>
      <c r="K175" s="6">
        <f t="shared" si="25"/>
        <v>1.4045532263293952</v>
      </c>
      <c r="M175" s="56">
        <v>6.1</v>
      </c>
      <c r="N175" s="56">
        <f t="shared" si="27"/>
        <v>2.5446000000000004</v>
      </c>
      <c r="O175" s="56">
        <v>22.73</v>
      </c>
      <c r="P175" s="56">
        <f t="shared" si="26"/>
        <v>4.3292299999999999</v>
      </c>
    </row>
    <row r="176" spans="4:16" x14ac:dyDescent="0.15">
      <c r="D176" s="44">
        <v>1982</v>
      </c>
      <c r="E176" s="21">
        <f t="shared" si="28"/>
        <v>28.31</v>
      </c>
      <c r="F176" s="6">
        <f t="shared" si="23"/>
        <v>6.9021400000000011</v>
      </c>
      <c r="G176" s="8">
        <f t="shared" si="24"/>
        <v>2.2584142956610336</v>
      </c>
      <c r="H176" s="55">
        <v>8.3821386833116485</v>
      </c>
      <c r="I176" s="6">
        <f t="shared" ca="1" si="29"/>
        <v>4.4475543567816658</v>
      </c>
      <c r="J176" s="6">
        <f t="shared" ca="1" si="20"/>
        <v>6.7751071237579321</v>
      </c>
      <c r="K176" s="6">
        <f t="shared" si="25"/>
        <v>1.4304889553142279</v>
      </c>
      <c r="M176" s="56">
        <v>6.5</v>
      </c>
      <c r="N176" s="56">
        <f t="shared" si="27"/>
        <v>2.5511000000000004</v>
      </c>
      <c r="O176" s="56">
        <v>21.81</v>
      </c>
      <c r="P176" s="56">
        <f t="shared" si="26"/>
        <v>4.3510400000000002</v>
      </c>
    </row>
    <row r="177" spans="4:16" x14ac:dyDescent="0.15">
      <c r="D177" s="44">
        <v>1983</v>
      </c>
      <c r="E177" s="21">
        <f t="shared" si="28"/>
        <v>27.310000000000002</v>
      </c>
      <c r="F177" s="6">
        <f t="shared" si="23"/>
        <v>6.929450000000001</v>
      </c>
      <c r="G177" s="8">
        <f t="shared" si="24"/>
        <v>2.3009562027344423</v>
      </c>
      <c r="H177" s="55">
        <v>8.3535789465158086</v>
      </c>
      <c r="I177" s="6">
        <f t="shared" ca="1" si="29"/>
        <v>4.494190471758202</v>
      </c>
      <c r="J177" s="6">
        <f t="shared" ca="1" si="20"/>
        <v>6.8052735810219742</v>
      </c>
      <c r="K177" s="6">
        <f t="shared" si="25"/>
        <v>1.4564547391788463</v>
      </c>
      <c r="M177" s="56">
        <v>6.1</v>
      </c>
      <c r="N177" s="56">
        <f t="shared" si="27"/>
        <v>2.5572000000000004</v>
      </c>
      <c r="O177" s="56">
        <v>21.21</v>
      </c>
      <c r="P177" s="56">
        <f t="shared" si="26"/>
        <v>4.3722500000000002</v>
      </c>
    </row>
    <row r="178" spans="4:16" x14ac:dyDescent="0.15">
      <c r="D178" s="44">
        <v>1984</v>
      </c>
      <c r="E178" s="21">
        <f t="shared" si="28"/>
        <v>26.96</v>
      </c>
      <c r="F178" s="6">
        <f t="shared" si="23"/>
        <v>6.9564100000000009</v>
      </c>
      <c r="G178" s="8">
        <f t="shared" si="24"/>
        <v>2.3444568937340367</v>
      </c>
      <c r="H178" s="55">
        <v>8.3247575151837605</v>
      </c>
      <c r="I178" s="6">
        <f t="shared" ca="1" si="29"/>
        <v>4.564415042274959</v>
      </c>
      <c r="J178" s="6">
        <f t="shared" ca="1" si="20"/>
        <v>6.8344923512006641</v>
      </c>
      <c r="K178" s="6">
        <f t="shared" si="25"/>
        <v>1.4830886730645274</v>
      </c>
      <c r="M178" s="56">
        <v>6.3</v>
      </c>
      <c r="N178" s="56">
        <f t="shared" si="27"/>
        <v>2.5635000000000003</v>
      </c>
      <c r="O178" s="56">
        <v>20.66</v>
      </c>
      <c r="P178" s="56">
        <f t="shared" si="26"/>
        <v>4.3929100000000005</v>
      </c>
    </row>
    <row r="179" spans="4:16" x14ac:dyDescent="0.15">
      <c r="D179" s="44">
        <v>1985</v>
      </c>
      <c r="E179" s="21">
        <f t="shared" si="28"/>
        <v>25.14</v>
      </c>
      <c r="F179" s="6">
        <f t="shared" si="23"/>
        <v>6.9815500000000013</v>
      </c>
      <c r="G179" s="8">
        <f t="shared" si="24"/>
        <v>2.3864774154208406</v>
      </c>
      <c r="H179" s="166">
        <v>8.2956858200198891</v>
      </c>
      <c r="I179" s="6">
        <f t="shared" ca="1" si="29"/>
        <v>4.5982237874181919</v>
      </c>
      <c r="J179" s="6">
        <f t="shared" ca="1" si="20"/>
        <v>6.8627843887172366</v>
      </c>
      <c r="K179" s="6">
        <f t="shared" si="25"/>
        <v>1.5089095715672407</v>
      </c>
      <c r="M179" s="56">
        <v>6.2</v>
      </c>
      <c r="N179" s="56">
        <f t="shared" si="27"/>
        <v>2.5697000000000005</v>
      </c>
      <c r="O179" s="56">
        <v>18.940000000000001</v>
      </c>
      <c r="P179" s="56">
        <f t="shared" si="26"/>
        <v>4.4118500000000003</v>
      </c>
    </row>
    <row r="180" spans="4:16" x14ac:dyDescent="0.15">
      <c r="D180" s="44">
        <v>1986</v>
      </c>
      <c r="E180" s="21">
        <f t="shared" si="28"/>
        <v>24.08</v>
      </c>
      <c r="F180" s="6">
        <f t="shared" si="23"/>
        <v>7.0056300000000009</v>
      </c>
      <c r="G180" s="8">
        <f t="shared" si="24"/>
        <v>2.4281514149555767</v>
      </c>
      <c r="H180" s="166">
        <v>8.2665213570264466</v>
      </c>
      <c r="I180" s="6">
        <f t="shared" ca="1" si="29"/>
        <v>4.6235072307133578</v>
      </c>
      <c r="J180" s="6">
        <f t="shared" ca="1" si="20"/>
        <v>6.8901708223166764</v>
      </c>
      <c r="K180" s="6">
        <f t="shared" si="25"/>
        <v>1.5346222135133993</v>
      </c>
      <c r="M180" s="56">
        <v>5.6</v>
      </c>
      <c r="N180" s="56">
        <f t="shared" si="27"/>
        <v>2.5753000000000004</v>
      </c>
      <c r="O180" s="56">
        <v>18.48</v>
      </c>
      <c r="P180" s="56">
        <f t="shared" si="26"/>
        <v>4.4303300000000005</v>
      </c>
    </row>
    <row r="181" spans="4:16" x14ac:dyDescent="0.15">
      <c r="D181" s="44">
        <v>1987</v>
      </c>
      <c r="E181" s="21">
        <f t="shared" si="28"/>
        <v>21.1</v>
      </c>
      <c r="F181" s="6">
        <f t="shared" si="23"/>
        <v>7.0267300000000006</v>
      </c>
      <c r="G181" s="8">
        <f t="shared" si="24"/>
        <v>2.4659036409301063</v>
      </c>
      <c r="H181" s="166">
        <v>8.2370434155461254</v>
      </c>
      <c r="I181" s="6">
        <f t="shared" ca="1" si="29"/>
        <v>4.5523053463575707</v>
      </c>
      <c r="J181" s="6">
        <f t="shared" ca="1" si="20"/>
        <v>6.9166728980119565</v>
      </c>
      <c r="K181" s="6">
        <f t="shared" si="25"/>
        <v>1.5580177615940909</v>
      </c>
      <c r="M181" s="56">
        <v>4.4000000000000004</v>
      </c>
      <c r="N181" s="56">
        <f t="shared" si="27"/>
        <v>2.5797000000000003</v>
      </c>
      <c r="O181" s="56">
        <v>16.7</v>
      </c>
      <c r="P181" s="56">
        <f t="shared" si="26"/>
        <v>4.4470300000000007</v>
      </c>
    </row>
    <row r="182" spans="4:16" x14ac:dyDescent="0.15">
      <c r="D182" s="44">
        <v>1988</v>
      </c>
      <c r="E182" s="21">
        <f t="shared" si="28"/>
        <v>17.73</v>
      </c>
      <c r="F182" s="6">
        <f t="shared" si="23"/>
        <v>7.0444600000000008</v>
      </c>
      <c r="G182" s="8">
        <f t="shared" si="24"/>
        <v>2.4985826399317244</v>
      </c>
      <c r="H182" s="166">
        <v>8.207010421619378</v>
      </c>
      <c r="I182" s="6">
        <f t="shared" ca="1" si="29"/>
        <v>4.3562895329937419</v>
      </c>
      <c r="J182" s="6">
        <f t="shared" ca="1" si="20"/>
        <v>6.9423119256960231</v>
      </c>
      <c r="K182" s="6">
        <f t="shared" si="25"/>
        <v>1.5783577964712761</v>
      </c>
      <c r="M182" s="56">
        <v>2.5</v>
      </c>
      <c r="N182" s="56">
        <f t="shared" si="27"/>
        <v>2.5822000000000003</v>
      </c>
      <c r="O182" s="56">
        <v>15.23</v>
      </c>
      <c r="P182" s="56">
        <f t="shared" si="26"/>
        <v>4.4622600000000006</v>
      </c>
    </row>
    <row r="183" spans="4:16" x14ac:dyDescent="0.15">
      <c r="D183" s="44">
        <v>1989</v>
      </c>
      <c r="E183" s="21">
        <f t="shared" si="28"/>
        <v>16.36</v>
      </c>
      <c r="F183" s="6">
        <f t="shared" si="23"/>
        <v>7.0608200000000005</v>
      </c>
      <c r="G183" s="8">
        <f t="shared" si="24"/>
        <v>2.5295615788741683</v>
      </c>
      <c r="H183" s="166">
        <v>8.1765676828656151</v>
      </c>
      <c r="I183" s="6">
        <f t="shared" ca="1" si="29"/>
        <v>4.1184480381323283</v>
      </c>
      <c r="J183" s="6">
        <f t="shared" ca="1" si="20"/>
        <v>6.9671092293593446</v>
      </c>
      <c r="K183" s="6">
        <f t="shared" si="25"/>
        <v>1.5977235027960353</v>
      </c>
      <c r="M183" s="56">
        <v>1.9</v>
      </c>
      <c r="N183" s="56">
        <f t="shared" si="27"/>
        <v>2.5841000000000003</v>
      </c>
      <c r="O183" s="56">
        <v>14.46</v>
      </c>
      <c r="P183" s="56">
        <f t="shared" si="26"/>
        <v>4.4767200000000003</v>
      </c>
    </row>
    <row r="184" spans="4:16" x14ac:dyDescent="0.15">
      <c r="D184" s="44">
        <v>1990</v>
      </c>
      <c r="E184" s="21">
        <f t="shared" si="28"/>
        <v>14.55</v>
      </c>
      <c r="F184" s="6">
        <f t="shared" si="23"/>
        <v>7.0753700000000004</v>
      </c>
      <c r="G184" s="8">
        <f t="shared" si="24"/>
        <v>2.5578175607017464</v>
      </c>
      <c r="H184" s="166">
        <v>8.1457733937099732</v>
      </c>
      <c r="I184" s="6">
        <f t="shared" ca="1" si="29"/>
        <v>3.8136150647028444</v>
      </c>
      <c r="J184" s="6">
        <f t="shared" ca="1" si="20"/>
        <v>6.991086100837121</v>
      </c>
      <c r="K184" s="6">
        <f t="shared" si="25"/>
        <v>1.6154647861000928</v>
      </c>
      <c r="M184" s="56">
        <v>1</v>
      </c>
      <c r="N184" s="56">
        <f t="shared" si="27"/>
        <v>2.5851000000000002</v>
      </c>
      <c r="O184" s="56">
        <v>13.55</v>
      </c>
      <c r="P184" s="56">
        <f t="shared" si="26"/>
        <v>4.4902700000000006</v>
      </c>
    </row>
    <row r="185" spans="4:16" x14ac:dyDescent="0.15">
      <c r="D185" s="44">
        <v>1991</v>
      </c>
      <c r="E185" s="21">
        <f t="shared" si="28"/>
        <v>14.986524903749741</v>
      </c>
      <c r="F185" s="6">
        <f t="shared" si="23"/>
        <v>7.0903565249037497</v>
      </c>
      <c r="G185" s="8">
        <f t="shared" si="24"/>
        <v>2.5876540955768474</v>
      </c>
      <c r="H185" s="166">
        <v>8.1150041009062068</v>
      </c>
      <c r="I185" s="6">
        <f t="shared" ca="1" si="29"/>
        <v>3.5476676047580895</v>
      </c>
      <c r="J185" s="6">
        <f t="shared" ca="1" si="20"/>
        <v>7.0142637569966713</v>
      </c>
      <c r="K185" s="6">
        <f t="shared" si="25"/>
        <v>1.6342860825875132</v>
      </c>
      <c r="M185" s="56">
        <v>2.0865249037497402</v>
      </c>
      <c r="N185" s="56">
        <f t="shared" si="27"/>
        <v>2.5871865249037498</v>
      </c>
      <c r="O185" s="56">
        <v>12.9</v>
      </c>
      <c r="P185" s="56">
        <f t="shared" si="26"/>
        <v>4.5031700000000008</v>
      </c>
    </row>
    <row r="186" spans="4:16" x14ac:dyDescent="0.15">
      <c r="D186" s="44">
        <v>1992</v>
      </c>
      <c r="E186" s="21">
        <f t="shared" si="28"/>
        <v>13.009340162988984</v>
      </c>
      <c r="F186" s="6">
        <f t="shared" si="23"/>
        <v>7.1033658650667384</v>
      </c>
      <c r="G186" s="8">
        <f t="shared" si="24"/>
        <v>2.6141898933824477</v>
      </c>
      <c r="H186" s="166">
        <v>8.0842379974514706</v>
      </c>
      <c r="I186" s="6">
        <f t="shared" ca="1" si="29"/>
        <v>3.2005138505819559</v>
      </c>
      <c r="J186" s="6">
        <f t="shared" ca="1" si="20"/>
        <v>7.0366633002641343</v>
      </c>
      <c r="K186" s="6">
        <f t="shared" si="25"/>
        <v>1.6511070341339469</v>
      </c>
      <c r="M186" s="56">
        <v>1.1793401629889837</v>
      </c>
      <c r="N186" s="56">
        <f t="shared" si="27"/>
        <v>2.5883658650667387</v>
      </c>
      <c r="O186" s="56">
        <v>11.83</v>
      </c>
      <c r="P186" s="56">
        <f t="shared" si="26"/>
        <v>4.5150000000000006</v>
      </c>
    </row>
    <row r="187" spans="4:16" x14ac:dyDescent="0.15">
      <c r="D187" s="44">
        <v>1993</v>
      </c>
      <c r="E187" s="21">
        <f t="shared" si="28"/>
        <v>11.997903214836832</v>
      </c>
      <c r="F187" s="6">
        <f t="shared" si="23"/>
        <v>7.1153637682815756</v>
      </c>
      <c r="G187" s="8">
        <f t="shared" si="24"/>
        <v>2.6392135401714967</v>
      </c>
      <c r="H187" s="166">
        <v>8.0535862274467842</v>
      </c>
      <c r="I187" s="6">
        <f t="shared" ca="1" si="29"/>
        <v>2.8161574420323632</v>
      </c>
      <c r="J187" s="6">
        <f t="shared" ca="1" si="20"/>
        <v>7.0583056823800474</v>
      </c>
      <c r="K187" s="6">
        <f t="shared" si="25"/>
        <v>1.6670454457575252</v>
      </c>
      <c r="M187" s="56">
        <v>0.99790321483683231</v>
      </c>
      <c r="N187" s="56">
        <f t="shared" si="27"/>
        <v>2.5893637682815753</v>
      </c>
      <c r="O187" s="56">
        <v>11</v>
      </c>
      <c r="P187" s="56">
        <f t="shared" si="26"/>
        <v>4.5260000000000007</v>
      </c>
    </row>
    <row r="188" spans="4:16" x14ac:dyDescent="0.15">
      <c r="D188" s="44">
        <v>1994</v>
      </c>
      <c r="E188" s="21">
        <f t="shared" si="28"/>
        <v>10.255747792608604</v>
      </c>
      <c r="F188" s="6">
        <f t="shared" si="23"/>
        <v>7.1256195160741838</v>
      </c>
      <c r="G188" s="8">
        <f t="shared" si="24"/>
        <v>2.6610423839181525</v>
      </c>
      <c r="H188" s="166">
        <v>8.0230552915056723</v>
      </c>
      <c r="I188" s="6">
        <f t="shared" ca="1" si="29"/>
        <v>2.3532009782802561</v>
      </c>
      <c r="J188" s="6">
        <f t="shared" ca="1" si="20"/>
        <v>7.0792116712657238</v>
      </c>
      <c r="K188" s="6">
        <f t="shared" si="25"/>
        <v>1.6810133557845128</v>
      </c>
      <c r="M188" s="56">
        <v>0.72574779260860534</v>
      </c>
      <c r="N188" s="56">
        <f t="shared" si="27"/>
        <v>2.5900895160741841</v>
      </c>
      <c r="O188" s="56">
        <v>9.5299999999999994</v>
      </c>
      <c r="P188" s="56">
        <f t="shared" si="26"/>
        <v>4.5355300000000005</v>
      </c>
    </row>
    <row r="189" spans="4:16" x14ac:dyDescent="0.15">
      <c r="D189" s="44">
        <v>1995</v>
      </c>
      <c r="E189" s="21">
        <f t="shared" si="28"/>
        <v>9.5450293185325297</v>
      </c>
      <c r="F189" s="6">
        <f t="shared" si="23"/>
        <v>7.1351645453927164</v>
      </c>
      <c r="G189" s="8">
        <f t="shared" si="24"/>
        <v>2.6817375360111773</v>
      </c>
      <c r="H189" s="166">
        <v>7.9927684195465956</v>
      </c>
      <c r="I189" s="6">
        <f t="shared" ca="1" si="29"/>
        <v>1.8623528963669287</v>
      </c>
      <c r="J189" s="6">
        <f t="shared" ca="1" si="20"/>
        <v>7.0994018208762952</v>
      </c>
      <c r="K189" s="6">
        <f t="shared" si="25"/>
        <v>1.6943146788022982</v>
      </c>
      <c r="M189" s="56">
        <v>0.63502931853252964</v>
      </c>
      <c r="N189" s="56">
        <f t="shared" si="27"/>
        <v>2.5907245453927166</v>
      </c>
      <c r="O189" s="56">
        <v>8.91</v>
      </c>
      <c r="P189" s="56">
        <f t="shared" si="26"/>
        <v>4.5444400000000007</v>
      </c>
    </row>
    <row r="190" spans="4:16" x14ac:dyDescent="0.15">
      <c r="D190" s="44">
        <v>1996</v>
      </c>
      <c r="E190" s="21">
        <f t="shared" si="28"/>
        <v>9.0943108444564551</v>
      </c>
      <c r="F190" s="6">
        <f t="shared" si="23"/>
        <v>7.1442588562371725</v>
      </c>
      <c r="G190" s="8">
        <f t="shared" si="24"/>
        <v>2.7018090170283013</v>
      </c>
      <c r="H190" s="166">
        <v>7.962852195472033</v>
      </c>
      <c r="I190" s="6">
        <f t="shared" ca="1" si="29"/>
        <v>1.3561609637235961</v>
      </c>
      <c r="J190" s="6">
        <f t="shared" ca="1" si="20"/>
        <v>7.118896443911769</v>
      </c>
      <c r="K190" s="6">
        <f t="shared" si="25"/>
        <v>1.707272989178225</v>
      </c>
      <c r="M190" s="56">
        <v>0.54431084445645395</v>
      </c>
      <c r="N190" s="56">
        <f t="shared" si="27"/>
        <v>2.5912688562371731</v>
      </c>
      <c r="O190" s="56">
        <v>8.5500000000000007</v>
      </c>
      <c r="P190" s="56">
        <f t="shared" si="26"/>
        <v>4.5529900000000003</v>
      </c>
    </row>
    <row r="191" spans="4:16" x14ac:dyDescent="0.15">
      <c r="D191" s="44">
        <v>1997</v>
      </c>
      <c r="E191" s="21">
        <f t="shared" si="28"/>
        <v>7.7735923703803786</v>
      </c>
      <c r="F191" s="6">
        <f t="shared" si="23"/>
        <v>7.1520324486075531</v>
      </c>
      <c r="G191" s="8">
        <f t="shared" si="24"/>
        <v>2.7192492894596798</v>
      </c>
      <c r="H191" s="166">
        <v>7.9333282290661664</v>
      </c>
      <c r="I191" s="6">
        <f t="shared" ca="1" si="29"/>
        <v>0.78523479321142986</v>
      </c>
      <c r="J191" s="6">
        <f t="shared" ca="1" si="20"/>
        <v>7.1377155872543412</v>
      </c>
      <c r="K191" s="6">
        <f t="shared" si="25"/>
        <v>1.7185812491776356</v>
      </c>
      <c r="M191" s="56">
        <v>0.45359237038037831</v>
      </c>
      <c r="N191" s="56">
        <f t="shared" si="27"/>
        <v>2.5917224486075536</v>
      </c>
      <c r="O191" s="56">
        <v>7.32</v>
      </c>
      <c r="P191" s="56">
        <f t="shared" si="26"/>
        <v>4.5603100000000003</v>
      </c>
    </row>
    <row r="192" spans="4:16" x14ac:dyDescent="0.15">
      <c r="D192" s="44">
        <v>1998</v>
      </c>
      <c r="E192" s="21">
        <f t="shared" si="28"/>
        <v>6.3821554222282275</v>
      </c>
      <c r="F192" s="6">
        <f t="shared" si="23"/>
        <v>7.1584146040297814</v>
      </c>
      <c r="G192" s="8">
        <f t="shared" si="24"/>
        <v>2.7337697733572135</v>
      </c>
      <c r="H192" s="166">
        <v>7.9042128596080357</v>
      </c>
      <c r="I192" s="6">
        <f t="shared" ca="1" si="29"/>
        <v>0.14247460448427773</v>
      </c>
      <c r="J192" s="6">
        <f t="shared" ca="1" si="20"/>
        <v>7.1558790099982721</v>
      </c>
      <c r="K192" s="6">
        <f t="shared" si="25"/>
        <v>1.7280324659827229</v>
      </c>
      <c r="M192" s="56">
        <v>0.27215542222822697</v>
      </c>
      <c r="N192" s="56">
        <f t="shared" si="27"/>
        <v>2.5919946040297819</v>
      </c>
      <c r="O192" s="56">
        <v>6.11</v>
      </c>
      <c r="P192" s="56">
        <f t="shared" si="26"/>
        <v>4.5664199999999999</v>
      </c>
    </row>
    <row r="193" spans="4:16" x14ac:dyDescent="0.15">
      <c r="D193" s="44">
        <v>1999</v>
      </c>
      <c r="E193" s="21">
        <f t="shared" si="28"/>
        <v>6.0528738963043027</v>
      </c>
      <c r="F193" s="6">
        <f t="shared" si="23"/>
        <v>7.1644674779260855</v>
      </c>
      <c r="G193" s="8">
        <f t="shared" si="24"/>
        <v>2.7477142521058662</v>
      </c>
      <c r="H193" s="166">
        <v>7.8756038631095517</v>
      </c>
      <c r="I193" s="6">
        <f t="shared" ca="1" si="29"/>
        <v>-0.51445673529610758</v>
      </c>
      <c r="J193" s="6">
        <f t="shared" ca="1" si="20"/>
        <v>7.1734061639379307</v>
      </c>
      <c r="K193" s="6">
        <f t="shared" si="25"/>
        <v>1.7371409500771993</v>
      </c>
      <c r="M193" s="56">
        <v>0.36287389630430267</v>
      </c>
      <c r="N193" s="56">
        <f t="shared" si="27"/>
        <v>2.5923574779260861</v>
      </c>
      <c r="O193" s="56">
        <v>5.69</v>
      </c>
      <c r="P193" s="56">
        <f t="shared" si="26"/>
        <v>4.5721100000000003</v>
      </c>
    </row>
    <row r="194" spans="4:16" x14ac:dyDescent="0.15">
      <c r="D194" s="44">
        <v>2000</v>
      </c>
      <c r="E194" s="21">
        <f t="shared" si="28"/>
        <v>4.462873896304302</v>
      </c>
      <c r="F194" s="6">
        <f t="shared" si="23"/>
        <v>7.1689303518223895</v>
      </c>
      <c r="G194" s="8">
        <f t="shared" si="24"/>
        <v>2.7581063672529411</v>
      </c>
      <c r="H194" s="55">
        <v>7.8474944110554476</v>
      </c>
      <c r="I194" s="6">
        <f t="shared" ca="1" si="29"/>
        <v>-1.2587850042391437</v>
      </c>
      <c r="J194" s="6">
        <f t="shared" ca="1" si="20"/>
        <v>7.1903161763797181</v>
      </c>
      <c r="K194" s="6">
        <f t="shared" si="25"/>
        <v>1.7439502559722893</v>
      </c>
      <c r="M194" s="56">
        <v>0.36287389630430267</v>
      </c>
      <c r="N194" s="56">
        <f t="shared" si="27"/>
        <v>2.5927203518223902</v>
      </c>
      <c r="O194" s="56">
        <v>4.0999999999999996</v>
      </c>
      <c r="P194" s="56">
        <f t="shared" si="26"/>
        <v>4.5762100000000006</v>
      </c>
    </row>
    <row r="195" spans="4:16" x14ac:dyDescent="0.15">
      <c r="D195" s="44">
        <v>2001</v>
      </c>
      <c r="E195" s="21">
        <f t="shared" si="28"/>
        <v>2.941436948152151</v>
      </c>
      <c r="F195" s="6">
        <f t="shared" si="23"/>
        <v>7.1718717887705417</v>
      </c>
      <c r="G195" s="8">
        <f t="shared" si="24"/>
        <v>2.7650080767485563</v>
      </c>
      <c r="H195" s="55">
        <v>7.8198942877054769</v>
      </c>
      <c r="I195" s="6">
        <f t="shared" ca="1" si="29"/>
        <v>-2.0889858835573705</v>
      </c>
      <c r="J195" s="6">
        <f t="shared" ca="1" si="20"/>
        <v>7.2066278351447579</v>
      </c>
      <c r="K195" s="6">
        <f t="shared" si="25"/>
        <v>1.7484828038818734</v>
      </c>
      <c r="M195" s="56">
        <v>0.18143694815215133</v>
      </c>
      <c r="N195" s="56">
        <f t="shared" si="27"/>
        <v>2.5929017887705426</v>
      </c>
      <c r="O195" s="56">
        <v>2.76</v>
      </c>
      <c r="P195" s="56">
        <f t="shared" si="26"/>
        <v>4.5789700000000009</v>
      </c>
    </row>
    <row r="196" spans="4:16" x14ac:dyDescent="0.15">
      <c r="D196" s="44">
        <v>2002</v>
      </c>
      <c r="E196" s="21">
        <f t="shared" si="28"/>
        <v>2.2014369481521512</v>
      </c>
      <c r="F196" s="6">
        <f t="shared" si="23"/>
        <v>7.1740732257186934</v>
      </c>
      <c r="G196" s="8">
        <f t="shared" si="24"/>
        <v>2.7702010806219191</v>
      </c>
      <c r="H196" s="55">
        <v>7.792860965880954</v>
      </c>
      <c r="I196" s="6">
        <f t="shared" ca="1" si="29"/>
        <v>-2.9612251466046473</v>
      </c>
      <c r="J196" s="6">
        <f t="shared" ca="1" si="20"/>
        <v>7.2223595756309837</v>
      </c>
      <c r="K196" s="6">
        <f t="shared" si="25"/>
        <v>1.7518987169758988</v>
      </c>
      <c r="M196" s="56">
        <v>0.18143694815215133</v>
      </c>
      <c r="N196" s="56">
        <f t="shared" si="27"/>
        <v>2.5930832257186949</v>
      </c>
      <c r="O196" s="56">
        <v>2.02</v>
      </c>
      <c r="P196" s="56">
        <f t="shared" si="26"/>
        <v>4.5809900000000008</v>
      </c>
    </row>
    <row r="197" spans="4:16" x14ac:dyDescent="0.15">
      <c r="D197" s="44">
        <v>2003</v>
      </c>
      <c r="E197" s="21">
        <f t="shared" si="28"/>
        <v>2.3307184740760758</v>
      </c>
      <c r="F197" s="6">
        <f t="shared" si="23"/>
        <v>7.1764039441927698</v>
      </c>
      <c r="G197" s="8">
        <f t="shared" si="24"/>
        <v>2.7757250970554881</v>
      </c>
      <c r="H197" s="55">
        <v>7.7664762966037442</v>
      </c>
      <c r="I197" s="6">
        <f t="shared" ca="1" si="29"/>
        <v>-3.8253206821170807</v>
      </c>
      <c r="J197" s="6">
        <f t="shared" ca="1" si="20"/>
        <v>7.2375294698057981</v>
      </c>
      <c r="K197" s="6">
        <f t="shared" si="25"/>
        <v>1.7555376512282617</v>
      </c>
      <c r="M197" s="56">
        <v>9.0718474076075667E-2</v>
      </c>
      <c r="N197" s="56">
        <f t="shared" si="27"/>
        <v>2.5931739441927708</v>
      </c>
      <c r="O197" s="56">
        <v>2.2400000000000002</v>
      </c>
      <c r="P197" s="56">
        <f t="shared" si="26"/>
        <v>4.5832300000000004</v>
      </c>
    </row>
    <row r="198" spans="4:16" x14ac:dyDescent="0.15">
      <c r="D198" s="44">
        <v>2004</v>
      </c>
      <c r="E198" s="21">
        <f t="shared" si="28"/>
        <v>1.0514369481521513</v>
      </c>
      <c r="F198" s="6">
        <f t="shared" si="23"/>
        <v>7.1774553811409216</v>
      </c>
      <c r="G198" s="8">
        <f t="shared" si="24"/>
        <v>2.7782259416036936</v>
      </c>
      <c r="H198" s="55">
        <v>7.7407595783510805</v>
      </c>
      <c r="I198" s="6">
        <f t="shared" ca="1" si="29"/>
        <v>-4.7637937219462856</v>
      </c>
      <c r="J198" s="6">
        <f t="shared" ca="1" si="20"/>
        <v>7.2521552170034393</v>
      </c>
      <c r="K198" s="6">
        <f t="shared" si="25"/>
        <v>1.7571868893057738</v>
      </c>
      <c r="M198" s="56">
        <v>0.18143694815215133</v>
      </c>
      <c r="N198" s="56">
        <f t="shared" si="27"/>
        <v>2.5933553811409231</v>
      </c>
      <c r="O198" s="56">
        <v>0.87</v>
      </c>
      <c r="P198" s="56">
        <f t="shared" si="26"/>
        <v>4.5841000000000003</v>
      </c>
    </row>
    <row r="199" spans="4:16" x14ac:dyDescent="0.15">
      <c r="D199" s="44">
        <v>2005</v>
      </c>
      <c r="E199" s="21">
        <f t="shared" si="28"/>
        <v>0.69071847407607567</v>
      </c>
      <c r="F199" s="6">
        <f t="shared" si="23"/>
        <v>7.1781460996149979</v>
      </c>
      <c r="G199" s="8">
        <f t="shared" si="24"/>
        <v>2.7798718271538294</v>
      </c>
      <c r="H199" s="55">
        <v>7.715757157871133</v>
      </c>
      <c r="I199" s="6">
        <f t="shared" ca="1" si="29"/>
        <v>-5.7233008673376844</v>
      </c>
      <c r="J199" s="6">
        <f t="shared" ref="J199:J262" ca="1" si="30">F$1/(1+EXP((AVERAGE(E$2:F$2)-D199)*LN(81)/(F$2-E$2)))</f>
        <v>7.2662541364047284</v>
      </c>
      <c r="K199" s="6">
        <f t="shared" si="25"/>
        <v>1.7582729269013979</v>
      </c>
      <c r="M199" s="56">
        <v>9.0718474076075667E-2</v>
      </c>
      <c r="N199" s="56">
        <f t="shared" si="27"/>
        <v>2.5934460996149991</v>
      </c>
      <c r="O199" s="56">
        <v>0.6</v>
      </c>
      <c r="P199" s="56">
        <f t="shared" si="26"/>
        <v>4.5847000000000007</v>
      </c>
    </row>
    <row r="200" spans="4:16" x14ac:dyDescent="0.15">
      <c r="D200" s="44">
        <v>2006</v>
      </c>
      <c r="E200" s="21">
        <f t="shared" si="28"/>
        <v>0.5</v>
      </c>
      <c r="F200" s="6">
        <f t="shared" si="23"/>
        <v>7.1786460996149977</v>
      </c>
      <c r="G200" s="8">
        <f t="shared" si="24"/>
        <v>2.7810647517297218</v>
      </c>
      <c r="H200" s="55">
        <v>7.6915082676128312</v>
      </c>
      <c r="I200" s="6">
        <f t="shared" ca="1" si="29"/>
        <v>-6.6939519728132382</v>
      </c>
      <c r="J200" s="6">
        <f t="shared" ca="1" si="30"/>
        <v>7.2798431610807102</v>
      </c>
      <c r="K200" s="6">
        <f t="shared" si="25"/>
        <v>1.7590603879708144</v>
      </c>
      <c r="M200" s="46">
        <v>0</v>
      </c>
      <c r="N200" s="56">
        <f t="shared" si="27"/>
        <v>2.5934460996149991</v>
      </c>
      <c r="O200" s="56">
        <v>0.5</v>
      </c>
      <c r="P200" s="56">
        <f t="shared" si="26"/>
        <v>4.5852000000000004</v>
      </c>
    </row>
    <row r="201" spans="4:16" x14ac:dyDescent="0.15">
      <c r="D201" s="44">
        <v>2007</v>
      </c>
      <c r="E201" s="21">
        <f t="shared" si="28"/>
        <v>0.4</v>
      </c>
      <c r="F201" s="6">
        <f t="shared" si="23"/>
        <v>7.1790460996149976</v>
      </c>
      <c r="G201" s="8">
        <f t="shared" si="24"/>
        <v>2.7820199972341793</v>
      </c>
      <c r="H201" s="55">
        <v>7.6680416962875295</v>
      </c>
      <c r="I201" s="6">
        <f t="shared" ca="1" si="29"/>
        <v>-7.670450571197307</v>
      </c>
      <c r="J201" s="6">
        <f t="shared" ca="1" si="30"/>
        <v>7.2929388334858585</v>
      </c>
      <c r="K201" s="6">
        <f t="shared" si="25"/>
        <v>1.7596911431117743</v>
      </c>
      <c r="M201" s="46">
        <v>0</v>
      </c>
      <c r="N201" s="56">
        <f t="shared" si="27"/>
        <v>2.5934460996149991</v>
      </c>
      <c r="O201" s="56">
        <v>0.4</v>
      </c>
      <c r="P201" s="56">
        <f t="shared" si="26"/>
        <v>4.5856000000000003</v>
      </c>
    </row>
    <row r="202" spans="4:16" x14ac:dyDescent="0.15">
      <c r="D202" s="44">
        <v>2008</v>
      </c>
      <c r="E202" s="21">
        <f t="shared" si="28"/>
        <v>0.3</v>
      </c>
      <c r="F202" s="6">
        <f>F201+E202/1000</f>
        <v>7.1793460996149978</v>
      </c>
      <c r="G202" s="8">
        <f xml:space="preserve"> -LN(F$1/F202-1)</f>
        <v>2.7827369607265822</v>
      </c>
      <c r="H202" s="55">
        <v>7.6453767667077699</v>
      </c>
      <c r="I202" s="6">
        <f t="shared" ca="1" si="29"/>
        <v>-8.6528114963207372</v>
      </c>
      <c r="J202" s="6">
        <f t="shared" ca="1" si="30"/>
        <v>7.305557302290933</v>
      </c>
      <c r="K202" s="6">
        <f>NORMSINV(F202/F$5)</f>
        <v>1.7601646693176252</v>
      </c>
      <c r="M202" s="46">
        <v>0</v>
      </c>
      <c r="N202" s="56">
        <f t="shared" si="27"/>
        <v>2.5934460996149991</v>
      </c>
      <c r="O202" s="56">
        <v>0.3</v>
      </c>
      <c r="P202" s="56">
        <f>P201+O202/1000</f>
        <v>4.5859000000000005</v>
      </c>
    </row>
    <row r="203" spans="4:16" x14ac:dyDescent="0.15">
      <c r="D203" s="44">
        <v>2009</v>
      </c>
      <c r="E203" s="21">
        <f t="shared" si="28"/>
        <v>0.2</v>
      </c>
      <c r="F203" s="6">
        <f>F202+E203/1000</f>
        <v>7.1795460996149982</v>
      </c>
      <c r="G203" s="8">
        <f xml:space="preserve"> -LN(F$1/F203-1)</f>
        <v>2.7832151888082617</v>
      </c>
      <c r="H203" s="56">
        <v>7.6235246511500465</v>
      </c>
      <c r="I203" s="6">
        <f t="shared" ca="1" si="29"/>
        <v>-9.6410459029114008</v>
      </c>
      <c r="J203" s="6">
        <f t="shared" ca="1" si="30"/>
        <v>7.3177143204501656</v>
      </c>
      <c r="K203" s="6">
        <f>NORMSINV(F203/F$5)</f>
        <v>1.7604805728552984</v>
      </c>
      <c r="M203" s="42">
        <v>0</v>
      </c>
      <c r="N203" s="56">
        <f t="shared" si="27"/>
        <v>2.5934460996149991</v>
      </c>
      <c r="O203" s="56">
        <v>0.2</v>
      </c>
      <c r="P203" s="56">
        <f>P202+O203/1000</f>
        <v>4.586100000000001</v>
      </c>
    </row>
    <row r="204" spans="4:16" x14ac:dyDescent="0.15">
      <c r="D204" s="44">
        <v>2010</v>
      </c>
      <c r="E204" s="21"/>
      <c r="F204" s="56"/>
      <c r="H204" s="50"/>
      <c r="I204" s="56"/>
      <c r="J204" s="6">
        <f t="shared" ca="1" si="30"/>
        <v>7.3294252444020689</v>
      </c>
      <c r="K204" s="6"/>
      <c r="N204" s="56"/>
      <c r="O204" s="56"/>
      <c r="P204" s="56"/>
    </row>
    <row r="205" spans="4:16" x14ac:dyDescent="0.15">
      <c r="D205" s="44">
        <v>2011</v>
      </c>
      <c r="E205" s="21"/>
      <c r="F205" s="56"/>
      <c r="H205" s="50"/>
      <c r="I205" s="56"/>
      <c r="J205" s="6">
        <f t="shared" ca="1" si="30"/>
        <v>7.3407050343080487</v>
      </c>
      <c r="K205" s="6"/>
      <c r="N205" s="56"/>
      <c r="O205" s="56"/>
      <c r="P205" s="56"/>
    </row>
    <row r="206" spans="4:16" x14ac:dyDescent="0.15">
      <c r="D206" s="44">
        <v>2012</v>
      </c>
      <c r="E206" s="21"/>
      <c r="F206" s="56"/>
      <c r="H206" s="50"/>
      <c r="I206" s="56"/>
      <c r="J206" s="6">
        <f t="shared" ca="1" si="30"/>
        <v>7.3515682552376527</v>
      </c>
      <c r="K206" s="6"/>
      <c r="N206" s="56"/>
      <c r="O206" s="56"/>
      <c r="P206" s="56"/>
    </row>
    <row r="207" spans="4:16" x14ac:dyDescent="0.15">
      <c r="D207" s="44">
        <v>2013</v>
      </c>
      <c r="E207" s="21"/>
      <c r="F207" s="56"/>
      <c r="H207" s="50"/>
      <c r="I207" s="56"/>
      <c r="J207" s="6">
        <f t="shared" ca="1" si="30"/>
        <v>7.3620290792141851</v>
      </c>
      <c r="K207" s="6"/>
      <c r="N207" s="56"/>
      <c r="O207" s="56"/>
      <c r="P207" s="56"/>
    </row>
    <row r="208" spans="4:16" x14ac:dyDescent="0.15">
      <c r="D208" s="44">
        <v>2014</v>
      </c>
      <c r="E208" s="21"/>
      <c r="F208" s="56"/>
      <c r="H208" s="50"/>
      <c r="I208" s="56"/>
      <c r="J208" s="6">
        <f t="shared" ca="1" si="30"/>
        <v>7.3721012880390795</v>
      </c>
      <c r="K208" s="6"/>
      <c r="N208" s="56"/>
      <c r="O208" s="56"/>
      <c r="P208" s="56"/>
    </row>
    <row r="209" spans="4:16" x14ac:dyDescent="0.15">
      <c r="D209" s="44">
        <v>2015</v>
      </c>
      <c r="E209" s="21"/>
      <c r="F209" s="56"/>
      <c r="H209" s="50"/>
      <c r="I209" s="56"/>
      <c r="J209" s="6">
        <f t="shared" ca="1" si="30"/>
        <v>7.381798276818123</v>
      </c>
      <c r="K209" s="6"/>
      <c r="N209" s="56"/>
      <c r="O209" s="56"/>
      <c r="P209" s="56"/>
    </row>
    <row r="210" spans="4:16" x14ac:dyDescent="0.15">
      <c r="D210" s="44">
        <v>2016</v>
      </c>
      <c r="E210" s="21"/>
      <c r="F210" s="56"/>
      <c r="H210" s="50"/>
      <c r="I210" s="56"/>
      <c r="J210" s="6">
        <f t="shared" ca="1" si="30"/>
        <v>7.3911330581171946</v>
      </c>
      <c r="K210" s="6"/>
      <c r="N210" s="56"/>
      <c r="O210" s="56"/>
      <c r="P210" s="56"/>
    </row>
    <row r="211" spans="4:16" x14ac:dyDescent="0.15">
      <c r="D211" s="44">
        <v>2017</v>
      </c>
      <c r="E211" s="21"/>
      <c r="F211" s="56"/>
      <c r="H211" s="50"/>
      <c r="I211" s="56"/>
      <c r="J211" s="6">
        <f t="shared" ca="1" si="30"/>
        <v>7.4001182666796366</v>
      </c>
      <c r="K211" s="6"/>
      <c r="N211" s="56"/>
      <c r="O211" s="56"/>
      <c r="P211" s="56"/>
    </row>
    <row r="212" spans="4:16" x14ac:dyDescent="0.15">
      <c r="D212" s="44">
        <v>2018</v>
      </c>
      <c r="E212" s="21"/>
      <c r="F212" s="56"/>
      <c r="H212" s="50"/>
      <c r="I212" s="56"/>
      <c r="J212" s="6">
        <f t="shared" ca="1" si="30"/>
        <v>7.4087661646417482</v>
      </c>
      <c r="K212" s="6"/>
      <c r="N212" s="56"/>
      <c r="O212" s="56"/>
      <c r="P212" s="56"/>
    </row>
    <row r="213" spans="4:16" x14ac:dyDescent="0.15">
      <c r="D213" s="44">
        <v>2019</v>
      </c>
      <c r="E213" s="21"/>
      <c r="F213" s="56"/>
      <c r="H213" s="50"/>
      <c r="I213" s="56"/>
      <c r="J213" s="6">
        <f t="shared" ca="1" si="30"/>
        <v>7.4170886471869952</v>
      </c>
      <c r="K213" s="6"/>
      <c r="N213" s="56"/>
      <c r="O213" s="56"/>
      <c r="P213" s="56"/>
    </row>
    <row r="214" spans="4:16" x14ac:dyDescent="0.15">
      <c r="D214" s="44">
        <v>2020</v>
      </c>
      <c r="E214" s="21"/>
      <c r="F214" s="56"/>
      <c r="H214" s="50"/>
      <c r="I214" s="56"/>
      <c r="J214" s="6">
        <f t="shared" ca="1" si="30"/>
        <v>7.4250972485836995</v>
      </c>
      <c r="K214" s="6"/>
      <c r="N214" s="56"/>
      <c r="O214" s="56"/>
      <c r="P214" s="56"/>
    </row>
    <row r="215" spans="4:16" x14ac:dyDescent="0.15">
      <c r="D215" s="44">
        <v>2021</v>
      </c>
      <c r="E215" s="21"/>
      <c r="F215" s="56"/>
      <c r="H215" s="50"/>
      <c r="I215" s="56"/>
      <c r="J215" s="6">
        <f t="shared" ca="1" si="30"/>
        <v>7.4328031485547434</v>
      </c>
      <c r="K215" s="6"/>
      <c r="N215" s="56"/>
      <c r="O215" s="56"/>
      <c r="P215" s="56"/>
    </row>
    <row r="216" spans="4:16" x14ac:dyDescent="0.15">
      <c r="D216" s="44">
        <v>2022</v>
      </c>
      <c r="E216" s="21"/>
      <c r="F216" s="56"/>
      <c r="H216" s="50"/>
      <c r="I216" s="56"/>
      <c r="J216" s="6">
        <f t="shared" ca="1" si="30"/>
        <v>7.4402171789315927</v>
      </c>
      <c r="K216" s="6"/>
      <c r="N216" s="56"/>
      <c r="O216" s="56"/>
      <c r="P216" s="56"/>
    </row>
    <row r="217" spans="4:16" x14ac:dyDescent="0.15">
      <c r="D217" s="44">
        <v>2023</v>
      </c>
      <c r="E217" s="21"/>
      <c r="F217" s="56"/>
      <c r="H217" s="50"/>
      <c r="I217" s="56"/>
      <c r="J217" s="6">
        <f t="shared" ca="1" si="30"/>
        <v>7.4473498305485046</v>
      </c>
      <c r="K217" s="6"/>
      <c r="N217" s="56"/>
      <c r="O217" s="56"/>
      <c r="P217" s="56"/>
    </row>
    <row r="218" spans="4:16" x14ac:dyDescent="0.15">
      <c r="D218" s="44">
        <v>2024</v>
      </c>
      <c r="E218" s="21"/>
      <c r="F218" s="56"/>
      <c r="H218" s="50"/>
      <c r="I218" s="56"/>
      <c r="J218" s="6">
        <f t="shared" ca="1" si="30"/>
        <v>7.4542112603361259</v>
      </c>
      <c r="K218" s="6"/>
      <c r="N218" s="56"/>
      <c r="O218" s="56"/>
      <c r="P218" s="56"/>
    </row>
    <row r="219" spans="4:16" x14ac:dyDescent="0.15">
      <c r="D219" s="44">
        <v>2025</v>
      </c>
      <c r="E219" s="21"/>
      <c r="F219" s="56"/>
      <c r="H219" s="50"/>
      <c r="I219" s="56"/>
      <c r="J219" s="6">
        <f t="shared" ca="1" si="30"/>
        <v>7.4608112985769495</v>
      </c>
      <c r="K219" s="6"/>
      <c r="N219" s="56"/>
      <c r="O219" s="56"/>
      <c r="P219" s="56"/>
    </row>
    <row r="220" spans="4:16" x14ac:dyDescent="0.15">
      <c r="D220" s="44">
        <v>2026</v>
      </c>
      <c r="E220" s="21"/>
      <c r="F220" s="56"/>
      <c r="H220" s="50"/>
      <c r="I220" s="56"/>
      <c r="J220" s="6">
        <f t="shared" ca="1" si="30"/>
        <v>7.4671594562880967</v>
      </c>
      <c r="K220" s="6"/>
      <c r="N220" s="56"/>
      <c r="O220" s="56"/>
      <c r="P220" s="56"/>
    </row>
    <row r="221" spans="4:16" x14ac:dyDescent="0.15">
      <c r="D221" s="44">
        <v>2027</v>
      </c>
      <c r="E221" s="21"/>
      <c r="F221" s="56"/>
      <c r="H221" s="50"/>
      <c r="I221" s="56"/>
      <c r="J221" s="6">
        <f t="shared" ca="1" si="30"/>
        <v>7.4732649326997986</v>
      </c>
      <c r="K221" s="6"/>
      <c r="N221" s="56"/>
      <c r="O221" s="56"/>
      <c r="P221" s="56"/>
    </row>
    <row r="222" spans="4:16" x14ac:dyDescent="0.15">
      <c r="D222" s="44">
        <v>2028</v>
      </c>
      <c r="E222" s="21"/>
      <c r="F222" s="56"/>
      <c r="H222" s="50"/>
      <c r="I222" s="56"/>
      <c r="J222" s="6">
        <f t="shared" ca="1" si="30"/>
        <v>7.4791366228006559</v>
      </c>
      <c r="K222" s="6"/>
      <c r="N222" s="56"/>
      <c r="O222" s="56"/>
      <c r="P222" s="56"/>
    </row>
    <row r="223" spans="4:16" x14ac:dyDescent="0.15">
      <c r="D223" s="44">
        <v>2029</v>
      </c>
      <c r="E223" s="21"/>
      <c r="F223" s="56"/>
      <c r="H223" s="50"/>
      <c r="I223" s="56"/>
      <c r="J223" s="6">
        <f t="shared" ca="1" si="30"/>
        <v>7.4847831249233119</v>
      </c>
      <c r="K223" s="6"/>
      <c r="N223" s="56"/>
      <c r="O223" s="56"/>
      <c r="P223" s="56"/>
    </row>
    <row r="224" spans="4:16" x14ac:dyDescent="0.15">
      <c r="D224" s="44">
        <v>2030</v>
      </c>
      <c r="E224" s="21"/>
      <c r="F224" s="56"/>
      <c r="H224" s="50"/>
      <c r="I224" s="56"/>
      <c r="J224" s="6">
        <f t="shared" ca="1" si="30"/>
        <v>7.4902127483465737</v>
      </c>
      <c r="K224" s="6"/>
      <c r="N224" s="56"/>
      <c r="O224" s="56"/>
      <c r="P224" s="56"/>
    </row>
    <row r="225" spans="4:16" x14ac:dyDescent="0.15">
      <c r="D225" s="44">
        <v>2031</v>
      </c>
      <c r="E225" s="21"/>
      <c r="F225" s="56"/>
      <c r="H225" s="50"/>
      <c r="I225" s="56"/>
      <c r="J225" s="6">
        <f t="shared" ca="1" si="30"/>
        <v>7.4954335208922602</v>
      </c>
      <c r="K225" s="6"/>
      <c r="N225" s="56"/>
      <c r="O225" s="56"/>
      <c r="P225" s="56"/>
    </row>
    <row r="226" spans="4:16" x14ac:dyDescent="0.15">
      <c r="D226" s="44">
        <v>2032</v>
      </c>
      <c r="E226" s="21"/>
      <c r="F226" s="56"/>
      <c r="H226" s="50"/>
      <c r="I226" s="56"/>
      <c r="J226" s="6">
        <f t="shared" ca="1" si="30"/>
        <v>7.500453196497177</v>
      </c>
      <c r="K226" s="6"/>
      <c r="N226" s="56"/>
      <c r="O226" s="56"/>
      <c r="P226" s="56"/>
    </row>
    <row r="227" spans="4:16" x14ac:dyDescent="0.15">
      <c r="D227" s="44">
        <v>2033</v>
      </c>
      <c r="E227" s="16"/>
      <c r="F227" s="56"/>
      <c r="H227" s="50"/>
      <c r="I227" s="56"/>
      <c r="J227" s="6">
        <f t="shared" ca="1" si="30"/>
        <v>7.5052792627425688</v>
      </c>
      <c r="K227" s="6"/>
      <c r="N227" s="56"/>
      <c r="O227" s="56"/>
      <c r="P227" s="56"/>
    </row>
    <row r="228" spans="4:16" x14ac:dyDescent="0.15">
      <c r="D228" s="44">
        <v>2034</v>
      </c>
      <c r="E228" s="16"/>
      <c r="F228" s="56"/>
      <c r="H228" s="50"/>
      <c r="I228" s="56"/>
      <c r="J228" s="6">
        <f t="shared" ca="1" si="30"/>
        <v>7.5099189483252395</v>
      </c>
      <c r="K228" s="6"/>
      <c r="N228" s="56"/>
      <c r="O228" s="56"/>
      <c r="P228" s="56"/>
    </row>
    <row r="229" spans="4:16" x14ac:dyDescent="0.15">
      <c r="D229" s="44">
        <v>2035</v>
      </c>
      <c r="E229" s="16"/>
      <c r="F229" s="56"/>
      <c r="H229" s="50"/>
      <c r="I229" s="56"/>
      <c r="J229" s="6">
        <f t="shared" ca="1" si="30"/>
        <v>7.514379230456246</v>
      </c>
      <c r="K229" s="6"/>
      <c r="N229" s="56"/>
      <c r="O229" s="56"/>
      <c r="P229" s="56"/>
    </row>
    <row r="230" spans="4:16" x14ac:dyDescent="0.15">
      <c r="D230" s="44">
        <v>2036</v>
      </c>
      <c r="E230" s="16"/>
      <c r="F230" s="56"/>
      <c r="H230" s="50"/>
      <c r="I230" s="56"/>
      <c r="J230" s="6">
        <f t="shared" ca="1" si="30"/>
        <v>7.5186668421746088</v>
      </c>
      <c r="K230" s="6"/>
      <c r="N230" s="56"/>
      <c r="O230" s="56"/>
      <c r="P230" s="56"/>
    </row>
    <row r="231" spans="4:16" x14ac:dyDescent="0.15">
      <c r="D231" s="44">
        <v>2037</v>
      </c>
      <c r="E231" s="16"/>
      <c r="F231" s="56"/>
      <c r="H231" s="50"/>
      <c r="I231" s="56"/>
      <c r="J231" s="6">
        <f t="shared" ca="1" si="30"/>
        <v>7.5227882795650345</v>
      </c>
      <c r="K231" s="6"/>
      <c r="N231" s="56"/>
      <c r="O231" s="56"/>
      <c r="P231" s="56"/>
    </row>
    <row r="232" spans="4:16" x14ac:dyDescent="0.15">
      <c r="D232" s="44">
        <v>2038</v>
      </c>
      <c r="E232" s="16"/>
      <c r="F232" s="56"/>
      <c r="H232" s="50"/>
      <c r="I232" s="56"/>
      <c r="J232" s="6">
        <f t="shared" ca="1" si="30"/>
        <v>7.5267498088699272</v>
      </c>
      <c r="K232" s="6"/>
      <c r="N232" s="56"/>
      <c r="O232" s="56"/>
      <c r="P232" s="56"/>
    </row>
    <row r="233" spans="4:16" x14ac:dyDescent="0.15">
      <c r="D233" s="44">
        <v>2039</v>
      </c>
      <c r="E233" s="16"/>
      <c r="F233" s="56"/>
      <c r="H233" s="50"/>
      <c r="I233" s="56"/>
      <c r="J233" s="6">
        <f t="shared" ca="1" si="30"/>
        <v>7.530557473487236</v>
      </c>
      <c r="K233" s="6"/>
      <c r="N233" s="56"/>
      <c r="O233" s="56"/>
      <c r="P233" s="56"/>
    </row>
    <row r="234" spans="4:16" x14ac:dyDescent="0.15">
      <c r="D234" s="44">
        <v>2040</v>
      </c>
      <c r="E234" s="16"/>
      <c r="F234" s="56"/>
      <c r="H234" s="50"/>
      <c r="I234" s="56"/>
      <c r="J234" s="6">
        <f t="shared" ca="1" si="30"/>
        <v>7.534217100846897</v>
      </c>
      <c r="K234" s="6"/>
      <c r="N234" s="56"/>
      <c r="O234" s="56"/>
      <c r="P234" s="56"/>
    </row>
    <row r="235" spans="4:16" x14ac:dyDescent="0.15">
      <c r="D235" s="44">
        <v>2041</v>
      </c>
      <c r="E235" s="16"/>
      <c r="F235" s="56"/>
      <c r="H235" s="50"/>
      <c r="I235" s="56"/>
      <c r="J235" s="6">
        <f t="shared" ca="1" si="30"/>
        <v>7.5377343091596014</v>
      </c>
      <c r="K235" s="6"/>
      <c r="N235" s="56"/>
      <c r="O235" s="56"/>
      <c r="P235" s="56"/>
    </row>
    <row r="236" spans="4:16" x14ac:dyDescent="0.15">
      <c r="D236" s="44">
        <v>2042</v>
      </c>
      <c r="E236" s="16"/>
      <c r="F236" s="56"/>
      <c r="H236" s="50"/>
      <c r="I236" s="56"/>
      <c r="J236" s="6">
        <f t="shared" ca="1" si="30"/>
        <v>7.5411145140326949</v>
      </c>
      <c r="K236" s="6"/>
      <c r="N236" s="56"/>
      <c r="P236" s="56"/>
    </row>
    <row r="237" spans="4:16" x14ac:dyDescent="0.15">
      <c r="D237" s="44">
        <v>2043</v>
      </c>
      <c r="E237" s="16"/>
      <c r="F237" s="56"/>
      <c r="H237" s="50"/>
      <c r="I237" s="56"/>
      <c r="J237" s="6">
        <f t="shared" ca="1" si="30"/>
        <v>7.5443629349488122</v>
      </c>
      <c r="K237" s="6"/>
      <c r="N237" s="56"/>
      <c r="P237" s="56"/>
    </row>
    <row r="238" spans="4:16" x14ac:dyDescent="0.15">
      <c r="D238" s="44">
        <v>2044</v>
      </c>
      <c r="E238" s="16"/>
      <c r="F238" s="56"/>
      <c r="H238" s="50"/>
      <c r="I238" s="56"/>
      <c r="J238" s="6">
        <f t="shared" ca="1" si="30"/>
        <v>7.5474846016037827</v>
      </c>
      <c r="K238" s="6"/>
      <c r="N238" s="56"/>
      <c r="P238" s="56"/>
    </row>
    <row r="239" spans="4:16" x14ac:dyDescent="0.15">
      <c r="D239" s="44">
        <v>2045</v>
      </c>
      <c r="E239" s="16"/>
      <c r="F239" s="56"/>
      <c r="H239" s="50"/>
      <c r="I239" s="56"/>
      <c r="J239" s="6">
        <f t="shared" ca="1" si="30"/>
        <v>7.5504843601009597</v>
      </c>
      <c r="K239" s="6"/>
      <c r="N239" s="56"/>
      <c r="P239" s="56"/>
    </row>
    <row r="240" spans="4:16" x14ac:dyDescent="0.15">
      <c r="D240" s="44">
        <v>2046</v>
      </c>
      <c r="E240" s="16"/>
      <c r="F240" s="56"/>
      <c r="H240" s="50"/>
      <c r="I240" s="56"/>
      <c r="J240" s="6">
        <f t="shared" ca="1" si="30"/>
        <v>7.5533668789999293</v>
      </c>
      <c r="K240" s="6"/>
      <c r="N240" s="56"/>
      <c r="P240" s="56"/>
    </row>
    <row r="241" spans="4:16" x14ac:dyDescent="0.15">
      <c r="D241" s="44">
        <v>2047</v>
      </c>
      <c r="E241" s="16"/>
      <c r="F241" s="56"/>
      <c r="H241" s="50"/>
      <c r="I241" s="56"/>
      <c r="J241" s="6">
        <f t="shared" ca="1" si="30"/>
        <v>7.5561366552180989</v>
      </c>
      <c r="K241" s="6"/>
      <c r="N241" s="56"/>
      <c r="P241" s="56"/>
    </row>
    <row r="242" spans="4:16" x14ac:dyDescent="0.15">
      <c r="D242" s="44">
        <v>2048</v>
      </c>
      <c r="E242" s="16"/>
      <c r="F242" s="56"/>
      <c r="H242" s="50"/>
      <c r="I242" s="56"/>
      <c r="J242" s="6">
        <f t="shared" ca="1" si="30"/>
        <v>7.5587980197842253</v>
      </c>
      <c r="K242" s="6"/>
      <c r="N242" s="56"/>
      <c r="P242" s="56"/>
    </row>
    <row r="243" spans="4:16" x14ac:dyDescent="0.15">
      <c r="D243" s="44">
        <v>2049</v>
      </c>
      <c r="E243" s="16"/>
      <c r="F243" s="56"/>
      <c r="H243" s="50"/>
      <c r="I243" s="56"/>
      <c r="J243" s="6">
        <f t="shared" ca="1" si="30"/>
        <v>7.5613551434435129</v>
      </c>
      <c r="K243" s="6"/>
      <c r="N243" s="56"/>
      <c r="P243" s="56"/>
    </row>
    <row r="244" spans="4:16" x14ac:dyDescent="0.15">
      <c r="D244" s="44">
        <v>2050</v>
      </c>
      <c r="E244" s="16"/>
      <c r="F244" s="56"/>
      <c r="H244" s="50"/>
      <c r="I244" s="56"/>
      <c r="J244" s="6">
        <f t="shared" ca="1" si="30"/>
        <v>7.5638120421142858</v>
      </c>
      <c r="K244" s="6"/>
      <c r="N244" s="56"/>
      <c r="P244" s="56"/>
    </row>
    <row r="245" spans="4:16" x14ac:dyDescent="0.15">
      <c r="D245" s="44">
        <v>2051</v>
      </c>
      <c r="E245" s="16"/>
      <c r="F245" s="56"/>
      <c r="H245" s="50"/>
      <c r="I245" s="56"/>
      <c r="J245" s="6">
        <f t="shared" ca="1" si="30"/>
        <v>7.5661725821966916</v>
      </c>
      <c r="K245" s="6"/>
      <c r="N245" s="56"/>
      <c r="P245" s="56"/>
    </row>
    <row r="246" spans="4:16" x14ac:dyDescent="0.15">
      <c r="D246" s="44">
        <v>2052</v>
      </c>
      <c r="E246" s="16"/>
      <c r="F246" s="56"/>
      <c r="H246" s="50"/>
      <c r="I246" s="56"/>
      <c r="J246" s="6">
        <f t="shared" ca="1" si="30"/>
        <v>7.5684404857342775</v>
      </c>
      <c r="K246" s="6"/>
      <c r="N246" s="56"/>
      <c r="P246" s="56"/>
    </row>
    <row r="247" spans="4:16" x14ac:dyDescent="0.15">
      <c r="D247" s="44">
        <v>2053</v>
      </c>
      <c r="E247" s="16"/>
      <c r="F247" s="56"/>
      <c r="H247" s="50"/>
      <c r="I247" s="56"/>
      <c r="J247" s="6">
        <f t="shared" ca="1" si="30"/>
        <v>7.5706193354295488</v>
      </c>
      <c r="K247" s="6"/>
      <c r="N247" s="56"/>
      <c r="P247" s="56"/>
    </row>
    <row r="248" spans="4:16" x14ac:dyDescent="0.15">
      <c r="D248" s="44">
        <v>2054</v>
      </c>
      <c r="E248" s="16"/>
      <c r="F248" s="56"/>
      <c r="H248" s="50"/>
      <c r="I248" s="56"/>
      <c r="J248" s="6">
        <f t="shared" ca="1" si="30"/>
        <v>7.5727125795149561</v>
      </c>
      <c r="K248" s="6"/>
      <c r="N248" s="56"/>
      <c r="P248" s="56"/>
    </row>
    <row r="249" spans="4:16" x14ac:dyDescent="0.15">
      <c r="D249" s="44">
        <v>2055</v>
      </c>
      <c r="E249" s="16"/>
      <c r="F249" s="56"/>
      <c r="H249" s="50"/>
      <c r="I249" s="56"/>
      <c r="J249" s="6">
        <f t="shared" ca="1" si="30"/>
        <v>7.5747235364810166</v>
      </c>
      <c r="K249" s="6"/>
      <c r="N249" s="56"/>
      <c r="P249" s="56"/>
    </row>
    <row r="250" spans="4:16" x14ac:dyDescent="0.15">
      <c r="D250" s="44">
        <v>2056</v>
      </c>
      <c r="E250" s="16"/>
      <c r="F250" s="56"/>
      <c r="H250" s="50"/>
      <c r="I250" s="56"/>
      <c r="J250" s="6">
        <f t="shared" ca="1" si="30"/>
        <v>7.5766553996634416</v>
      </c>
      <c r="K250" s="6"/>
      <c r="N250" s="56"/>
      <c r="P250" s="56"/>
    </row>
    <row r="251" spans="4:16" x14ac:dyDescent="0.15">
      <c r="D251" s="44">
        <v>2057</v>
      </c>
      <c r="E251" s="16"/>
      <c r="F251" s="56"/>
      <c r="I251" s="56"/>
      <c r="J251" s="6">
        <f t="shared" ca="1" si="30"/>
        <v>7.5785112416914062</v>
      </c>
      <c r="K251" s="6"/>
      <c r="N251" s="56"/>
    </row>
    <row r="252" spans="4:16" x14ac:dyDescent="0.15">
      <c r="D252" s="44">
        <v>2058</v>
      </c>
      <c r="E252" s="16"/>
      <c r="F252" s="56"/>
      <c r="I252" s="56"/>
      <c r="J252" s="6">
        <f t="shared" ca="1" si="30"/>
        <v>7.580294018799238</v>
      </c>
      <c r="K252" s="6"/>
      <c r="N252" s="56"/>
    </row>
    <row r="253" spans="4:16" x14ac:dyDescent="0.15">
      <c r="D253" s="44">
        <v>2059</v>
      </c>
      <c r="E253" s="16"/>
      <c r="F253" s="56"/>
      <c r="I253" s="56"/>
      <c r="J253" s="6">
        <f t="shared" ca="1" si="30"/>
        <v>7.5820065750039261</v>
      </c>
      <c r="K253" s="6"/>
      <c r="N253" s="56"/>
    </row>
    <row r="254" spans="4:16" x14ac:dyDescent="0.15">
      <c r="D254" s="44">
        <v>2060</v>
      </c>
      <c r="E254" s="16"/>
      <c r="F254" s="56"/>
      <c r="I254" s="56"/>
      <c r="J254" s="6">
        <f t="shared" ca="1" si="30"/>
        <v>7.5836516461509937</v>
      </c>
      <c r="K254" s="6"/>
      <c r="N254" s="56"/>
    </row>
    <row r="255" spans="4:16" x14ac:dyDescent="0.15">
      <c r="D255" s="44">
        <v>2061</v>
      </c>
      <c r="E255" s="16"/>
      <c r="F255" s="56"/>
      <c r="I255" s="56"/>
      <c r="J255" s="6">
        <f t="shared" ca="1" si="30"/>
        <v>7.5852318638314244</v>
      </c>
      <c r="K255" s="6"/>
      <c r="N255" s="56"/>
    </row>
    <row r="256" spans="4:16" x14ac:dyDescent="0.15">
      <c r="D256" s="44">
        <v>2062</v>
      </c>
      <c r="E256" s="16"/>
      <c r="F256" s="56"/>
      <c r="I256" s="56"/>
      <c r="J256" s="6">
        <f t="shared" ca="1" si="30"/>
        <v>7.5867497591722879</v>
      </c>
      <c r="K256" s="6"/>
      <c r="N256" s="56"/>
    </row>
    <row r="257" spans="4:14" x14ac:dyDescent="0.15">
      <c r="D257" s="44">
        <v>2063</v>
      </c>
      <c r="E257" s="16"/>
      <c r="F257" s="56"/>
      <c r="I257" s="56"/>
      <c r="J257" s="6">
        <f t="shared" ca="1" si="30"/>
        <v>7.5882077665039613</v>
      </c>
      <c r="K257" s="6"/>
      <c r="N257" s="56"/>
    </row>
    <row r="258" spans="4:14" x14ac:dyDescent="0.15">
      <c r="D258" s="44">
        <v>2064</v>
      </c>
      <c r="E258" s="16"/>
      <c r="F258" s="56"/>
      <c r="I258" s="56"/>
      <c r="J258" s="6">
        <f t="shared" ca="1" si="30"/>
        <v>7.5896082269067042</v>
      </c>
      <c r="K258" s="6"/>
      <c r="N258" s="56"/>
    </row>
    <row r="259" spans="4:14" x14ac:dyDescent="0.15">
      <c r="D259" s="44">
        <v>2065</v>
      </c>
      <c r="E259" s="16"/>
      <c r="F259" s="56"/>
      <c r="I259" s="56"/>
      <c r="J259" s="6">
        <f t="shared" ca="1" si="30"/>
        <v>7.5909533916395464</v>
      </c>
      <c r="K259" s="6"/>
      <c r="N259" s="56"/>
    </row>
    <row r="260" spans="4:14" x14ac:dyDescent="0.15">
      <c r="D260" s="44">
        <v>2066</v>
      </c>
      <c r="E260" s="16"/>
      <c r="F260" s="56"/>
      <c r="I260" s="56"/>
      <c r="J260" s="6">
        <f t="shared" ca="1" si="30"/>
        <v>7.5922454254543679</v>
      </c>
      <c r="K260" s="6"/>
      <c r="N260" s="56"/>
    </row>
    <row r="261" spans="4:14" x14ac:dyDescent="0.15">
      <c r="D261" s="44">
        <v>2067</v>
      </c>
      <c r="E261" s="16"/>
      <c r="F261" s="56"/>
      <c r="I261" s="56"/>
      <c r="J261" s="6">
        <f t="shared" ca="1" si="30"/>
        <v>7.5934864097980999</v>
      </c>
      <c r="K261" s="6"/>
      <c r="N261" s="56"/>
    </row>
    <row r="262" spans="4:14" x14ac:dyDescent="0.15">
      <c r="D262" s="44">
        <v>2068</v>
      </c>
      <c r="E262" s="16"/>
      <c r="F262" s="56"/>
      <c r="I262" s="56"/>
      <c r="J262" s="6">
        <f t="shared" ca="1" si="30"/>
        <v>7.5946783459059928</v>
      </c>
      <c r="K262" s="6"/>
      <c r="N262" s="56"/>
    </row>
    <row r="263" spans="4:14" x14ac:dyDescent="0.15">
      <c r="D263" s="44">
        <v>2069</v>
      </c>
      <c r="E263" s="16"/>
      <c r="F263" s="56"/>
      <c r="I263" s="56"/>
      <c r="J263" s="6">
        <f t="shared" ref="J263:J326" ca="1" si="31">F$1/(1+EXP((AVERAGE(E$2:F$2)-D263)*LN(81)/(F$2-E$2)))</f>
        <v>7.5958231577888906</v>
      </c>
      <c r="K263" s="6"/>
      <c r="N263" s="56"/>
    </row>
    <row r="264" spans="4:14" x14ac:dyDescent="0.15">
      <c r="D264" s="44">
        <v>2070</v>
      </c>
      <c r="E264" s="16"/>
      <c r="F264" s="56"/>
      <c r="I264" s="56"/>
      <c r="J264" s="6">
        <f t="shared" ca="1" si="31"/>
        <v>7.596922695117402</v>
      </c>
      <c r="K264" s="6"/>
      <c r="N264" s="56"/>
    </row>
    <row r="265" spans="4:14" x14ac:dyDescent="0.15">
      <c r="D265" s="44">
        <v>2071</v>
      </c>
      <c r="E265" s="16"/>
      <c r="F265" s="56"/>
      <c r="I265" s="56"/>
      <c r="J265" s="6">
        <f t="shared" ca="1" si="31"/>
        <v>7.5979787360059001</v>
      </c>
      <c r="K265" s="6"/>
      <c r="N265" s="56"/>
    </row>
    <row r="266" spans="4:14" x14ac:dyDescent="0.15">
      <c r="D266" s="44">
        <v>2072</v>
      </c>
      <c r="E266" s="16"/>
      <c r="F266" s="56"/>
      <c r="I266" s="56"/>
      <c r="J266" s="6">
        <f t="shared" ca="1" si="31"/>
        <v>7.5989929896992026</v>
      </c>
      <c r="K266" s="6"/>
      <c r="N266" s="56"/>
    </row>
    <row r="267" spans="4:14" x14ac:dyDescent="0.15">
      <c r="D267" s="44">
        <v>2073</v>
      </c>
      <c r="E267" s="16"/>
      <c r="F267" s="56"/>
      <c r="I267" s="56"/>
      <c r="J267" s="6">
        <f t="shared" ca="1" si="31"/>
        <v>7.5999670991647896</v>
      </c>
      <c r="K267" s="6"/>
      <c r="N267" s="56"/>
    </row>
    <row r="268" spans="4:14" x14ac:dyDescent="0.15">
      <c r="D268" s="44">
        <v>2074</v>
      </c>
      <c r="E268" s="16"/>
      <c r="I268" s="56"/>
      <c r="J268" s="6">
        <f t="shared" ca="1" si="31"/>
        <v>7.6009026435933604</v>
      </c>
      <c r="K268" s="6"/>
    </row>
    <row r="269" spans="4:14" x14ac:dyDescent="0.15">
      <c r="D269" s="44">
        <v>2075</v>
      </c>
      <c r="E269" s="16"/>
      <c r="I269" s="56"/>
      <c r="J269" s="6">
        <f t="shared" ca="1" si="31"/>
        <v>7.6018011408104949</v>
      </c>
      <c r="K269" s="6"/>
    </row>
    <row r="270" spans="4:14" x14ac:dyDescent="0.15">
      <c r="D270" s="44">
        <v>2076</v>
      </c>
      <c r="E270" s="16"/>
      <c r="I270" s="56"/>
      <c r="J270" s="6">
        <f t="shared" ca="1" si="31"/>
        <v>7.6026640496021578</v>
      </c>
      <c r="K270" s="6"/>
    </row>
    <row r="271" spans="4:14" x14ac:dyDescent="0.15">
      <c r="D271" s="44">
        <v>2077</v>
      </c>
      <c r="E271" s="16"/>
      <c r="I271" s="56"/>
      <c r="J271" s="6">
        <f t="shared" ca="1" si="31"/>
        <v>7.6034927719567049</v>
      </c>
      <c r="K271" s="6"/>
    </row>
    <row r="272" spans="4:14" x14ac:dyDescent="0.15">
      <c r="D272" s="44">
        <v>2078</v>
      </c>
      <c r="E272" s="16"/>
      <c r="I272" s="56"/>
      <c r="J272" s="6">
        <f t="shared" ca="1" si="31"/>
        <v>7.6042886552260187</v>
      </c>
      <c r="K272" s="6"/>
    </row>
    <row r="273" spans="4:11" x14ac:dyDescent="0.15">
      <c r="D273" s="44">
        <v>2079</v>
      </c>
      <c r="E273" s="16"/>
      <c r="I273" s="56"/>
      <c r="J273" s="6">
        <f t="shared" ca="1" si="31"/>
        <v>7.6050529942083811</v>
      </c>
      <c r="K273" s="6"/>
    </row>
    <row r="274" spans="4:11" x14ac:dyDescent="0.15">
      <c r="D274" s="44">
        <v>2080</v>
      </c>
      <c r="E274" s="16"/>
      <c r="I274" s="56"/>
      <c r="J274" s="6">
        <f t="shared" ca="1" si="31"/>
        <v>7.605787033155555</v>
      </c>
      <c r="K274" s="6"/>
    </row>
    <row r="275" spans="4:11" x14ac:dyDescent="0.15">
      <c r="D275" s="44">
        <v>2081</v>
      </c>
      <c r="E275" s="16"/>
      <c r="I275" s="56"/>
      <c r="J275" s="6">
        <f t="shared" ca="1" si="31"/>
        <v>7.6064919677065799</v>
      </c>
      <c r="K275" s="6"/>
    </row>
    <row r="276" spans="4:11" x14ac:dyDescent="0.15">
      <c r="D276" s="44">
        <v>2082</v>
      </c>
      <c r="E276" s="16"/>
      <c r="I276" s="56"/>
      <c r="J276" s="6">
        <f t="shared" ca="1" si="31"/>
        <v>7.6071689467506767</v>
      </c>
      <c r="K276" s="6"/>
    </row>
    <row r="277" spans="4:11" x14ac:dyDescent="0.15">
      <c r="D277" s="44">
        <v>2083</v>
      </c>
      <c r="E277" s="16"/>
      <c r="I277" s="56"/>
      <c r="J277" s="6">
        <f t="shared" ca="1" si="31"/>
        <v>7.6078190742216156</v>
      </c>
      <c r="K277" s="6"/>
    </row>
    <row r="278" spans="4:11" x14ac:dyDescent="0.15">
      <c r="D278" s="44">
        <v>2084</v>
      </c>
      <c r="E278" s="16"/>
      <c r="I278" s="56"/>
      <c r="J278" s="6">
        <f t="shared" ca="1" si="31"/>
        <v>7.6084434108258447</v>
      </c>
      <c r="K278" s="6"/>
    </row>
    <row r="279" spans="4:11" x14ac:dyDescent="0.15">
      <c r="D279" s="44">
        <v>2085</v>
      </c>
      <c r="E279" s="16"/>
      <c r="I279" s="56"/>
      <c r="J279" s="6">
        <f t="shared" ca="1" si="31"/>
        <v>7.6090429757066103</v>
      </c>
      <c r="K279" s="6"/>
    </row>
    <row r="280" spans="4:11" x14ac:dyDescent="0.15">
      <c r="D280" s="44">
        <v>2086</v>
      </c>
      <c r="E280" s="16"/>
      <c r="I280" s="56"/>
      <c r="J280" s="6">
        <f t="shared" ca="1" si="31"/>
        <v>7.609618748046258</v>
      </c>
      <c r="K280" s="6"/>
    </row>
    <row r="281" spans="4:11" x14ac:dyDescent="0.15">
      <c r="D281" s="44">
        <v>2087</v>
      </c>
      <c r="E281" s="16"/>
      <c r="I281" s="56"/>
      <c r="J281" s="6">
        <f t="shared" ca="1" si="31"/>
        <v>7.6101716686088174</v>
      </c>
      <c r="K281" s="6"/>
    </row>
    <row r="282" spans="4:11" x14ac:dyDescent="0.15">
      <c r="D282" s="44">
        <v>2088</v>
      </c>
      <c r="E282" s="16"/>
      <c r="I282" s="56"/>
      <c r="J282" s="6">
        <f t="shared" ca="1" si="31"/>
        <v>7.610702641224953</v>
      </c>
      <c r="K282" s="6"/>
    </row>
    <row r="283" spans="4:11" x14ac:dyDescent="0.15">
      <c r="D283" s="44">
        <v>2089</v>
      </c>
      <c r="E283" s="16"/>
      <c r="I283" s="56"/>
      <c r="J283" s="6">
        <f t="shared" ca="1" si="31"/>
        <v>7.6112125342212638</v>
      </c>
      <c r="K283" s="6"/>
    </row>
    <row r="284" spans="4:11" x14ac:dyDescent="0.15">
      <c r="D284" s="44">
        <v>2090</v>
      </c>
      <c r="E284" s="16"/>
      <c r="I284" s="56"/>
      <c r="J284" s="6">
        <f t="shared" ca="1" si="31"/>
        <v>7.6117021817958905</v>
      </c>
      <c r="K284" s="6"/>
    </row>
    <row r="285" spans="4:11" x14ac:dyDescent="0.15">
      <c r="D285" s="44">
        <v>2091</v>
      </c>
      <c r="E285" s="16"/>
      <c r="I285" s="56"/>
      <c r="J285" s="6">
        <f t="shared" ca="1" si="31"/>
        <v>7.612172385342328</v>
      </c>
      <c r="K285" s="6"/>
    </row>
    <row r="286" spans="4:11" x14ac:dyDescent="0.15">
      <c r="D286" s="44">
        <v>2092</v>
      </c>
      <c r="E286" s="16"/>
      <c r="I286" s="56"/>
      <c r="J286" s="6">
        <f t="shared" ca="1" si="31"/>
        <v>7.6126239147232431</v>
      </c>
      <c r="K286" s="6"/>
    </row>
    <row r="287" spans="4:11" x14ac:dyDescent="0.15">
      <c r="D287" s="44">
        <v>2093</v>
      </c>
      <c r="E287" s="16"/>
      <c r="I287" s="56"/>
      <c r="J287" s="6">
        <f t="shared" ca="1" si="31"/>
        <v>7.6130575094961133</v>
      </c>
      <c r="K287" s="6"/>
    </row>
    <row r="288" spans="4:11" x14ac:dyDescent="0.15">
      <c r="D288" s="44">
        <v>2094</v>
      </c>
      <c r="E288" s="16"/>
      <c r="I288" s="56"/>
      <c r="J288" s="6">
        <f t="shared" ca="1" si="31"/>
        <v>7.6134738800923962</v>
      </c>
      <c r="K288" s="6"/>
    </row>
    <row r="289" spans="4:11" x14ac:dyDescent="0.15">
      <c r="D289" s="44">
        <v>2095</v>
      </c>
      <c r="E289" s="16"/>
      <c r="I289" s="56"/>
      <c r="J289" s="6">
        <f t="shared" ca="1" si="31"/>
        <v>7.6138737089518775</v>
      </c>
      <c r="K289" s="6"/>
    </row>
    <row r="290" spans="4:11" x14ac:dyDescent="0.15">
      <c r="D290" s="44">
        <v>2096</v>
      </c>
      <c r="E290" s="16"/>
      <c r="I290" s="56"/>
      <c r="J290" s="6">
        <f t="shared" ca="1" si="31"/>
        <v>7.6142576516138618</v>
      </c>
      <c r="K290" s="6"/>
    </row>
    <row r="291" spans="4:11" x14ac:dyDescent="0.15">
      <c r="D291" s="44">
        <v>2097</v>
      </c>
      <c r="E291" s="16"/>
      <c r="I291" s="56"/>
      <c r="J291" s="6">
        <f t="shared" ca="1" si="31"/>
        <v>7.6146263377667189</v>
      </c>
      <c r="K291" s="6"/>
    </row>
    <row r="292" spans="4:11" x14ac:dyDescent="0.15">
      <c r="D292" s="44">
        <v>2098</v>
      </c>
      <c r="E292" s="16"/>
      <c r="I292" s="56"/>
      <c r="J292" s="6">
        <f t="shared" ca="1" si="31"/>
        <v>7.6149803722573433</v>
      </c>
      <c r="K292" s="6"/>
    </row>
    <row r="293" spans="4:11" x14ac:dyDescent="0.15">
      <c r="D293" s="44">
        <v>2099</v>
      </c>
      <c r="E293" s="16"/>
      <c r="I293" s="56"/>
      <c r="J293" s="6">
        <f t="shared" ca="1" si="31"/>
        <v>7.6153203360619646</v>
      </c>
      <c r="K293" s="6"/>
    </row>
    <row r="294" spans="4:11" x14ac:dyDescent="0.15">
      <c r="D294" s="44">
        <v>2100</v>
      </c>
      <c r="E294" s="16"/>
      <c r="I294" s="56"/>
      <c r="J294" s="6">
        <f t="shared" ca="1" si="31"/>
        <v>7.6156467872197471</v>
      </c>
      <c r="K294" s="6"/>
    </row>
    <row r="295" spans="4:11" x14ac:dyDescent="0.15">
      <c r="D295" s="44">
        <v>2101</v>
      </c>
      <c r="E295" s="16"/>
      <c r="I295" s="56"/>
      <c r="J295" s="6">
        <f t="shared" ca="1" si="31"/>
        <v>7.6159602617305246</v>
      </c>
      <c r="K295" s="6"/>
    </row>
    <row r="296" spans="4:11" x14ac:dyDescent="0.15">
      <c r="D296" s="44">
        <v>2102</v>
      </c>
      <c r="E296" s="16"/>
      <c r="I296" s="56"/>
      <c r="J296" s="6">
        <f t="shared" ca="1" si="31"/>
        <v>7.616261274418032</v>
      </c>
      <c r="K296" s="6"/>
    </row>
    <row r="297" spans="4:11" x14ac:dyDescent="0.15">
      <c r="D297" s="44">
        <v>2103</v>
      </c>
      <c r="E297" s="16"/>
      <c r="I297" s="56"/>
      <c r="J297" s="6">
        <f t="shared" ca="1" si="31"/>
        <v>7.6165503197598659</v>
      </c>
      <c r="K297" s="6"/>
    </row>
    <row r="298" spans="4:11" x14ac:dyDescent="0.15">
      <c r="D298" s="44">
        <v>2104</v>
      </c>
      <c r="E298" s="16"/>
      <c r="I298" s="56"/>
      <c r="J298" s="6">
        <f t="shared" ca="1" si="31"/>
        <v>7.6168278726854517</v>
      </c>
      <c r="K298" s="6"/>
    </row>
    <row r="299" spans="4:11" x14ac:dyDescent="0.15">
      <c r="D299" s="44">
        <v>2105</v>
      </c>
      <c r="E299" s="16"/>
      <c r="I299" s="56"/>
      <c r="J299" s="6">
        <f t="shared" ca="1" si="31"/>
        <v>7.6170943893431913</v>
      </c>
      <c r="K299" s="6"/>
    </row>
    <row r="300" spans="4:11" x14ac:dyDescent="0.15">
      <c r="D300" s="44">
        <v>2106</v>
      </c>
      <c r="E300" s="16"/>
      <c r="I300" s="56"/>
      <c r="J300" s="6">
        <f t="shared" ca="1" si="31"/>
        <v>7.6173503078379365</v>
      </c>
      <c r="K300" s="6"/>
    </row>
    <row r="301" spans="4:11" x14ac:dyDescent="0.15">
      <c r="D301" s="44">
        <v>2107</v>
      </c>
      <c r="E301" s="16"/>
      <c r="I301" s="56"/>
      <c r="J301" s="6">
        <f t="shared" ca="1" si="31"/>
        <v>7.6175960489399337</v>
      </c>
      <c r="K301" s="6"/>
    </row>
    <row r="302" spans="4:11" x14ac:dyDescent="0.15">
      <c r="D302" s="44">
        <v>2108</v>
      </c>
      <c r="E302" s="16"/>
      <c r="I302" s="56"/>
      <c r="J302" s="6">
        <f t="shared" ca="1" si="31"/>
        <v>7.6178320167662656</v>
      </c>
      <c r="K302" s="6"/>
    </row>
    <row r="303" spans="4:11" x14ac:dyDescent="0.15">
      <c r="D303" s="44">
        <v>2109</v>
      </c>
      <c r="E303" s="16"/>
      <c r="I303" s="56"/>
      <c r="J303" s="6">
        <f t="shared" ca="1" si="31"/>
        <v>7.6180585994358614</v>
      </c>
      <c r="K303" s="6"/>
    </row>
    <row r="304" spans="4:11" x14ac:dyDescent="0.15">
      <c r="D304" s="44">
        <v>2110</v>
      </c>
      <c r="E304" s="16"/>
      <c r="I304" s="56"/>
      <c r="J304" s="6">
        <f t="shared" ca="1" si="31"/>
        <v>7.6182761696990697</v>
      </c>
      <c r="K304" s="6"/>
    </row>
    <row r="305" spans="4:11" x14ac:dyDescent="0.15">
      <c r="D305" s="44">
        <v>2111</v>
      </c>
      <c r="E305" s="16"/>
      <c r="I305" s="56"/>
      <c r="J305" s="6">
        <f t="shared" ca="1" si="31"/>
        <v>7.618485085542738</v>
      </c>
      <c r="K305" s="6"/>
    </row>
    <row r="306" spans="4:11" x14ac:dyDescent="0.15">
      <c r="D306" s="44">
        <v>2112</v>
      </c>
      <c r="E306" s="16"/>
      <c r="I306" s="56"/>
      <c r="J306" s="6">
        <f t="shared" ca="1" si="31"/>
        <v>7.6186856907717493</v>
      </c>
      <c r="K306" s="6"/>
    </row>
    <row r="307" spans="4:11" x14ac:dyDescent="0.15">
      <c r="D307" s="44">
        <v>2113</v>
      </c>
      <c r="E307" s="16"/>
      <c r="I307" s="56"/>
      <c r="J307" s="6">
        <f t="shared" ca="1" si="31"/>
        <v>7.6188783155679003</v>
      </c>
      <c r="K307" s="6"/>
    </row>
    <row r="308" spans="4:11" x14ac:dyDescent="0.15">
      <c r="D308" s="44">
        <v>2114</v>
      </c>
      <c r="E308" s="16"/>
      <c r="I308" s="56"/>
      <c r="J308" s="6">
        <f t="shared" ca="1" si="31"/>
        <v>7.619063277026985</v>
      </c>
      <c r="K308" s="6"/>
    </row>
    <row r="309" spans="4:11" x14ac:dyDescent="0.15">
      <c r="D309" s="44">
        <v>2115</v>
      </c>
      <c r="E309" s="16"/>
      <c r="I309" s="56"/>
      <c r="J309" s="6">
        <f t="shared" ca="1" si="31"/>
        <v>7.6192408796749174</v>
      </c>
      <c r="K309" s="6"/>
    </row>
    <row r="310" spans="4:11" x14ac:dyDescent="0.15">
      <c r="D310" s="44">
        <v>2116</v>
      </c>
      <c r="E310" s="16"/>
      <c r="I310" s="56"/>
      <c r="J310" s="6">
        <f t="shared" ca="1" si="31"/>
        <v>7.6194114159636941</v>
      </c>
      <c r="K310" s="6"/>
    </row>
    <row r="311" spans="4:11" x14ac:dyDescent="0.15">
      <c r="D311" s="44">
        <v>2117</v>
      </c>
      <c r="E311" s="16"/>
      <c r="I311" s="56"/>
      <c r="J311" s="6">
        <f t="shared" ca="1" si="31"/>
        <v>7.619575166747973</v>
      </c>
      <c r="K311" s="6"/>
    </row>
    <row r="312" spans="4:11" x14ac:dyDescent="0.15">
      <c r="D312" s="44">
        <v>2118</v>
      </c>
      <c r="E312" s="16"/>
      <c r="I312" s="56"/>
      <c r="J312" s="6">
        <f t="shared" ca="1" si="31"/>
        <v>7.619732401742997</v>
      </c>
      <c r="K312" s="6"/>
    </row>
    <row r="313" spans="4:11" x14ac:dyDescent="0.15">
      <c r="D313" s="44">
        <v>2119</v>
      </c>
      <c r="E313" s="16"/>
      <c r="I313" s="56"/>
      <c r="J313" s="6">
        <f t="shared" ca="1" si="31"/>
        <v>7.6198833799646062</v>
      </c>
      <c r="K313" s="6"/>
    </row>
    <row r="314" spans="4:11" x14ac:dyDescent="0.15">
      <c r="D314" s="44">
        <v>2120</v>
      </c>
      <c r="E314" s="16"/>
      <c r="I314" s="56"/>
      <c r="J314" s="6">
        <f t="shared" ca="1" si="31"/>
        <v>7.6200283501519923</v>
      </c>
      <c r="K314" s="6"/>
    </row>
    <row r="315" spans="4:11" x14ac:dyDescent="0.15">
      <c r="D315" s="44">
        <v>2121</v>
      </c>
      <c r="E315" s="16"/>
      <c r="I315" s="56"/>
      <c r="J315" s="6">
        <f t="shared" ca="1" si="31"/>
        <v>7.6201675511738944</v>
      </c>
      <c r="K315" s="6"/>
    </row>
    <row r="316" spans="4:11" x14ac:dyDescent="0.15">
      <c r="D316" s="44">
        <v>2122</v>
      </c>
      <c r="E316" s="16"/>
      <c r="I316" s="56"/>
      <c r="J316" s="6">
        <f t="shared" ca="1" si="31"/>
        <v>7.6203012124188607</v>
      </c>
      <c r="K316" s="6"/>
    </row>
    <row r="317" spans="4:11" x14ac:dyDescent="0.15">
      <c r="D317" s="44">
        <v>2123</v>
      </c>
      <c r="E317" s="16"/>
      <c r="I317" s="56"/>
      <c r="J317" s="6">
        <f t="shared" ca="1" si="31"/>
        <v>7.6204295541701752</v>
      </c>
      <c r="K317" s="6"/>
    </row>
    <row r="318" spans="4:11" x14ac:dyDescent="0.15">
      <c r="D318" s="44">
        <v>2124</v>
      </c>
      <c r="E318" s="16"/>
      <c r="I318" s="56"/>
      <c r="J318" s="6">
        <f t="shared" ca="1" si="31"/>
        <v>7.6205527879660746</v>
      </c>
      <c r="K318" s="6"/>
    </row>
    <row r="319" spans="4:11" x14ac:dyDescent="0.15">
      <c r="D319" s="44">
        <v>2125</v>
      </c>
      <c r="E319" s="16"/>
      <c r="I319" s="56"/>
      <c r="J319" s="6">
        <f t="shared" ca="1" si="31"/>
        <v>7.6206711169458039</v>
      </c>
      <c r="K319" s="6"/>
    </row>
    <row r="320" spans="4:11" x14ac:dyDescent="0.15">
      <c r="D320" s="44">
        <v>2126</v>
      </c>
      <c r="E320" s="16"/>
      <c r="I320" s="56"/>
      <c r="J320" s="6">
        <f t="shared" ca="1" si="31"/>
        <v>7.6207847361820669</v>
      </c>
      <c r="K320" s="6"/>
    </row>
    <row r="321" spans="4:11" x14ac:dyDescent="0.15">
      <c r="D321" s="44">
        <v>2127</v>
      </c>
      <c r="E321" s="16"/>
      <c r="J321" s="6">
        <f t="shared" ca="1" si="31"/>
        <v>7.6208938330003893</v>
      </c>
      <c r="K321" s="6"/>
    </row>
    <row r="322" spans="4:11" x14ac:dyDescent="0.15">
      <c r="D322" s="44">
        <v>2128</v>
      </c>
      <c r="E322" s="16"/>
      <c r="J322" s="6">
        <f t="shared" ca="1" si="31"/>
        <v>7.6209985872859303</v>
      </c>
      <c r="K322" s="6"/>
    </row>
    <row r="323" spans="4:11" x14ac:dyDescent="0.15">
      <c r="D323" s="44">
        <v>2129</v>
      </c>
      <c r="E323" s="16"/>
      <c r="J323" s="6">
        <f t="shared" ca="1" si="31"/>
        <v>7.62109917177819</v>
      </c>
      <c r="K323" s="6"/>
    </row>
    <row r="324" spans="4:11" x14ac:dyDescent="0.15">
      <c r="D324" s="44">
        <v>2130</v>
      </c>
      <c r="E324" s="16"/>
      <c r="J324" s="6">
        <f t="shared" ca="1" si="31"/>
        <v>7.6211957523541178</v>
      </c>
      <c r="K324" s="6"/>
    </row>
    <row r="325" spans="4:11" x14ac:dyDescent="0.15">
      <c r="D325" s="44">
        <v>2131</v>
      </c>
      <c r="E325" s="16"/>
      <c r="J325" s="6">
        <f t="shared" ca="1" si="31"/>
        <v>7.6212884883000669</v>
      </c>
      <c r="K325" s="6"/>
    </row>
    <row r="326" spans="4:11" x14ac:dyDescent="0.15">
      <c r="D326" s="44">
        <v>2132</v>
      </c>
      <c r="E326" s="16"/>
      <c r="J326" s="6">
        <f t="shared" ca="1" si="31"/>
        <v>7.621377532573014</v>
      </c>
      <c r="K326" s="6"/>
    </row>
    <row r="327" spans="4:11" x14ac:dyDescent="0.15">
      <c r="D327" s="44">
        <v>2133</v>
      </c>
      <c r="E327" s="16"/>
      <c r="J327" s="6">
        <f t="shared" ref="J327:J344" ca="1" si="32">F$1/(1+EXP((AVERAGE(E$2:F$2)-D327)*LN(81)/(F$2-E$2)))</f>
        <v>7.6214630320514853</v>
      </c>
      <c r="K327" s="6"/>
    </row>
    <row r="328" spans="4:11" x14ac:dyDescent="0.15">
      <c r="D328" s="44">
        <v>2134</v>
      </c>
      <c r="E328" s="16"/>
      <c r="J328" s="6">
        <f t="shared" ca="1" si="32"/>
        <v>7.6215451277765709</v>
      </c>
      <c r="K328" s="6"/>
    </row>
    <row r="329" spans="4:11" x14ac:dyDescent="0.15">
      <c r="D329" s="44">
        <v>2135</v>
      </c>
      <c r="E329" s="16"/>
      <c r="J329" s="6">
        <f t="shared" ca="1" si="32"/>
        <v>7.6216239551834279</v>
      </c>
      <c r="K329" s="6"/>
    </row>
    <row r="330" spans="4:11" x14ac:dyDescent="0.15">
      <c r="D330" s="44">
        <v>2136</v>
      </c>
      <c r="E330" s="16"/>
      <c r="J330" s="6">
        <f t="shared" ca="1" si="32"/>
        <v>7.6216996443236456</v>
      </c>
      <c r="K330" s="6"/>
    </row>
    <row r="331" spans="4:11" x14ac:dyDescent="0.15">
      <c r="D331" s="44">
        <v>2137</v>
      </c>
      <c r="E331" s="16"/>
      <c r="J331" s="6">
        <f t="shared" ca="1" si="32"/>
        <v>7.6217723200788203</v>
      </c>
      <c r="K331" s="6"/>
    </row>
    <row r="332" spans="4:11" x14ac:dyDescent="0.15">
      <c r="D332" s="44">
        <v>2138</v>
      </c>
      <c r="E332" s="16"/>
      <c r="J332" s="6">
        <f t="shared" ca="1" si="32"/>
        <v>7.6218421023656955</v>
      </c>
      <c r="K332" s="6"/>
    </row>
    <row r="333" spans="4:11" x14ac:dyDescent="0.15">
      <c r="D333" s="44">
        <v>2139</v>
      </c>
      <c r="E333" s="16"/>
      <c r="J333" s="6">
        <f t="shared" ca="1" si="32"/>
        <v>7.6219091063331845</v>
      </c>
      <c r="K333" s="6"/>
    </row>
    <row r="334" spans="4:11" x14ac:dyDescent="0.15">
      <c r="D334" s="44">
        <v>2140</v>
      </c>
      <c r="E334" s="16"/>
      <c r="J334" s="6">
        <f t="shared" ca="1" si="32"/>
        <v>7.6219734425516101</v>
      </c>
      <c r="K334" s="6"/>
    </row>
    <row r="335" spans="4:11" x14ac:dyDescent="0.15">
      <c r="D335" s="44">
        <v>2141</v>
      </c>
      <c r="E335" s="16"/>
      <c r="J335" s="6">
        <f t="shared" ca="1" si="32"/>
        <v>7.6220352171944565</v>
      </c>
      <c r="K335" s="6"/>
    </row>
    <row r="336" spans="4:11" x14ac:dyDescent="0.15">
      <c r="D336" s="44">
        <v>2142</v>
      </c>
      <c r="E336" s="16"/>
      <c r="J336" s="6">
        <f t="shared" ca="1" si="32"/>
        <v>7.6220945322129285</v>
      </c>
      <c r="K336" s="6"/>
    </row>
    <row r="337" spans="4:11" x14ac:dyDescent="0.15">
      <c r="D337" s="44">
        <v>2143</v>
      </c>
      <c r="E337" s="16"/>
      <c r="J337" s="6">
        <f t="shared" ca="1" si="32"/>
        <v>7.6221514855036032</v>
      </c>
      <c r="K337" s="6"/>
    </row>
    <row r="338" spans="4:11" x14ac:dyDescent="0.15">
      <c r="D338" s="44">
        <v>2144</v>
      </c>
      <c r="E338" s="16"/>
      <c r="J338" s="6">
        <f t="shared" ca="1" si="32"/>
        <v>7.6222061710694478</v>
      </c>
      <c r="K338" s="6"/>
    </row>
    <row r="339" spans="4:11" x14ac:dyDescent="0.15">
      <c r="D339" s="44">
        <v>2145</v>
      </c>
      <c r="E339" s="16"/>
      <c r="J339" s="6">
        <f t="shared" ca="1" si="32"/>
        <v>7.6222586791744593</v>
      </c>
      <c r="K339" s="6"/>
    </row>
    <row r="340" spans="4:11" x14ac:dyDescent="0.15">
      <c r="D340" s="44">
        <v>2146</v>
      </c>
      <c r="E340" s="16"/>
      <c r="J340" s="6">
        <f t="shared" ca="1" si="32"/>
        <v>7.6223090964921747</v>
      </c>
      <c r="K340" s="6"/>
    </row>
    <row r="341" spans="4:11" x14ac:dyDescent="0.15">
      <c r="D341" s="44">
        <v>2147</v>
      </c>
      <c r="E341" s="16"/>
      <c r="J341" s="6">
        <f t="shared" ca="1" si="32"/>
        <v>7.6223575062483109</v>
      </c>
      <c r="K341" s="6"/>
    </row>
    <row r="342" spans="4:11" x14ac:dyDescent="0.15">
      <c r="D342" s="44">
        <v>2148</v>
      </c>
      <c r="E342" s="16"/>
      <c r="J342" s="6">
        <f t="shared" ca="1" si="32"/>
        <v>7.6224039883577355</v>
      </c>
      <c r="K342" s="6"/>
    </row>
    <row r="343" spans="4:11" x14ac:dyDescent="0.15">
      <c r="D343" s="44">
        <v>2149</v>
      </c>
      <c r="E343" s="16"/>
      <c r="J343" s="6">
        <f t="shared" ca="1" si="32"/>
        <v>7.6224486195560273</v>
      </c>
      <c r="K343" s="6"/>
    </row>
    <row r="344" spans="4:11" x14ac:dyDescent="0.15">
      <c r="D344" s="44">
        <v>2150</v>
      </c>
      <c r="E344" s="16"/>
      <c r="J344" s="6">
        <f t="shared" ca="1" si="32"/>
        <v>7.6224914735258107</v>
      </c>
      <c r="K344" s="6"/>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0000FF"/>
  </sheetPr>
  <dimension ref="D1:X285"/>
  <sheetViews>
    <sheetView topLeftCell="A131" zoomScaleNormal="100" workbookViewId="0">
      <selection activeCell="A170" sqref="A170"/>
    </sheetView>
  </sheetViews>
  <sheetFormatPr baseColWidth="10" defaultColWidth="9.1640625" defaultRowHeight="11" x14ac:dyDescent="0.15"/>
  <cols>
    <col min="1" max="1" width="9.1640625" style="42"/>
    <col min="2" max="2" width="90.6640625" style="42" customWidth="1"/>
    <col min="3" max="3" width="9.1640625" style="42"/>
    <col min="4" max="4" width="4.5" style="42" bestFit="1" customWidth="1"/>
    <col min="5" max="5" width="7.5" style="42" bestFit="1" customWidth="1"/>
    <col min="6" max="6" width="4.5" style="42" bestFit="1" customWidth="1"/>
    <col min="7" max="7" width="7.1640625" style="42" bestFit="1" customWidth="1"/>
    <col min="8" max="8" width="8.6640625" style="42" bestFit="1" customWidth="1"/>
    <col min="9" max="9" width="7" style="42" bestFit="1" customWidth="1"/>
    <col min="10" max="10" width="3.1640625" style="42" bestFit="1" customWidth="1"/>
    <col min="11" max="11" width="5.1640625" style="42" customWidth="1"/>
    <col min="12" max="12" width="8.6640625" style="42" customWidth="1"/>
    <col min="13" max="13" width="8.33203125" style="42" customWidth="1"/>
    <col min="14" max="14" width="8" style="42" customWidth="1"/>
    <col min="15" max="15" width="12.5" style="42" bestFit="1" customWidth="1"/>
    <col min="16" max="16" width="12.1640625" style="42" bestFit="1" customWidth="1"/>
    <col min="17" max="17" width="6" style="42" customWidth="1"/>
    <col min="18" max="18" width="6.1640625" style="42" bestFit="1" customWidth="1"/>
    <col min="19" max="19" width="12" style="42" bestFit="1" customWidth="1"/>
    <col min="20" max="20" width="8.1640625" style="42" bestFit="1" customWidth="1"/>
    <col min="21" max="21" width="15.33203125" style="42" bestFit="1" customWidth="1"/>
    <col min="22" max="22" width="6.1640625" style="42" bestFit="1" customWidth="1"/>
    <col min="23" max="23" width="19.5" style="42" bestFit="1" customWidth="1"/>
    <col min="24" max="24" width="10.33203125" style="42" bestFit="1" customWidth="1"/>
    <col min="25" max="16384" width="9.1640625" style="42"/>
  </cols>
  <sheetData>
    <row r="1" spans="4:24" x14ac:dyDescent="0.15">
      <c r="E1" s="11">
        <f ca="1">RSQ(OFFSET(G8,E3-D8,0):OFFSET(G8,E4-D8,0),OFFSET(D8,E3-D8,0):OFFSET(D8,E4-D8,0))</f>
        <v>0.99769962646479693</v>
      </c>
      <c r="F1" s="6">
        <v>3.6926465303903417</v>
      </c>
      <c r="G1" s="243" t="s">
        <v>73</v>
      </c>
      <c r="H1" s="56"/>
      <c r="I1" s="116"/>
      <c r="M1" s="177"/>
    </row>
    <row r="2" spans="4:24" x14ac:dyDescent="0.15">
      <c r="E2" s="35">
        <f ca="1">(-INTERCEPT(OFFSET(G$8,E3-D$8,0):OFFSET(G$8,E4-D$8,0),OFFSET(D$8,E3-D$8,0):OFFSET(D$8,E4-D$8,0))+NORMSINV(0.1))/SLOPE(OFFSET(G$8,E3-D$8,0):OFFSET(G$8,E4-D$8,0),OFFSET(D$8,E3-D$8,0):OFFSET(D$8,E4-D$8,0))</f>
        <v>1918.6641028876597</v>
      </c>
      <c r="F2" s="122">
        <f ca="1">(-INTERCEPT(OFFSET(G$18,E3-D$18,0):OFFSET(G$18,E4-D$18,0),OFFSET(D$18,E3-D$18,0):OFFSET(D$18,E4-D$18,0))+NORMSINV(0.9))/SLOPE(OFFSET(G$18,E3-D$18,0):OFFSET(G$18,E4-D$18,0),OFFSET(D$18,E3-D$18,0):OFFSET(D$18,E4-D$18,0))</f>
        <v>1988.8311515427185</v>
      </c>
      <c r="G2" s="116" t="s">
        <v>152</v>
      </c>
      <c r="H2" s="6"/>
      <c r="I2" s="100"/>
    </row>
    <row r="3" spans="4:24" x14ac:dyDescent="0.15">
      <c r="E3" s="3">
        <v>1908</v>
      </c>
      <c r="F3" s="8">
        <f ca="1">(E3-AVERAGE(E$2:F$2))/(F$2-E$2)*(NORMSINV(0.9)-NORMSINV(0.1))</f>
        <v>-1.6710961740970858</v>
      </c>
      <c r="G3" s="116" t="s">
        <v>74</v>
      </c>
      <c r="H3" s="8"/>
      <c r="I3" s="6"/>
    </row>
    <row r="4" spans="4:24" x14ac:dyDescent="0.15">
      <c r="E4" s="3">
        <f ca="1">OFFSET(D9,COUNT(E10:E301),0)</f>
        <v>2009</v>
      </c>
      <c r="F4" s="8">
        <f ca="1">(E4-AVERAGE(E$2:F$2))/(F$2-E$2)*(NORMSINV(0.9)-NORMSINV(0.1))</f>
        <v>2.0182910981627318</v>
      </c>
      <c r="G4" s="10"/>
      <c r="H4" s="12"/>
      <c r="I4" s="6"/>
    </row>
    <row r="5" spans="4:24" x14ac:dyDescent="0.15">
      <c r="E5" s="11">
        <f ca="1">RSQ(OFFSET(K8,E3-D8,0):OFFSET(K8,E4-D8,0),OFFSET(D8,E3-D8,0):OFFSET(D8,E4-D8,0))</f>
        <v>0.99686546455072977</v>
      </c>
      <c r="F5" s="6">
        <v>3.7392699185476275</v>
      </c>
      <c r="G5" s="116" t="s">
        <v>72</v>
      </c>
      <c r="H5" s="242"/>
      <c r="I5" s="243"/>
    </row>
    <row r="7" spans="4:24" x14ac:dyDescent="0.15">
      <c r="D7" s="43"/>
      <c r="E7" s="29" t="s">
        <v>0</v>
      </c>
      <c r="F7" s="48" t="s">
        <v>1</v>
      </c>
      <c r="G7" s="59" t="s">
        <v>3</v>
      </c>
      <c r="H7" s="209" t="s">
        <v>217</v>
      </c>
      <c r="I7" s="69" t="s">
        <v>27</v>
      </c>
      <c r="J7" s="77" t="s">
        <v>41</v>
      </c>
      <c r="K7" s="48" t="s">
        <v>2</v>
      </c>
      <c r="L7" s="48"/>
      <c r="M7" s="42" t="s">
        <v>32</v>
      </c>
      <c r="N7" s="42" t="s">
        <v>33</v>
      </c>
      <c r="O7" s="42" t="s">
        <v>34</v>
      </c>
      <c r="P7" s="42" t="s">
        <v>35</v>
      </c>
      <c r="R7" s="49"/>
      <c r="S7" s="199" t="s">
        <v>166</v>
      </c>
      <c r="T7" s="140" t="s">
        <v>67</v>
      </c>
      <c r="U7" s="179" t="s">
        <v>123</v>
      </c>
      <c r="V7" s="71" t="s">
        <v>37</v>
      </c>
      <c r="W7" s="179" t="s">
        <v>124</v>
      </c>
      <c r="X7" s="71" t="s">
        <v>36</v>
      </c>
    </row>
    <row r="8" spans="4:24" x14ac:dyDescent="0.15">
      <c r="D8" s="44">
        <v>1873</v>
      </c>
      <c r="E8" s="16"/>
      <c r="F8" s="49">
        <v>0</v>
      </c>
      <c r="M8" s="70"/>
      <c r="N8" s="94">
        <v>0</v>
      </c>
      <c r="O8" s="175"/>
      <c r="P8" s="94">
        <v>0</v>
      </c>
      <c r="R8" s="143" t="s">
        <v>7</v>
      </c>
      <c r="S8" s="42">
        <v>1913</v>
      </c>
      <c r="T8" s="47">
        <f t="shared" ref="T8:T25" si="0">LOOKUP(U8,D$8:D$292,N$8:N$292) + V8 + LOOKUP(W8,D$8:D$292,P$8:P$292) + X8</f>
        <v>7.8363649999999998</v>
      </c>
      <c r="U8" s="42">
        <v>1913</v>
      </c>
      <c r="V8" s="56">
        <v>7.585</v>
      </c>
      <c r="W8" s="42">
        <v>1913</v>
      </c>
      <c r="X8" s="65">
        <v>0</v>
      </c>
    </row>
    <row r="9" spans="4:24" x14ac:dyDescent="0.15">
      <c r="D9" s="44">
        <v>1874</v>
      </c>
      <c r="E9" s="21">
        <f t="shared" ref="E9:E40" si="1">SUM(M9,O9)</f>
        <v>0.20799999999999999</v>
      </c>
      <c r="F9" s="47">
        <f t="shared" ref="F9:F14" si="2">F8+E9/1000</f>
        <v>2.0799999999999999E-4</v>
      </c>
      <c r="G9" s="8">
        <f>NORMSINV(F9/F$1)</f>
        <v>-3.8615795289073862</v>
      </c>
      <c r="H9" s="3"/>
      <c r="I9" s="6">
        <f ca="1">G9/(NORMSINV(0.9)-NORMSINV(0.1))*(F$2-E$2) - D9 + AVERAGE(E$2:F$2)</f>
        <v>-25.966276920646351</v>
      </c>
      <c r="J9" s="6"/>
      <c r="K9" s="6">
        <f xml:space="preserve"> -LN(F$5/F9-1)</f>
        <v>-9.7968072343100694</v>
      </c>
      <c r="L9" s="6"/>
      <c r="M9" s="47">
        <v>0.20799999999999999</v>
      </c>
      <c r="N9" s="47">
        <f>N8+M9/1000</f>
        <v>2.0799999999999999E-4</v>
      </c>
      <c r="O9" s="46">
        <v>0</v>
      </c>
      <c r="P9" s="46">
        <v>0</v>
      </c>
      <c r="R9" s="145" t="s">
        <v>99</v>
      </c>
      <c r="S9" s="42">
        <v>1936</v>
      </c>
      <c r="T9" s="47">
        <f t="shared" si="0"/>
        <v>17.489542</v>
      </c>
      <c r="U9" s="46">
        <v>1932</v>
      </c>
      <c r="V9" s="56">
        <v>16.690999999999999</v>
      </c>
      <c r="W9" s="42">
        <v>1936</v>
      </c>
      <c r="X9" s="65">
        <v>0</v>
      </c>
    </row>
    <row r="10" spans="4:24" x14ac:dyDescent="0.15">
      <c r="D10" s="44">
        <v>1875</v>
      </c>
      <c r="E10" s="21">
        <f t="shared" si="1"/>
        <v>0.56699999999999995</v>
      </c>
      <c r="F10" s="47">
        <f t="shared" si="2"/>
        <v>7.7499999999999986E-4</v>
      </c>
      <c r="G10" s="8">
        <f t="shared" ref="G10:G73" si="3">NORMSINV(F10/F$1)</f>
        <v>-3.5273426637431622</v>
      </c>
      <c r="I10" s="6">
        <f t="shared" ref="I10:I73" ca="1" si="4">G10/(NORMSINV(0.9)-NORMSINV(0.1))*(F$2-E$2) - D10 + AVERAGE(E$2:F$2)</f>
        <v>-17.816268832471451</v>
      </c>
      <c r="J10" s="6"/>
      <c r="K10" s="6">
        <f t="shared" ref="K10:K73" si="5" xml:space="preserve"> -LN(F$5/F10-1)</f>
        <v>-8.4813306308455889</v>
      </c>
      <c r="L10" s="6"/>
      <c r="M10" s="47">
        <v>0.56699999999999995</v>
      </c>
      <c r="N10" s="47">
        <f t="shared" ref="N10:N73" si="6">N9+M10/1000</f>
        <v>7.7499999999999986E-4</v>
      </c>
      <c r="O10" s="46">
        <v>0</v>
      </c>
      <c r="P10" s="46">
        <v>0</v>
      </c>
      <c r="R10" s="145" t="s">
        <v>104</v>
      </c>
      <c r="S10" s="42">
        <v>1952</v>
      </c>
      <c r="T10" s="47">
        <f t="shared" si="0"/>
        <v>10.803721999999999</v>
      </c>
      <c r="U10" s="46">
        <v>1932</v>
      </c>
      <c r="V10" s="56">
        <v>10.000999999999999</v>
      </c>
      <c r="W10" s="42">
        <v>1952</v>
      </c>
      <c r="X10" s="65">
        <v>0</v>
      </c>
    </row>
    <row r="11" spans="4:24" x14ac:dyDescent="0.15">
      <c r="D11" s="44">
        <v>1876</v>
      </c>
      <c r="E11" s="21">
        <f t="shared" si="1"/>
        <v>0.54500000000000004</v>
      </c>
      <c r="F11" s="47">
        <f t="shared" si="2"/>
        <v>1.32E-3</v>
      </c>
      <c r="G11" s="8">
        <f t="shared" si="3"/>
        <v>-3.3837870158846228</v>
      </c>
      <c r="I11" s="6">
        <f t="shared" ca="1" si="4"/>
        <v>-14.886315329696117</v>
      </c>
      <c r="J11" s="6"/>
      <c r="K11" s="6">
        <f t="shared" si="5"/>
        <v>-7.9486608534001419</v>
      </c>
      <c r="L11" s="6"/>
      <c r="M11" s="47">
        <v>0.54500000000000004</v>
      </c>
      <c r="N11" s="47">
        <f t="shared" si="6"/>
        <v>1.32E-3</v>
      </c>
      <c r="O11" s="46">
        <v>0</v>
      </c>
      <c r="P11" s="46">
        <v>0</v>
      </c>
      <c r="R11" s="145" t="s">
        <v>105</v>
      </c>
      <c r="S11" s="42">
        <v>1954</v>
      </c>
      <c r="T11" s="47">
        <f t="shared" si="0"/>
        <v>11.780571</v>
      </c>
      <c r="U11" s="46">
        <v>1951</v>
      </c>
      <c r="V11" s="56">
        <v>10.154999999999999</v>
      </c>
      <c r="W11" s="42">
        <v>1954</v>
      </c>
      <c r="X11" s="65">
        <v>0</v>
      </c>
    </row>
    <row r="12" spans="4:24" x14ac:dyDescent="0.15">
      <c r="D12" s="44">
        <v>1877</v>
      </c>
      <c r="E12" s="21">
        <f t="shared" si="1"/>
        <v>0.499</v>
      </c>
      <c r="F12" s="47">
        <f t="shared" si="2"/>
        <v>1.8189999999999999E-3</v>
      </c>
      <c r="G12" s="8">
        <f t="shared" si="3"/>
        <v>-3.2947190499992471</v>
      </c>
      <c r="I12" s="6">
        <f t="shared" ca="1" si="4"/>
        <v>-13.448006773133784</v>
      </c>
      <c r="J12" s="6"/>
      <c r="K12" s="6">
        <f t="shared" si="5"/>
        <v>-7.6278721859155594</v>
      </c>
      <c r="L12" s="6"/>
      <c r="M12" s="47">
        <v>0.499</v>
      </c>
      <c r="N12" s="47">
        <f t="shared" si="6"/>
        <v>1.8189999999999999E-3</v>
      </c>
      <c r="O12" s="46">
        <v>0</v>
      </c>
      <c r="P12" s="46">
        <v>0</v>
      </c>
      <c r="R12" s="145" t="s">
        <v>107</v>
      </c>
      <c r="S12" s="42">
        <v>1960</v>
      </c>
      <c r="T12" s="47">
        <f t="shared" si="0"/>
        <v>22.616160000000001</v>
      </c>
      <c r="U12" s="46">
        <v>1955</v>
      </c>
      <c r="V12" s="56">
        <v>20.792000000000002</v>
      </c>
      <c r="W12" s="42">
        <v>1960</v>
      </c>
      <c r="X12" s="65">
        <v>0</v>
      </c>
    </row>
    <row r="13" spans="4:24" x14ac:dyDescent="0.15">
      <c r="D13" s="44">
        <v>1878</v>
      </c>
      <c r="E13" s="21">
        <f t="shared" si="1"/>
        <v>0.68</v>
      </c>
      <c r="F13" s="47">
        <f t="shared" si="2"/>
        <v>2.4989999999999999E-3</v>
      </c>
      <c r="G13" s="8">
        <f t="shared" si="3"/>
        <v>-3.2043877027668257</v>
      </c>
      <c r="I13" s="6">
        <f t="shared" ca="1" si="4"/>
        <v>-11.97511211686583</v>
      </c>
      <c r="J13" s="6"/>
      <c r="K13" s="6">
        <f t="shared" si="5"/>
        <v>-7.3100864748566163</v>
      </c>
      <c r="L13" s="6"/>
      <c r="M13" s="47">
        <v>0.68</v>
      </c>
      <c r="N13" s="47">
        <f t="shared" si="6"/>
        <v>2.4989999999999999E-3</v>
      </c>
      <c r="O13" s="46">
        <v>0</v>
      </c>
      <c r="P13" s="46">
        <v>0</v>
      </c>
      <c r="R13" s="145" t="s">
        <v>108</v>
      </c>
      <c r="S13" s="42">
        <v>1962</v>
      </c>
      <c r="T13" s="47">
        <f t="shared" si="0"/>
        <v>23.128241000000003</v>
      </c>
      <c r="U13" s="46">
        <v>1961</v>
      </c>
      <c r="V13" s="56">
        <v>20.981000000000002</v>
      </c>
      <c r="W13" s="42">
        <v>1962</v>
      </c>
      <c r="X13" s="65">
        <v>0</v>
      </c>
    </row>
    <row r="14" spans="4:24" x14ac:dyDescent="0.15">
      <c r="D14" s="44">
        <v>1879</v>
      </c>
      <c r="E14" s="21">
        <f t="shared" si="1"/>
        <v>0.85799999999999998</v>
      </c>
      <c r="F14" s="47">
        <f t="shared" si="2"/>
        <v>3.3569999999999997E-3</v>
      </c>
      <c r="G14" s="8">
        <f t="shared" si="3"/>
        <v>-3.1184243452003062</v>
      </c>
      <c r="I14" s="6">
        <f t="shared" ca="1" si="4"/>
        <v>-10.621794757232692</v>
      </c>
      <c r="J14" s="6"/>
      <c r="K14" s="6">
        <f t="shared" si="5"/>
        <v>-7.0146997723392541</v>
      </c>
      <c r="L14" s="6"/>
      <c r="M14" s="47">
        <v>0.85799999999999998</v>
      </c>
      <c r="N14" s="47">
        <f t="shared" si="6"/>
        <v>3.3569999999999997E-3</v>
      </c>
      <c r="O14" s="46">
        <v>0</v>
      </c>
      <c r="P14" s="46">
        <v>0</v>
      </c>
      <c r="R14" s="145" t="s">
        <v>109</v>
      </c>
      <c r="S14" s="42">
        <v>1968</v>
      </c>
      <c r="T14" s="47">
        <f t="shared" si="0"/>
        <v>24.318241000000004</v>
      </c>
      <c r="U14" s="46">
        <v>1961</v>
      </c>
      <c r="V14" s="56">
        <v>20.981000000000002</v>
      </c>
      <c r="W14" s="46">
        <v>1962</v>
      </c>
      <c r="X14" s="56">
        <v>1.19</v>
      </c>
    </row>
    <row r="15" spans="4:24" x14ac:dyDescent="0.15">
      <c r="D15" s="44">
        <v>1880</v>
      </c>
      <c r="E15" s="21">
        <f t="shared" si="1"/>
        <v>0.88200000000000001</v>
      </c>
      <c r="F15" s="47">
        <f t="shared" ref="F15:F78" si="7">F14+E15/1000</f>
        <v>4.2389999999999997E-3</v>
      </c>
      <c r="G15" s="8">
        <f t="shared" si="3"/>
        <v>-3.0490170765939841</v>
      </c>
      <c r="I15" s="6">
        <f t="shared" ca="1" si="4"/>
        <v>-9.7217139004608271</v>
      </c>
      <c r="J15" s="6"/>
      <c r="K15" s="6">
        <f t="shared" si="5"/>
        <v>-6.7811839832204219</v>
      </c>
      <c r="L15" s="6"/>
      <c r="M15" s="47">
        <v>0.88200000000000001</v>
      </c>
      <c r="N15" s="47">
        <f t="shared" si="6"/>
        <v>4.2389999999999997E-3</v>
      </c>
      <c r="O15" s="46">
        <v>0</v>
      </c>
      <c r="P15" s="46">
        <v>0</v>
      </c>
      <c r="R15" s="145" t="s">
        <v>8</v>
      </c>
      <c r="S15" s="46">
        <v>1974</v>
      </c>
      <c r="T15" s="47">
        <f t="shared" si="0"/>
        <v>4.3828269999999998</v>
      </c>
      <c r="U15" s="46">
        <v>1973</v>
      </c>
      <c r="V15" s="56">
        <v>1.026</v>
      </c>
      <c r="W15" s="46">
        <v>1974</v>
      </c>
      <c r="X15" s="56">
        <v>0.54400000000000004</v>
      </c>
    </row>
    <row r="16" spans="4:24" x14ac:dyDescent="0.15">
      <c r="D16" s="44">
        <v>1881</v>
      </c>
      <c r="E16" s="21">
        <f t="shared" si="1"/>
        <v>0.92600000000000005</v>
      </c>
      <c r="F16" s="47">
        <f t="shared" si="7"/>
        <v>5.1649999999999995E-3</v>
      </c>
      <c r="G16" s="8">
        <f t="shared" si="3"/>
        <v>-2.989160477125691</v>
      </c>
      <c r="I16" s="6">
        <f t="shared" ca="1" si="4"/>
        <v>-9.0830904380356969</v>
      </c>
      <c r="J16" s="6"/>
      <c r="K16" s="6">
        <f t="shared" si="5"/>
        <v>-6.5833583193001912</v>
      </c>
      <c r="L16" s="6"/>
      <c r="M16" s="47">
        <v>0.92600000000000005</v>
      </c>
      <c r="N16" s="47">
        <f t="shared" si="6"/>
        <v>5.1649999999999995E-3</v>
      </c>
      <c r="O16" s="46">
        <v>0</v>
      </c>
      <c r="P16" s="46">
        <v>0</v>
      </c>
      <c r="R16" s="145" t="s">
        <v>9</v>
      </c>
      <c r="S16" s="42">
        <v>1980</v>
      </c>
      <c r="T16" s="47">
        <f t="shared" si="0"/>
        <v>4.179354</v>
      </c>
      <c r="U16" s="46">
        <v>1979</v>
      </c>
      <c r="V16" s="56">
        <v>1.0680000000000001</v>
      </c>
      <c r="W16" s="46">
        <v>1978</v>
      </c>
      <c r="X16" s="56">
        <v>0.1163</v>
      </c>
    </row>
    <row r="17" spans="4:24" x14ac:dyDescent="0.15">
      <c r="D17" s="44">
        <v>1882</v>
      </c>
      <c r="E17" s="21">
        <f t="shared" si="1"/>
        <v>0.92900000000000005</v>
      </c>
      <c r="F17" s="47">
        <f t="shared" si="7"/>
        <v>6.0939999999999996E-3</v>
      </c>
      <c r="G17" s="8">
        <f t="shared" si="3"/>
        <v>-2.9382587964549822</v>
      </c>
      <c r="I17" s="6">
        <f t="shared" ca="1" si="4"/>
        <v>-8.689615216175298</v>
      </c>
      <c r="J17" s="6"/>
      <c r="K17" s="6">
        <f t="shared" si="5"/>
        <v>-6.4177099224878615</v>
      </c>
      <c r="L17" s="6"/>
      <c r="M17" s="47">
        <v>0.92900000000000005</v>
      </c>
      <c r="N17" s="47">
        <f t="shared" si="6"/>
        <v>6.0939999999999996E-3</v>
      </c>
      <c r="O17" s="46">
        <v>0</v>
      </c>
      <c r="P17" s="46">
        <v>0</v>
      </c>
      <c r="R17" s="145" t="s">
        <v>10</v>
      </c>
      <c r="S17" s="42">
        <v>1986</v>
      </c>
      <c r="T17" s="47">
        <f t="shared" si="0"/>
        <v>4.3473379999999997</v>
      </c>
      <c r="U17" s="46">
        <v>1984</v>
      </c>
      <c r="V17" s="56">
        <v>1.0149999999999999</v>
      </c>
      <c r="W17" s="46">
        <v>1984</v>
      </c>
      <c r="X17" s="56">
        <v>0.13216999999999998</v>
      </c>
    </row>
    <row r="18" spans="4:24" x14ac:dyDescent="0.15">
      <c r="D18" s="44">
        <v>1883</v>
      </c>
      <c r="E18" s="21">
        <f t="shared" si="1"/>
        <v>1.0029999999999999</v>
      </c>
      <c r="F18" s="47">
        <f t="shared" si="7"/>
        <v>7.0969999999999991E-3</v>
      </c>
      <c r="G18" s="8">
        <f t="shared" si="3"/>
        <v>-2.8906994293248474</v>
      </c>
      <c r="H18" s="60"/>
      <c r="I18" s="6">
        <f t="shared" ca="1" si="4"/>
        <v>-8.3876385664859754</v>
      </c>
      <c r="J18" s="6"/>
      <c r="K18" s="6">
        <f t="shared" si="5"/>
        <v>-6.265073735366979</v>
      </c>
      <c r="L18" s="6"/>
      <c r="M18" s="47">
        <v>1.0029999999999999</v>
      </c>
      <c r="N18" s="47">
        <f t="shared" si="6"/>
        <v>7.0969999999999991E-3</v>
      </c>
      <c r="O18" s="46">
        <v>0</v>
      </c>
      <c r="P18" s="46">
        <v>0</v>
      </c>
      <c r="R18" s="145" t="s">
        <v>11</v>
      </c>
      <c r="S18" s="42">
        <v>1989</v>
      </c>
      <c r="T18" s="47">
        <f t="shared" si="0"/>
        <v>4.3476679999999996</v>
      </c>
      <c r="U18" s="46">
        <v>1987</v>
      </c>
      <c r="V18" s="56">
        <v>0.873</v>
      </c>
      <c r="W18" s="46">
        <v>1987</v>
      </c>
      <c r="X18" s="56">
        <v>0.158</v>
      </c>
    </row>
    <row r="19" spans="4:24" x14ac:dyDescent="0.15">
      <c r="D19" s="44">
        <v>1884</v>
      </c>
      <c r="E19" s="21">
        <f t="shared" si="1"/>
        <v>1.1399999999999999</v>
      </c>
      <c r="F19" s="47">
        <f t="shared" si="7"/>
        <v>8.2369999999999995E-3</v>
      </c>
      <c r="G19" s="8">
        <f t="shared" si="3"/>
        <v>-2.8435572821793449</v>
      </c>
      <c r="H19" s="60"/>
      <c r="I19" s="6">
        <f t="shared" ca="1" si="4"/>
        <v>-8.0970836557839903</v>
      </c>
      <c r="J19" s="6"/>
      <c r="K19" s="6">
        <f t="shared" si="5"/>
        <v>-6.1158041962056027</v>
      </c>
      <c r="L19" s="6"/>
      <c r="M19" s="47">
        <v>1.1399999999999999</v>
      </c>
      <c r="N19" s="47">
        <f t="shared" si="6"/>
        <v>8.2369999999999995E-3</v>
      </c>
      <c r="O19" s="46">
        <v>0</v>
      </c>
      <c r="P19" s="46">
        <v>0</v>
      </c>
      <c r="R19" s="145" t="s">
        <v>12</v>
      </c>
      <c r="S19" s="42">
        <v>1992</v>
      </c>
      <c r="T19" s="47">
        <f t="shared" si="0"/>
        <v>4.4556579999999988</v>
      </c>
      <c r="U19" s="46">
        <v>1990</v>
      </c>
      <c r="V19" s="56">
        <v>0.84399999999999997</v>
      </c>
      <c r="W19" s="46">
        <v>1990</v>
      </c>
      <c r="X19" s="56">
        <v>0.20300000000000001</v>
      </c>
    </row>
    <row r="20" spans="4:24" x14ac:dyDescent="0.15">
      <c r="D20" s="44">
        <v>1885</v>
      </c>
      <c r="E20" s="21">
        <f t="shared" si="1"/>
        <v>1.294</v>
      </c>
      <c r="F20" s="47">
        <f t="shared" si="7"/>
        <v>9.5309999999999995E-3</v>
      </c>
      <c r="G20" s="8">
        <f t="shared" si="3"/>
        <v>-2.7967371393051099</v>
      </c>
      <c r="H20" s="66"/>
      <c r="I20" s="6">
        <f t="shared" ca="1" si="4"/>
        <v>-7.8153438758879474</v>
      </c>
      <c r="J20" s="6"/>
      <c r="K20" s="6">
        <f t="shared" si="5"/>
        <v>-5.9695438712051603</v>
      </c>
      <c r="L20" s="6"/>
      <c r="M20" s="47">
        <v>1.294</v>
      </c>
      <c r="N20" s="47">
        <f t="shared" si="6"/>
        <v>9.5309999999999995E-3</v>
      </c>
      <c r="O20" s="46">
        <v>0</v>
      </c>
      <c r="P20" s="46">
        <v>0</v>
      </c>
      <c r="R20" s="145" t="s">
        <v>13</v>
      </c>
      <c r="S20" s="42">
        <v>1995</v>
      </c>
      <c r="T20" s="47">
        <f t="shared" si="0"/>
        <v>4.4719979999999984</v>
      </c>
      <c r="U20" s="46">
        <v>1993</v>
      </c>
      <c r="V20" s="56">
        <v>0.82099999999999995</v>
      </c>
      <c r="W20" s="46">
        <v>1993</v>
      </c>
      <c r="X20" s="56">
        <v>0.183</v>
      </c>
    </row>
    <row r="21" spans="4:24" x14ac:dyDescent="0.15">
      <c r="D21" s="44">
        <v>1886</v>
      </c>
      <c r="E21" s="21">
        <f t="shared" si="1"/>
        <v>1.3740000000000001</v>
      </c>
      <c r="F21" s="47">
        <f t="shared" si="7"/>
        <v>1.0905E-2</v>
      </c>
      <c r="G21" s="8">
        <f t="shared" si="3"/>
        <v>-2.7529366180359931</v>
      </c>
      <c r="H21" s="62"/>
      <c r="I21" s="6">
        <f t="shared" ca="1" si="4"/>
        <v>-7.6162687119865495</v>
      </c>
      <c r="J21" s="6"/>
      <c r="K21" s="6">
        <f t="shared" si="5"/>
        <v>-5.8345036572378888</v>
      </c>
      <c r="L21" s="6"/>
      <c r="M21" s="47">
        <v>1.3740000000000001</v>
      </c>
      <c r="N21" s="47">
        <f t="shared" si="6"/>
        <v>1.0905E-2</v>
      </c>
      <c r="O21" s="46">
        <v>0</v>
      </c>
      <c r="P21" s="46">
        <v>0</v>
      </c>
      <c r="R21" s="145" t="s">
        <v>14</v>
      </c>
      <c r="S21" s="42">
        <v>1998</v>
      </c>
      <c r="T21" s="47">
        <f t="shared" si="0"/>
        <v>4.3727779999999985</v>
      </c>
      <c r="U21" s="46">
        <v>1996</v>
      </c>
      <c r="V21" s="56">
        <v>0.78500000000000003</v>
      </c>
      <c r="W21" s="46">
        <v>1996</v>
      </c>
      <c r="X21" s="56">
        <v>8.2000000000000003E-2</v>
      </c>
    </row>
    <row r="22" spans="4:24" x14ac:dyDescent="0.15">
      <c r="D22" s="44">
        <v>1887</v>
      </c>
      <c r="E22" s="21">
        <f t="shared" si="1"/>
        <v>1.746</v>
      </c>
      <c r="F22" s="47">
        <f t="shared" si="7"/>
        <v>1.2650999999999999E-2</v>
      </c>
      <c r="G22" s="8">
        <f t="shared" si="3"/>
        <v>-2.7039530879653735</v>
      </c>
      <c r="H22" s="62"/>
      <c r="I22" s="6">
        <f t="shared" ca="1" si="4"/>
        <v>-7.2753044347116429</v>
      </c>
      <c r="J22" s="6"/>
      <c r="K22" s="6">
        <f t="shared" si="5"/>
        <v>-5.6855203819720623</v>
      </c>
      <c r="L22" s="6"/>
      <c r="M22" s="47">
        <v>1.746</v>
      </c>
      <c r="N22" s="47">
        <f t="shared" si="6"/>
        <v>1.2650999999999999E-2</v>
      </c>
      <c r="O22" s="46">
        <v>0</v>
      </c>
      <c r="P22" s="46">
        <v>0</v>
      </c>
      <c r="R22" s="145" t="s">
        <v>15</v>
      </c>
      <c r="S22" s="42">
        <v>2001</v>
      </c>
      <c r="T22" s="47">
        <f t="shared" si="0"/>
        <v>4.3816879999999996</v>
      </c>
      <c r="U22" s="46">
        <v>1999</v>
      </c>
      <c r="V22" s="56">
        <v>0.77300000000000002</v>
      </c>
      <c r="W22" s="46">
        <v>1999</v>
      </c>
      <c r="X22" s="56">
        <v>7.8E-2</v>
      </c>
    </row>
    <row r="23" spans="4:24" x14ac:dyDescent="0.15">
      <c r="D23" s="44">
        <v>1888</v>
      </c>
      <c r="E23" s="21">
        <f t="shared" si="1"/>
        <v>2.0230000000000001</v>
      </c>
      <c r="F23" s="47">
        <f t="shared" si="7"/>
        <v>1.4674E-2</v>
      </c>
      <c r="G23" s="8">
        <f t="shared" si="3"/>
        <v>-2.6542841330481948</v>
      </c>
      <c r="H23" s="62"/>
      <c r="I23" s="6">
        <f t="shared" ca="1" si="4"/>
        <v>-6.9155760905625812</v>
      </c>
      <c r="J23" s="6"/>
      <c r="K23" s="6">
        <f t="shared" si="5"/>
        <v>-5.53663642639542</v>
      </c>
      <c r="L23" s="6"/>
      <c r="M23" s="47">
        <v>2.0230000000000001</v>
      </c>
      <c r="N23" s="47">
        <f t="shared" si="6"/>
        <v>1.4674E-2</v>
      </c>
      <c r="O23" s="46">
        <v>0</v>
      </c>
      <c r="P23" s="46">
        <v>0</v>
      </c>
      <c r="R23" s="145" t="s">
        <v>16</v>
      </c>
      <c r="S23" s="42">
        <v>2004</v>
      </c>
      <c r="T23" s="47">
        <f t="shared" si="0"/>
        <v>3.9886779999999993</v>
      </c>
      <c r="U23" s="46">
        <v>2002</v>
      </c>
      <c r="V23" s="56">
        <v>0.35899999999999999</v>
      </c>
      <c r="W23" s="46">
        <v>2002</v>
      </c>
      <c r="X23" s="56">
        <v>0.08</v>
      </c>
    </row>
    <row r="24" spans="4:24" x14ac:dyDescent="0.15">
      <c r="D24" s="44">
        <v>1889</v>
      </c>
      <c r="E24" s="21">
        <f t="shared" si="1"/>
        <v>2.3889999999999998</v>
      </c>
      <c r="F24" s="47">
        <f t="shared" si="7"/>
        <v>1.7062999999999998E-2</v>
      </c>
      <c r="G24" s="8">
        <f t="shared" si="3"/>
        <v>-2.6029846088453539</v>
      </c>
      <c r="H24" s="62"/>
      <c r="I24" s="6">
        <f t="shared" ca="1" si="4"/>
        <v>-6.5112095759805015</v>
      </c>
      <c r="J24" s="6"/>
      <c r="K24" s="6">
        <f t="shared" si="5"/>
        <v>-5.3851596524883929</v>
      </c>
      <c r="L24" s="6"/>
      <c r="M24" s="47">
        <v>2.3889999999999998</v>
      </c>
      <c r="N24" s="47">
        <f t="shared" si="6"/>
        <v>1.7062999999999998E-2</v>
      </c>
      <c r="O24" s="46">
        <v>0</v>
      </c>
      <c r="P24" s="46">
        <v>0</v>
      </c>
      <c r="R24" s="145" t="s">
        <v>17</v>
      </c>
      <c r="S24" s="42">
        <v>2007</v>
      </c>
      <c r="T24" s="47">
        <f t="shared" si="0"/>
        <v>4.0527679999999986</v>
      </c>
      <c r="U24" s="46">
        <v>2005</v>
      </c>
      <c r="V24" s="56">
        <v>0.35499999999999998</v>
      </c>
      <c r="W24" s="46">
        <v>2005</v>
      </c>
      <c r="X24" s="56">
        <v>0.13500000000000001</v>
      </c>
    </row>
    <row r="25" spans="4:24" x14ac:dyDescent="0.15">
      <c r="D25" s="44">
        <v>1890</v>
      </c>
      <c r="E25" s="21">
        <f t="shared" si="1"/>
        <v>2.6080000000000001</v>
      </c>
      <c r="F25" s="47">
        <f t="shared" si="7"/>
        <v>1.9670999999999998E-2</v>
      </c>
      <c r="G25" s="8">
        <f t="shared" si="3"/>
        <v>-2.5538423842646596</v>
      </c>
      <c r="H25" s="62"/>
      <c r="I25" s="6">
        <f t="shared" ca="1" si="4"/>
        <v>-6.1659009064435395</v>
      </c>
      <c r="J25" s="6"/>
      <c r="K25" s="6">
        <f t="shared" si="5"/>
        <v>-5.2422256539101415</v>
      </c>
      <c r="L25" s="6"/>
      <c r="M25" s="47">
        <v>2.6080000000000001</v>
      </c>
      <c r="N25" s="47">
        <f t="shared" si="6"/>
        <v>1.9670999999999998E-2</v>
      </c>
      <c r="O25" s="46">
        <v>0</v>
      </c>
      <c r="P25" s="46">
        <v>0</v>
      </c>
      <c r="R25" s="341" t="s">
        <v>297</v>
      </c>
      <c r="S25" s="42">
        <v>2010</v>
      </c>
      <c r="T25" s="56">
        <f t="shared" si="0"/>
        <v>4.0512619469999995</v>
      </c>
      <c r="U25" s="42">
        <v>2008</v>
      </c>
      <c r="V25" s="56">
        <v>0.35</v>
      </c>
      <c r="W25" s="42">
        <v>2008</v>
      </c>
      <c r="X25" s="56">
        <v>0.126</v>
      </c>
    </row>
    <row r="26" spans="4:24" x14ac:dyDescent="0.15">
      <c r="D26" s="44">
        <v>1891</v>
      </c>
      <c r="E26" s="21">
        <f t="shared" si="1"/>
        <v>3.1760000000000002</v>
      </c>
      <c r="F26" s="47">
        <f t="shared" si="7"/>
        <v>2.2846999999999999E-2</v>
      </c>
      <c r="G26" s="8">
        <f t="shared" si="3"/>
        <v>-2.5012859287314657</v>
      </c>
      <c r="H26" s="52"/>
      <c r="I26" s="6">
        <f t="shared" ca="1" si="4"/>
        <v>-5.7271248666484098</v>
      </c>
      <c r="J26" s="6"/>
      <c r="K26" s="6">
        <f t="shared" si="5"/>
        <v>-5.0916970859236335</v>
      </c>
      <c r="L26" s="6"/>
      <c r="M26" s="47">
        <v>3.1760000000000002</v>
      </c>
      <c r="N26" s="47">
        <f t="shared" si="6"/>
        <v>2.2846999999999999E-2</v>
      </c>
      <c r="O26" s="46">
        <v>0</v>
      </c>
      <c r="P26" s="46">
        <v>0</v>
      </c>
    </row>
    <row r="27" spans="4:24" x14ac:dyDescent="0.15">
      <c r="D27" s="44">
        <v>1892</v>
      </c>
      <c r="E27" s="21">
        <f t="shared" si="1"/>
        <v>3.1760000000000002</v>
      </c>
      <c r="F27" s="47">
        <f t="shared" si="7"/>
        <v>2.6022999999999998E-2</v>
      </c>
      <c r="G27" s="8">
        <f t="shared" si="3"/>
        <v>-2.4548459281913271</v>
      </c>
      <c r="H27" s="52"/>
      <c r="I27" s="6">
        <f t="shared" ca="1" si="4"/>
        <v>-5.455791794671768</v>
      </c>
      <c r="J27" s="6"/>
      <c r="K27" s="6">
        <f t="shared" si="5"/>
        <v>-4.9606811906915986</v>
      </c>
      <c r="L27" s="6"/>
      <c r="M27" s="47">
        <v>3.1760000000000002</v>
      </c>
      <c r="N27" s="47">
        <f t="shared" si="6"/>
        <v>2.6022999999999998E-2</v>
      </c>
      <c r="O27" s="46">
        <v>0</v>
      </c>
      <c r="P27" s="46">
        <v>0</v>
      </c>
    </row>
    <row r="28" spans="4:24" x14ac:dyDescent="0.15">
      <c r="D28" s="44">
        <v>1893</v>
      </c>
      <c r="E28" s="21">
        <f t="shared" si="1"/>
        <v>3.3170000000000002</v>
      </c>
      <c r="F28" s="47">
        <f t="shared" si="7"/>
        <v>2.9339999999999998E-2</v>
      </c>
      <c r="G28" s="8">
        <f t="shared" si="3"/>
        <v>-2.411408430300011</v>
      </c>
      <c r="H28" s="52"/>
      <c r="I28" s="6">
        <f t="shared" ca="1" si="4"/>
        <v>-5.2666546932321125</v>
      </c>
      <c r="J28" s="6"/>
      <c r="K28" s="6">
        <f t="shared" si="5"/>
        <v>-4.8398164928288834</v>
      </c>
      <c r="L28" s="6"/>
      <c r="M28" s="47">
        <v>3.3170000000000002</v>
      </c>
      <c r="N28" s="47">
        <f t="shared" si="6"/>
        <v>2.9339999999999998E-2</v>
      </c>
      <c r="O28" s="46">
        <v>0</v>
      </c>
      <c r="P28" s="46">
        <v>0</v>
      </c>
    </row>
    <row r="29" spans="4:24" x14ac:dyDescent="0.15">
      <c r="D29" s="44">
        <v>1894</v>
      </c>
      <c r="E29" s="21">
        <f t="shared" si="1"/>
        <v>4.2679999999999998</v>
      </c>
      <c r="F29" s="47">
        <f t="shared" si="7"/>
        <v>3.3607999999999999E-2</v>
      </c>
      <c r="G29" s="8">
        <f t="shared" si="3"/>
        <v>-2.3614696277055969</v>
      </c>
      <c r="H29" s="52"/>
      <c r="I29" s="6">
        <f t="shared" ca="1" si="4"/>
        <v>-4.8995390477807632</v>
      </c>
      <c r="J29" s="6"/>
      <c r="K29" s="6">
        <f t="shared" si="5"/>
        <v>-4.7028530433845592</v>
      </c>
      <c r="L29" s="6"/>
      <c r="M29" s="47">
        <v>4.2679999999999998</v>
      </c>
      <c r="N29" s="47">
        <f t="shared" si="6"/>
        <v>3.3607999999999999E-2</v>
      </c>
      <c r="O29" s="46">
        <v>0</v>
      </c>
      <c r="P29" s="46">
        <v>0</v>
      </c>
    </row>
    <row r="30" spans="4:24" x14ac:dyDescent="0.15">
      <c r="D30" s="44">
        <v>1895</v>
      </c>
      <c r="E30" s="21">
        <f t="shared" si="1"/>
        <v>4.7729999999999997</v>
      </c>
      <c r="F30" s="47">
        <f t="shared" si="7"/>
        <v>3.8380999999999998E-2</v>
      </c>
      <c r="G30" s="8">
        <f t="shared" si="3"/>
        <v>-2.3118164470611773</v>
      </c>
      <c r="H30" s="52"/>
      <c r="I30" s="6">
        <f t="shared" ca="1" si="4"/>
        <v>-4.5402425372751622</v>
      </c>
      <c r="J30" s="6"/>
      <c r="K30" s="6">
        <f t="shared" si="5"/>
        <v>-4.5687657725562154</v>
      </c>
      <c r="L30" s="6"/>
      <c r="M30" s="47">
        <v>4.7729999999999997</v>
      </c>
      <c r="N30" s="47">
        <f t="shared" si="6"/>
        <v>3.8380999999999998E-2</v>
      </c>
      <c r="O30" s="46">
        <v>0</v>
      </c>
      <c r="P30" s="46">
        <v>0</v>
      </c>
    </row>
    <row r="31" spans="4:24" x14ac:dyDescent="0.15">
      <c r="D31" s="44">
        <v>1896</v>
      </c>
      <c r="E31" s="21">
        <f t="shared" si="1"/>
        <v>5.0199999999999996</v>
      </c>
      <c r="F31" s="47">
        <f t="shared" si="7"/>
        <v>4.3400999999999995E-2</v>
      </c>
      <c r="G31" s="8">
        <f t="shared" si="3"/>
        <v>-2.2650971609411288</v>
      </c>
      <c r="H31" s="52"/>
      <c r="I31" s="6">
        <f t="shared" ca="1" si="4"/>
        <v>-4.2612637936761075</v>
      </c>
      <c r="J31" s="6"/>
      <c r="K31" s="6">
        <f t="shared" si="5"/>
        <v>-4.4444884840561638</v>
      </c>
      <c r="L31" s="6"/>
      <c r="M31" s="47">
        <v>5.0199999999999996</v>
      </c>
      <c r="N31" s="47">
        <f t="shared" si="6"/>
        <v>4.3400999999999995E-2</v>
      </c>
      <c r="O31" s="46">
        <v>0</v>
      </c>
      <c r="P31" s="46">
        <v>0</v>
      </c>
    </row>
    <row r="32" spans="4:24" x14ac:dyDescent="0.15">
      <c r="D32" s="44">
        <v>1897</v>
      </c>
      <c r="E32" s="21">
        <f t="shared" si="1"/>
        <v>5.1879999999999997</v>
      </c>
      <c r="F32" s="47">
        <f t="shared" si="7"/>
        <v>4.8588999999999993E-2</v>
      </c>
      <c r="G32" s="8">
        <f t="shared" si="3"/>
        <v>-2.2215072142780339</v>
      </c>
      <c r="H32" s="52"/>
      <c r="I32" s="6">
        <f t="shared" ca="1" si="4"/>
        <v>-4.0679532821786779</v>
      </c>
      <c r="J32" s="6"/>
      <c r="K32" s="6">
        <f t="shared" si="5"/>
        <v>-4.3301690829428763</v>
      </c>
      <c r="L32" s="6"/>
      <c r="M32" s="47">
        <v>5.1879999999999997</v>
      </c>
      <c r="N32" s="47">
        <f t="shared" si="6"/>
        <v>4.8588999999999993E-2</v>
      </c>
      <c r="O32" s="46">
        <v>0</v>
      </c>
      <c r="P32" s="46">
        <v>0</v>
      </c>
    </row>
    <row r="33" spans="4:16" x14ac:dyDescent="0.15">
      <c r="D33" s="44">
        <v>1898</v>
      </c>
      <c r="E33" s="21">
        <f t="shared" si="1"/>
        <v>6.6959999999999997</v>
      </c>
      <c r="F33" s="47">
        <f t="shared" si="7"/>
        <v>5.5284999999999994E-2</v>
      </c>
      <c r="G33" s="8">
        <f t="shared" si="3"/>
        <v>-2.1708396733873125</v>
      </c>
      <c r="H33" s="52"/>
      <c r="I33" s="6">
        <f t="shared" ca="1" si="4"/>
        <v>-3.6808878286708477</v>
      </c>
      <c r="J33" s="6"/>
      <c r="K33" s="6">
        <f t="shared" si="5"/>
        <v>-4.1992486796014505</v>
      </c>
      <c r="L33" s="6"/>
      <c r="M33" s="47">
        <v>6.6959999999999997</v>
      </c>
      <c r="N33" s="47">
        <f t="shared" si="6"/>
        <v>5.5284999999999994E-2</v>
      </c>
      <c r="O33" s="46">
        <v>0</v>
      </c>
      <c r="P33" s="46">
        <v>0</v>
      </c>
    </row>
    <row r="34" spans="4:16" x14ac:dyDescent="0.15">
      <c r="D34" s="44">
        <v>1899</v>
      </c>
      <c r="E34" s="21">
        <f t="shared" si="1"/>
        <v>6.7220000000000004</v>
      </c>
      <c r="F34" s="47">
        <f t="shared" si="7"/>
        <v>6.2006999999999993E-2</v>
      </c>
      <c r="G34" s="8">
        <f t="shared" si="3"/>
        <v>-2.1250307991671669</v>
      </c>
      <c r="H34" s="52"/>
      <c r="I34" s="6">
        <f t="shared" ca="1" si="4"/>
        <v>-3.4268323569067434</v>
      </c>
      <c r="J34" s="6"/>
      <c r="K34" s="6">
        <f t="shared" si="5"/>
        <v>-4.0826767003956501</v>
      </c>
      <c r="L34" s="6"/>
      <c r="M34" s="47">
        <v>6.7220000000000004</v>
      </c>
      <c r="N34" s="47">
        <f t="shared" si="6"/>
        <v>6.2006999999999993E-2</v>
      </c>
      <c r="O34" s="46">
        <v>0</v>
      </c>
      <c r="P34" s="46">
        <v>0</v>
      </c>
    </row>
    <row r="35" spans="4:16" x14ac:dyDescent="0.15">
      <c r="D35" s="44">
        <v>1900</v>
      </c>
      <c r="E35" s="21">
        <f t="shared" si="1"/>
        <v>7.4290000000000003</v>
      </c>
      <c r="F35" s="47">
        <f t="shared" si="7"/>
        <v>6.9435999999999998E-2</v>
      </c>
      <c r="G35" s="8">
        <f t="shared" si="3"/>
        <v>-2.0791048387906423</v>
      </c>
      <c r="H35" s="52"/>
      <c r="I35" s="6">
        <f t="shared" ca="1" si="4"/>
        <v>-3.1695715556604682</v>
      </c>
      <c r="J35" s="6"/>
      <c r="K35" s="6">
        <f t="shared" si="5"/>
        <v>-3.9674962212165927</v>
      </c>
      <c r="L35" s="6"/>
      <c r="M35" s="47">
        <v>7.4290000000000003</v>
      </c>
      <c r="N35" s="47">
        <f t="shared" si="6"/>
        <v>6.9435999999999998E-2</v>
      </c>
      <c r="O35" s="46">
        <v>0</v>
      </c>
      <c r="P35" s="46">
        <v>0</v>
      </c>
    </row>
    <row r="36" spans="4:16" x14ac:dyDescent="0.15">
      <c r="D36" s="44">
        <v>1901</v>
      </c>
      <c r="E36" s="21">
        <f t="shared" si="1"/>
        <v>8.9459999999999997</v>
      </c>
      <c r="F36" s="47">
        <f t="shared" si="7"/>
        <v>7.8381999999999993E-2</v>
      </c>
      <c r="G36" s="8">
        <f t="shared" si="3"/>
        <v>-2.0290517384107942</v>
      </c>
      <c r="H36" s="52"/>
      <c r="I36" s="6">
        <f t="shared" ca="1" si="4"/>
        <v>-2.7993269146668354</v>
      </c>
      <c r="J36" s="6"/>
      <c r="K36" s="6">
        <f t="shared" si="5"/>
        <v>-3.843866688509308</v>
      </c>
      <c r="L36" s="6"/>
      <c r="M36" s="47">
        <v>8.9459999999999997</v>
      </c>
      <c r="N36" s="47">
        <f t="shared" si="6"/>
        <v>7.8381999999999993E-2</v>
      </c>
      <c r="O36" s="46">
        <v>0</v>
      </c>
      <c r="P36" s="46">
        <v>0</v>
      </c>
    </row>
    <row r="37" spans="4:16" x14ac:dyDescent="0.15">
      <c r="D37" s="44">
        <v>1902</v>
      </c>
      <c r="E37" s="21">
        <f t="shared" si="1"/>
        <v>9.702</v>
      </c>
      <c r="F37" s="47">
        <f t="shared" si="7"/>
        <v>8.8083999999999996E-2</v>
      </c>
      <c r="G37" s="8">
        <f t="shared" si="3"/>
        <v>-1.9799620905452755</v>
      </c>
      <c r="H37" s="52"/>
      <c r="I37" s="6">
        <f t="shared" ca="1" si="4"/>
        <v>-2.4554575757940711</v>
      </c>
      <c r="J37" s="6"/>
      <c r="K37" s="6">
        <f t="shared" si="5"/>
        <v>-3.7245163983521614</v>
      </c>
      <c r="L37" s="6"/>
      <c r="M37" s="47">
        <v>9.702</v>
      </c>
      <c r="N37" s="47">
        <f t="shared" si="6"/>
        <v>8.8083999999999996E-2</v>
      </c>
      <c r="O37" s="46">
        <v>0</v>
      </c>
      <c r="P37" s="46">
        <v>0</v>
      </c>
    </row>
    <row r="38" spans="4:16" x14ac:dyDescent="0.15">
      <c r="D38" s="44">
        <v>1903</v>
      </c>
      <c r="E38" s="21">
        <f t="shared" si="1"/>
        <v>10.087999999999999</v>
      </c>
      <c r="F38" s="47">
        <f t="shared" si="7"/>
        <v>9.8171999999999995E-2</v>
      </c>
      <c r="G38" s="8">
        <f t="shared" si="3"/>
        <v>-1.9335244790838608</v>
      </c>
      <c r="H38" s="52"/>
      <c r="I38" s="6">
        <f t="shared" ca="1" si="4"/>
        <v>-2.1841899068051589</v>
      </c>
      <c r="J38" s="6"/>
      <c r="K38" s="6">
        <f t="shared" si="5"/>
        <v>-3.6133194988058785</v>
      </c>
      <c r="L38" s="6"/>
      <c r="M38" s="47">
        <v>10.087999999999999</v>
      </c>
      <c r="N38" s="47">
        <f t="shared" si="6"/>
        <v>9.8171999999999995E-2</v>
      </c>
      <c r="O38" s="46">
        <v>0</v>
      </c>
      <c r="P38" s="46">
        <v>0</v>
      </c>
    </row>
    <row r="39" spans="4:16" x14ac:dyDescent="0.15">
      <c r="D39" s="44">
        <v>1904</v>
      </c>
      <c r="E39" s="21">
        <f t="shared" si="1"/>
        <v>10.724</v>
      </c>
      <c r="F39" s="47">
        <f t="shared" si="7"/>
        <v>0.10889599999999999</v>
      </c>
      <c r="G39" s="8">
        <f t="shared" si="3"/>
        <v>-1.8883429800456319</v>
      </c>
      <c r="H39" s="52"/>
      <c r="I39" s="6">
        <f t="shared" ca="1" si="4"/>
        <v>-1.9473093447745669</v>
      </c>
      <c r="J39" s="6"/>
      <c r="K39" s="6">
        <f t="shared" si="5"/>
        <v>-3.5066976314998159</v>
      </c>
      <c r="L39" s="6"/>
      <c r="M39" s="47">
        <v>10.724</v>
      </c>
      <c r="N39" s="47">
        <f t="shared" si="6"/>
        <v>0.10889599999999999</v>
      </c>
      <c r="O39" s="46">
        <v>0</v>
      </c>
      <c r="P39" s="46">
        <v>0</v>
      </c>
    </row>
    <row r="40" spans="4:16" x14ac:dyDescent="0.15">
      <c r="D40" s="44">
        <v>1905</v>
      </c>
      <c r="E40" s="21">
        <f t="shared" si="1"/>
        <v>11.542</v>
      </c>
      <c r="F40" s="47">
        <f t="shared" si="7"/>
        <v>0.12043799999999999</v>
      </c>
      <c r="G40" s="8">
        <f t="shared" si="3"/>
        <v>-1.8436698891735543</v>
      </c>
      <c r="H40" s="52"/>
      <c r="I40" s="6">
        <f t="shared" ca="1" si="4"/>
        <v>-1.7243468729286633</v>
      </c>
      <c r="J40" s="6"/>
      <c r="K40" s="6">
        <f t="shared" si="5"/>
        <v>-3.4027714806180183</v>
      </c>
      <c r="L40" s="6"/>
      <c r="M40" s="47">
        <v>11.542</v>
      </c>
      <c r="N40" s="47">
        <f t="shared" si="6"/>
        <v>0.12043799999999999</v>
      </c>
      <c r="O40" s="46">
        <v>0</v>
      </c>
      <c r="P40" s="46">
        <v>0</v>
      </c>
    </row>
    <row r="41" spans="4:16" x14ac:dyDescent="0.15">
      <c r="D41" s="44">
        <v>1906</v>
      </c>
      <c r="E41" s="21">
        <f t="shared" ref="E41:E72" si="8">SUM(M41,O41)</f>
        <v>12.98</v>
      </c>
      <c r="F41" s="47">
        <f t="shared" si="7"/>
        <v>0.13341799999999998</v>
      </c>
      <c r="G41" s="8">
        <f t="shared" si="3"/>
        <v>-1.7974673812890434</v>
      </c>
      <c r="H41" s="52"/>
      <c r="I41" s="6">
        <f t="shared" ca="1" si="4"/>
        <v>-1.4595153570228376</v>
      </c>
      <c r="J41" s="6"/>
      <c r="K41" s="6">
        <f t="shared" si="5"/>
        <v>-3.2968262807127671</v>
      </c>
      <c r="L41" s="6"/>
      <c r="M41" s="47">
        <v>12.98</v>
      </c>
      <c r="N41" s="47">
        <f t="shared" si="6"/>
        <v>0.13341799999999998</v>
      </c>
      <c r="O41" s="46">
        <v>0</v>
      </c>
      <c r="P41" s="46">
        <v>0</v>
      </c>
    </row>
    <row r="42" spans="4:16" x14ac:dyDescent="0.15">
      <c r="D42" s="44">
        <v>1907</v>
      </c>
      <c r="E42" s="21">
        <f t="shared" si="8"/>
        <v>13.804</v>
      </c>
      <c r="F42" s="47">
        <f t="shared" si="7"/>
        <v>0.14722199999999999</v>
      </c>
      <c r="G42" s="8">
        <f t="shared" si="3"/>
        <v>-1.7522086747662389</v>
      </c>
      <c r="H42" s="52"/>
      <c r="I42" s="6">
        <f t="shared" ca="1" si="4"/>
        <v>-1.2205211768311983</v>
      </c>
      <c r="J42" s="6"/>
      <c r="K42" s="6">
        <f t="shared" si="5"/>
        <v>-3.1945361180370098</v>
      </c>
      <c r="L42" s="6"/>
      <c r="M42" s="47">
        <v>13.804</v>
      </c>
      <c r="N42" s="47">
        <f t="shared" si="6"/>
        <v>0.14722199999999999</v>
      </c>
      <c r="O42" s="46">
        <v>0</v>
      </c>
      <c r="P42" s="46">
        <v>0</v>
      </c>
    </row>
    <row r="43" spans="4:16" x14ac:dyDescent="0.15">
      <c r="D43" s="44">
        <v>1908</v>
      </c>
      <c r="E43" s="21">
        <f t="shared" si="8"/>
        <v>14.824999999999999</v>
      </c>
      <c r="F43" s="47">
        <f t="shared" si="7"/>
        <v>0.162047</v>
      </c>
      <c r="G43" s="8">
        <f t="shared" si="3"/>
        <v>-1.7072940900560576</v>
      </c>
      <c r="H43" s="52"/>
      <c r="I43" s="6">
        <f t="shared" ca="1" si="4"/>
        <v>-0.99094761326500702</v>
      </c>
      <c r="J43" s="6">
        <f t="shared" ref="J43:J57" ca="1" si="9">F$1/(1+EXP((AVERAGE(E$2:F$2)-D43)*LN(81)/(F$2-E$2)))</f>
        <v>0.19905580183690502</v>
      </c>
      <c r="K43" s="6">
        <f t="shared" si="5"/>
        <v>-3.0944556406798824</v>
      </c>
      <c r="L43" s="6"/>
      <c r="M43" s="47">
        <v>14.824999999999999</v>
      </c>
      <c r="N43" s="47">
        <f t="shared" si="6"/>
        <v>0.162047</v>
      </c>
      <c r="O43" s="46">
        <v>0</v>
      </c>
      <c r="P43" s="46">
        <v>0</v>
      </c>
    </row>
    <row r="44" spans="4:16" x14ac:dyDescent="0.15">
      <c r="D44" s="44">
        <v>1909</v>
      </c>
      <c r="E44" s="21">
        <f t="shared" si="8"/>
        <v>15.048</v>
      </c>
      <c r="F44" s="47">
        <f t="shared" si="7"/>
        <v>0.177095</v>
      </c>
      <c r="G44" s="8">
        <f t="shared" si="3"/>
        <v>-1.6649754386272138</v>
      </c>
      <c r="H44" s="52"/>
      <c r="I44" s="6">
        <f t="shared" ca="1" si="4"/>
        <v>-0.83243985062085812</v>
      </c>
      <c r="J44" s="6">
        <f t="shared" ca="1" si="9"/>
        <v>0.21118523383926929</v>
      </c>
      <c r="K44" s="6">
        <f t="shared" si="5"/>
        <v>-3.0014402577259758</v>
      </c>
      <c r="L44" s="6"/>
      <c r="M44" s="47">
        <v>15.048</v>
      </c>
      <c r="N44" s="47">
        <f t="shared" si="6"/>
        <v>0.177095</v>
      </c>
      <c r="O44" s="46">
        <v>0</v>
      </c>
      <c r="P44" s="46">
        <v>0</v>
      </c>
    </row>
    <row r="45" spans="4:16" x14ac:dyDescent="0.15">
      <c r="D45" s="44">
        <v>1910</v>
      </c>
      <c r="E45" s="21">
        <f t="shared" si="8"/>
        <v>15.680999999999999</v>
      </c>
      <c r="F45" s="47">
        <f t="shared" si="7"/>
        <v>0.192776</v>
      </c>
      <c r="G45" s="8">
        <f t="shared" si="3"/>
        <v>-1.6238362945318656</v>
      </c>
      <c r="H45" s="52"/>
      <c r="I45" s="6">
        <f t="shared" ca="1" si="4"/>
        <v>-0.70622206782763897</v>
      </c>
      <c r="J45" s="6">
        <f t="shared" ca="1" si="9"/>
        <v>0.22400637990798078</v>
      </c>
      <c r="K45" s="6">
        <f t="shared" si="5"/>
        <v>-2.9121858727646708</v>
      </c>
      <c r="L45" s="6"/>
      <c r="M45" s="47">
        <v>15.680999999999999</v>
      </c>
      <c r="N45" s="47">
        <f t="shared" si="6"/>
        <v>0.192776</v>
      </c>
      <c r="O45" s="46">
        <v>0</v>
      </c>
      <c r="P45" s="46">
        <v>0</v>
      </c>
    </row>
    <row r="46" spans="4:16" x14ac:dyDescent="0.15">
      <c r="D46" s="44">
        <v>1911</v>
      </c>
      <c r="E46" s="21">
        <f t="shared" si="8"/>
        <v>17.632999999999999</v>
      </c>
      <c r="F46" s="47">
        <f t="shared" si="7"/>
        <v>0.21040900000000001</v>
      </c>
      <c r="G46" s="8">
        <f t="shared" si="3"/>
        <v>-1.5806369000949048</v>
      </c>
      <c r="H46" s="52"/>
      <c r="I46" s="6">
        <f t="shared" ca="1" si="4"/>
        <v>-0.52360324357482568</v>
      </c>
      <c r="J46" s="6">
        <f t="shared" ca="1" si="9"/>
        <v>0.23755279173216809</v>
      </c>
      <c r="K46" s="6">
        <f t="shared" si="5"/>
        <v>-2.8196771562750778</v>
      </c>
      <c r="L46" s="6"/>
      <c r="M46" s="47">
        <v>17.632999999999999</v>
      </c>
      <c r="N46" s="47">
        <f t="shared" si="6"/>
        <v>0.21040900000000001</v>
      </c>
      <c r="O46" s="46">
        <v>0</v>
      </c>
      <c r="P46" s="46">
        <v>0</v>
      </c>
    </row>
    <row r="47" spans="4:16" x14ac:dyDescent="0.15">
      <c r="D47" s="44">
        <v>1912</v>
      </c>
      <c r="E47" s="21">
        <f t="shared" si="8"/>
        <v>19.64</v>
      </c>
      <c r="F47" s="47">
        <f t="shared" si="7"/>
        <v>0.230049</v>
      </c>
      <c r="G47" s="8">
        <f t="shared" si="3"/>
        <v>-1.5357551606125155</v>
      </c>
      <c r="H47" s="52"/>
      <c r="I47" s="6">
        <f t="shared" ca="1" si="4"/>
        <v>-0.29492884503588357</v>
      </c>
      <c r="J47" s="6">
        <f t="shared" ca="1" si="9"/>
        <v>0.2518589181005037</v>
      </c>
      <c r="K47" s="6">
        <f t="shared" si="5"/>
        <v>-2.7248570015843692</v>
      </c>
      <c r="L47" s="6"/>
      <c r="M47" s="47">
        <v>19.64</v>
      </c>
      <c r="N47" s="47">
        <f t="shared" si="6"/>
        <v>0.230049</v>
      </c>
      <c r="O47" s="46">
        <v>0</v>
      </c>
      <c r="P47" s="46">
        <v>0</v>
      </c>
    </row>
    <row r="48" spans="4:16" x14ac:dyDescent="0.15">
      <c r="D48" s="44">
        <v>1913</v>
      </c>
      <c r="E48" s="21">
        <f t="shared" si="8"/>
        <v>21.315999999999999</v>
      </c>
      <c r="F48" s="47">
        <f t="shared" si="7"/>
        <v>0.25136500000000001</v>
      </c>
      <c r="G48" s="8">
        <f t="shared" si="3"/>
        <v>-1.4903069422440842</v>
      </c>
      <c r="H48" s="52"/>
      <c r="I48" s="6">
        <f t="shared" ca="1" si="4"/>
        <v>-5.074662276683739E-2</v>
      </c>
      <c r="J48" s="6">
        <f t="shared" ca="1" si="9"/>
        <v>0.26696003264143425</v>
      </c>
      <c r="K48" s="6">
        <f t="shared" si="5"/>
        <v>-2.6301504589684761</v>
      </c>
      <c r="L48" s="6"/>
      <c r="M48" s="47">
        <v>21.315999999999999</v>
      </c>
      <c r="N48" s="47">
        <f t="shared" si="6"/>
        <v>0.25136500000000001</v>
      </c>
      <c r="O48" s="46">
        <v>0</v>
      </c>
      <c r="P48" s="46">
        <v>0</v>
      </c>
    </row>
    <row r="49" spans="4:16" x14ac:dyDescent="0.15">
      <c r="D49" s="44">
        <v>1914</v>
      </c>
      <c r="E49" s="21">
        <f t="shared" si="8"/>
        <v>22.292999999999999</v>
      </c>
      <c r="F49" s="47">
        <f t="shared" si="7"/>
        <v>0.27365800000000001</v>
      </c>
      <c r="G49" s="8">
        <f t="shared" si="3"/>
        <v>-1.4458552170942724</v>
      </c>
      <c r="H49" s="52"/>
      <c r="I49" s="6">
        <f t="shared" ca="1" si="4"/>
        <v>0.16615578102482687</v>
      </c>
      <c r="J49" s="6">
        <f t="shared" ca="1" si="9"/>
        <v>0.28289214628274478</v>
      </c>
      <c r="K49" s="6">
        <f t="shared" si="5"/>
        <v>-2.5387653443153839</v>
      </c>
      <c r="L49" s="6"/>
      <c r="M49" s="47">
        <v>22.292999999999999</v>
      </c>
      <c r="N49" s="47">
        <f t="shared" si="6"/>
        <v>0.27365800000000001</v>
      </c>
      <c r="O49" s="46">
        <v>0</v>
      </c>
      <c r="P49" s="46">
        <v>0</v>
      </c>
    </row>
    <row r="50" spans="4:16" x14ac:dyDescent="0.15">
      <c r="D50" s="44">
        <v>1915</v>
      </c>
      <c r="E50" s="21">
        <f t="shared" si="8"/>
        <v>20.491</v>
      </c>
      <c r="F50" s="47">
        <f t="shared" si="7"/>
        <v>0.29414899999999999</v>
      </c>
      <c r="G50" s="8">
        <f t="shared" si="3"/>
        <v>-1.4073754462107038</v>
      </c>
      <c r="H50" s="52"/>
      <c r="I50" s="6">
        <f t="shared" ca="1" si="4"/>
        <v>0.21957104281159445</v>
      </c>
      <c r="J50" s="6">
        <f t="shared" ca="1" si="9"/>
        <v>0.29969190309136123</v>
      </c>
      <c r="K50" s="6">
        <f t="shared" si="5"/>
        <v>-2.4606278408766822</v>
      </c>
      <c r="L50" s="6"/>
      <c r="M50" s="47">
        <v>20.491</v>
      </c>
      <c r="N50" s="47">
        <f t="shared" si="6"/>
        <v>0.29414899999999999</v>
      </c>
      <c r="O50" s="46">
        <v>0</v>
      </c>
      <c r="P50" s="46">
        <v>0</v>
      </c>
    </row>
    <row r="51" spans="4:16" x14ac:dyDescent="0.15">
      <c r="D51" s="44">
        <v>1916</v>
      </c>
      <c r="E51" s="21">
        <f t="shared" si="8"/>
        <v>22.902000000000001</v>
      </c>
      <c r="F51" s="47">
        <f t="shared" si="7"/>
        <v>0.31705099999999997</v>
      </c>
      <c r="G51" s="8">
        <f t="shared" si="3"/>
        <v>-1.36669731503661</v>
      </c>
      <c r="H51" s="52"/>
      <c r="I51" s="6">
        <f t="shared" ca="1" si="4"/>
        <v>0.33316821908920247</v>
      </c>
      <c r="J51" s="6">
        <f t="shared" ca="1" si="9"/>
        <v>0.31739645816378736</v>
      </c>
      <c r="K51" s="6">
        <f t="shared" si="5"/>
        <v>-2.3789817820478105</v>
      </c>
      <c r="L51" s="6"/>
      <c r="M51" s="47">
        <v>22.902000000000001</v>
      </c>
      <c r="N51" s="47">
        <f t="shared" si="6"/>
        <v>0.31705099999999997</v>
      </c>
      <c r="O51" s="46">
        <v>0</v>
      </c>
      <c r="P51" s="46">
        <v>0</v>
      </c>
    </row>
    <row r="52" spans="4:16" x14ac:dyDescent="0.15">
      <c r="D52" s="44">
        <v>1917</v>
      </c>
      <c r="E52" s="21">
        <f t="shared" si="8"/>
        <v>26.361000000000001</v>
      </c>
      <c r="F52" s="47">
        <f t="shared" si="7"/>
        <v>0.343412</v>
      </c>
      <c r="G52" s="8">
        <f t="shared" si="3"/>
        <v>-1.3225118543944645</v>
      </c>
      <c r="H52" s="52"/>
      <c r="I52" s="6">
        <f t="shared" ca="1" si="4"/>
        <v>0.54278141378199507</v>
      </c>
      <c r="J52" s="6">
        <f t="shared" ca="1" si="9"/>
        <v>0.33604333627367994</v>
      </c>
      <c r="K52" s="6">
        <f t="shared" si="5"/>
        <v>-2.2913808161487452</v>
      </c>
      <c r="L52" s="6"/>
      <c r="M52" s="47">
        <v>26.361000000000001</v>
      </c>
      <c r="N52" s="47">
        <f t="shared" si="6"/>
        <v>0.343412</v>
      </c>
      <c r="O52" s="46">
        <v>0</v>
      </c>
      <c r="P52" s="46">
        <v>0</v>
      </c>
    </row>
    <row r="53" spans="4:16" x14ac:dyDescent="0.15">
      <c r="D53" s="44">
        <v>1918</v>
      </c>
      <c r="E53" s="21">
        <f t="shared" si="8"/>
        <v>28.029</v>
      </c>
      <c r="F53" s="47">
        <f t="shared" si="7"/>
        <v>0.37144100000000002</v>
      </c>
      <c r="G53" s="8">
        <f t="shared" si="3"/>
        <v>-1.2782004814635042</v>
      </c>
      <c r="H53" s="52"/>
      <c r="I53" s="6">
        <f t="shared" ca="1" si="4"/>
        <v>0.75584156056493157</v>
      </c>
      <c r="J53" s="6">
        <f t="shared" ca="1" si="9"/>
        <v>0.35567027005062751</v>
      </c>
      <c r="K53" s="6">
        <f t="shared" si="5"/>
        <v>-2.2046335419834593</v>
      </c>
      <c r="L53" s="6"/>
      <c r="M53" s="47">
        <v>28.029</v>
      </c>
      <c r="N53" s="47">
        <f t="shared" si="6"/>
        <v>0.37144100000000002</v>
      </c>
      <c r="O53" s="46">
        <v>0</v>
      </c>
      <c r="P53" s="46">
        <v>0</v>
      </c>
    </row>
    <row r="54" spans="4:16" x14ac:dyDescent="0.15">
      <c r="D54" s="44">
        <v>1919</v>
      </c>
      <c r="E54" s="21">
        <f t="shared" si="8"/>
        <v>31.271000000000001</v>
      </c>
      <c r="F54" s="47">
        <f t="shared" si="7"/>
        <v>0.40271200000000001</v>
      </c>
      <c r="G54" s="8">
        <f t="shared" si="3"/>
        <v>-1.2315542213134616</v>
      </c>
      <c r="H54" s="52"/>
      <c r="I54" s="6">
        <f t="shared" ca="1" si="4"/>
        <v>1.0328211583907887</v>
      </c>
      <c r="J54" s="6">
        <f t="shared" ca="1" si="9"/>
        <v>0.37631501656831956</v>
      </c>
      <c r="K54" s="6">
        <f t="shared" si="5"/>
        <v>-2.1144733249950214</v>
      </c>
      <c r="L54" s="6"/>
      <c r="M54" s="47">
        <v>31.271000000000001</v>
      </c>
      <c r="N54" s="47">
        <f t="shared" si="6"/>
        <v>0.40271200000000001</v>
      </c>
      <c r="O54" s="46">
        <v>0</v>
      </c>
      <c r="P54" s="46">
        <v>0</v>
      </c>
    </row>
    <row r="55" spans="4:16" x14ac:dyDescent="0.15">
      <c r="D55" s="44">
        <v>1920</v>
      </c>
      <c r="E55" s="21">
        <f t="shared" si="8"/>
        <v>29.245000000000001</v>
      </c>
      <c r="F55" s="47">
        <f t="shared" si="7"/>
        <v>0.43195700000000004</v>
      </c>
      <c r="G55" s="8">
        <f t="shared" si="3"/>
        <v>-1.1902319504854204</v>
      </c>
      <c r="H55" s="52"/>
      <c r="I55" s="6">
        <f t="shared" ca="1" si="4"/>
        <v>1.1640521855624684</v>
      </c>
      <c r="J55" s="6">
        <f t="shared" ca="1" si="9"/>
        <v>0.39801515136612192</v>
      </c>
      <c r="K55" s="6">
        <f t="shared" si="5"/>
        <v>-2.0355652853390502</v>
      </c>
      <c r="L55" s="6"/>
      <c r="M55" s="47">
        <v>29.245000000000001</v>
      </c>
      <c r="N55" s="47">
        <f t="shared" si="6"/>
        <v>0.43195700000000004</v>
      </c>
      <c r="O55" s="46">
        <v>0</v>
      </c>
      <c r="P55" s="46">
        <v>0</v>
      </c>
    </row>
    <row r="56" spans="4:16" x14ac:dyDescent="0.15">
      <c r="D56" s="44">
        <v>1921</v>
      </c>
      <c r="E56" s="21">
        <f t="shared" si="8"/>
        <v>26.221</v>
      </c>
      <c r="F56" s="47">
        <f t="shared" si="7"/>
        <v>0.45817800000000003</v>
      </c>
      <c r="G56" s="8">
        <f t="shared" si="3"/>
        <v>-1.1548375011190515</v>
      </c>
      <c r="H56" s="52"/>
      <c r="I56" s="6">
        <f t="shared" ca="1" si="4"/>
        <v>1.1330042424208386</v>
      </c>
      <c r="J56" s="6">
        <f t="shared" ca="1" si="9"/>
        <v>0.42080783912078312</v>
      </c>
      <c r="K56" s="6">
        <f t="shared" si="5"/>
        <v>-1.9686737930758544</v>
      </c>
      <c r="L56" s="6"/>
      <c r="M56" s="47">
        <v>26.221</v>
      </c>
      <c r="N56" s="47">
        <f t="shared" si="6"/>
        <v>0.45817800000000003</v>
      </c>
      <c r="O56" s="46">
        <v>0</v>
      </c>
      <c r="P56" s="46">
        <v>0</v>
      </c>
    </row>
    <row r="57" spans="4:16" x14ac:dyDescent="0.15">
      <c r="D57" s="44">
        <v>1922</v>
      </c>
      <c r="E57" s="21">
        <f t="shared" si="8"/>
        <v>27.867999999999999</v>
      </c>
      <c r="F57" s="47">
        <f t="shared" si="7"/>
        <v>0.48604600000000003</v>
      </c>
      <c r="G57" s="8">
        <f t="shared" si="3"/>
        <v>-1.1187407422127824</v>
      </c>
      <c r="H57" s="52"/>
      <c r="I57" s="6">
        <f t="shared" ca="1" si="4"/>
        <v>1.1211825984707957</v>
      </c>
      <c r="J57" s="6">
        <f t="shared" ca="1" si="9"/>
        <v>0.44472958042937699</v>
      </c>
      <c r="K57" s="6">
        <f t="shared" si="5"/>
        <v>-1.9010984889522997</v>
      </c>
      <c r="L57" s="6"/>
      <c r="M57" s="47">
        <v>27.867999999999999</v>
      </c>
      <c r="N57" s="47">
        <f t="shared" si="6"/>
        <v>0.48604600000000003</v>
      </c>
      <c r="O57" s="46">
        <v>0</v>
      </c>
      <c r="P57" s="46">
        <v>0</v>
      </c>
    </row>
    <row r="58" spans="4:16" x14ac:dyDescent="0.15">
      <c r="D58" s="44">
        <v>1923</v>
      </c>
      <c r="E58" s="21">
        <f t="shared" si="8"/>
        <v>29.106000000000002</v>
      </c>
      <c r="F58" s="47">
        <f t="shared" si="7"/>
        <v>0.51515200000000005</v>
      </c>
      <c r="G58" s="8">
        <f t="shared" si="3"/>
        <v>-1.0825345725883109</v>
      </c>
      <c r="H58" s="52"/>
      <c r="I58" s="6">
        <f t="shared" ca="1" si="4"/>
        <v>1.1123561625927323</v>
      </c>
      <c r="J58" s="6">
        <f t="shared" ref="J58:J72" ca="1" si="10">F$1/(1+EXP((AVERAGE(E$2:F$2)-D58)*LN(81)/(F$2-E$2)))</f>
        <v>0.46981593446501013</v>
      </c>
      <c r="K58" s="6">
        <f t="shared" si="5"/>
        <v>-1.8339526754416551</v>
      </c>
      <c r="L58" s="6"/>
      <c r="M58" s="47">
        <v>29.106000000000002</v>
      </c>
      <c r="N58" s="47">
        <f t="shared" si="6"/>
        <v>0.51515200000000005</v>
      </c>
      <c r="O58" s="46">
        <v>0</v>
      </c>
      <c r="P58" s="46">
        <v>0</v>
      </c>
    </row>
    <row r="59" spans="4:16" x14ac:dyDescent="0.15">
      <c r="D59" s="44">
        <v>1924</v>
      </c>
      <c r="E59" s="21">
        <f t="shared" si="8"/>
        <v>30.288</v>
      </c>
      <c r="F59" s="47">
        <f t="shared" si="7"/>
        <v>0.54544000000000004</v>
      </c>
      <c r="G59" s="8">
        <f t="shared" si="3"/>
        <v>-1.0463064760391676</v>
      </c>
      <c r="H59" s="52"/>
      <c r="I59" s="6">
        <f t="shared" ca="1" si="4"/>
        <v>1.1041299942462501</v>
      </c>
      <c r="J59" s="6">
        <f t="shared" ca="1" si="10"/>
        <v>0.49610121762674758</v>
      </c>
      <c r="K59" s="6">
        <f t="shared" si="5"/>
        <v>-1.7673832686693418</v>
      </c>
      <c r="L59" s="6"/>
      <c r="M59" s="47">
        <v>30.288</v>
      </c>
      <c r="N59" s="47">
        <f t="shared" si="6"/>
        <v>0.54544000000000004</v>
      </c>
      <c r="O59" s="46">
        <v>0</v>
      </c>
      <c r="P59" s="46">
        <v>0</v>
      </c>
    </row>
    <row r="60" spans="4:16" x14ac:dyDescent="0.15">
      <c r="D60" s="44">
        <v>1925</v>
      </c>
      <c r="E60" s="21">
        <f t="shared" si="8"/>
        <v>31.628</v>
      </c>
      <c r="F60" s="47">
        <f t="shared" si="7"/>
        <v>0.57706800000000003</v>
      </c>
      <c r="G60" s="8">
        <f t="shared" si="3"/>
        <v>-1.0098861943227035</v>
      </c>
      <c r="H60" s="52"/>
      <c r="I60" s="6">
        <f t="shared" ca="1" si="4"/>
        <v>1.1011650523496428</v>
      </c>
      <c r="J60" s="6">
        <f t="shared" ca="1" si="10"/>
        <v>0.52361817872699667</v>
      </c>
      <c r="K60" s="6">
        <f t="shared" si="5"/>
        <v>-1.701063763071363</v>
      </c>
      <c r="L60" s="6"/>
      <c r="M60" s="47">
        <v>31.628</v>
      </c>
      <c r="N60" s="47">
        <f t="shared" si="6"/>
        <v>0.57706800000000003</v>
      </c>
      <c r="O60" s="46">
        <v>0</v>
      </c>
      <c r="P60" s="46">
        <v>0</v>
      </c>
    </row>
    <row r="61" spans="4:16" x14ac:dyDescent="0.15">
      <c r="D61" s="44">
        <v>1926</v>
      </c>
      <c r="E61" s="21">
        <f t="shared" si="8"/>
        <v>31.588000000000001</v>
      </c>
      <c r="F61" s="47">
        <f t="shared" si="7"/>
        <v>0.60865599999999997</v>
      </c>
      <c r="G61" s="8">
        <f t="shared" si="3"/>
        <v>-0.97480214209067206</v>
      </c>
      <c r="H61" s="52"/>
      <c r="I61" s="6">
        <f t="shared" ca="1" si="4"/>
        <v>1.0616197332876709</v>
      </c>
      <c r="J61" s="6">
        <f t="shared" ca="1" si="10"/>
        <v>0.55239765174396793</v>
      </c>
      <c r="K61" s="6">
        <f t="shared" si="5"/>
        <v>-1.6377311567230903</v>
      </c>
      <c r="L61" s="6"/>
      <c r="M61" s="47">
        <v>31.588000000000001</v>
      </c>
      <c r="N61" s="47">
        <f t="shared" si="6"/>
        <v>0.60865599999999997</v>
      </c>
      <c r="O61" s="46">
        <v>0</v>
      </c>
      <c r="P61" s="46">
        <v>0</v>
      </c>
    </row>
    <row r="62" spans="4:16" x14ac:dyDescent="0.15">
      <c r="D62" s="44">
        <v>1927</v>
      </c>
      <c r="E62" s="21">
        <f t="shared" si="8"/>
        <v>33.71</v>
      </c>
      <c r="F62" s="47">
        <f t="shared" si="7"/>
        <v>0.64236599999999999</v>
      </c>
      <c r="G62" s="8">
        <f t="shared" si="3"/>
        <v>-0.93863861037465535</v>
      </c>
      <c r="H62" s="52"/>
      <c r="I62" s="6">
        <f t="shared" ca="1" si="4"/>
        <v>1.0516260497240637</v>
      </c>
      <c r="J62" s="6">
        <f t="shared" ca="1" si="10"/>
        <v>0.5824681877126614</v>
      </c>
      <c r="K62" s="6">
        <f t="shared" si="5"/>
        <v>-1.5729999207454235</v>
      </c>
      <c r="L62" s="6"/>
      <c r="M62" s="47">
        <v>33.71</v>
      </c>
      <c r="N62" s="47">
        <f t="shared" si="6"/>
        <v>0.64236599999999999</v>
      </c>
      <c r="O62" s="46">
        <v>0</v>
      </c>
      <c r="P62" s="46">
        <v>0</v>
      </c>
    </row>
    <row r="63" spans="4:16" x14ac:dyDescent="0.15">
      <c r="D63" s="44">
        <v>1928</v>
      </c>
      <c r="E63" s="21">
        <f t="shared" si="8"/>
        <v>34.008000000000003</v>
      </c>
      <c r="F63" s="47">
        <f t="shared" si="7"/>
        <v>0.67637400000000003</v>
      </c>
      <c r="G63" s="8">
        <f t="shared" si="3"/>
        <v>-0.90335854902591739</v>
      </c>
      <c r="H63" s="52"/>
      <c r="I63" s="6">
        <f t="shared" ca="1" si="4"/>
        <v>1.0174466408598164</v>
      </c>
      <c r="J63" s="6">
        <f t="shared" ca="1" si="10"/>
        <v>0.61385566793149537</v>
      </c>
      <c r="K63" s="6">
        <f t="shared" si="5"/>
        <v>-1.5103699485308379</v>
      </c>
      <c r="L63" s="6"/>
      <c r="M63" s="47">
        <v>34.008000000000003</v>
      </c>
      <c r="N63" s="47">
        <f t="shared" si="6"/>
        <v>0.67637400000000003</v>
      </c>
      <c r="O63" s="46">
        <v>0</v>
      </c>
      <c r="P63" s="46">
        <v>0</v>
      </c>
    </row>
    <row r="64" spans="4:16" x14ac:dyDescent="0.15">
      <c r="D64" s="44">
        <v>1929</v>
      </c>
      <c r="E64" s="21">
        <f t="shared" si="8"/>
        <v>34.396999999999998</v>
      </c>
      <c r="F64" s="47">
        <f t="shared" si="7"/>
        <v>0.71077100000000004</v>
      </c>
      <c r="G64" s="8">
        <f t="shared" si="3"/>
        <v>-0.86878337041587361</v>
      </c>
      <c r="H64" s="52"/>
      <c r="I64" s="6">
        <f t="shared" ca="1" si="4"/>
        <v>0.96397048937819818</v>
      </c>
      <c r="J64" s="6">
        <f t="shared" ca="1" si="10"/>
        <v>0.64658290131685636</v>
      </c>
      <c r="K64" s="6">
        <f t="shared" si="5"/>
        <v>-1.4494720729806012</v>
      </c>
      <c r="L64" s="6"/>
      <c r="M64" s="47">
        <v>34.396999999999998</v>
      </c>
      <c r="N64" s="47">
        <f t="shared" si="6"/>
        <v>0.71077100000000004</v>
      </c>
      <c r="O64" s="46">
        <v>0</v>
      </c>
      <c r="P64" s="46">
        <v>0</v>
      </c>
    </row>
    <row r="65" spans="4:16" x14ac:dyDescent="0.15">
      <c r="D65" s="44">
        <v>1930</v>
      </c>
      <c r="E65" s="21">
        <f t="shared" si="8"/>
        <v>31.504999999999999</v>
      </c>
      <c r="F65" s="47">
        <f t="shared" si="7"/>
        <v>0.74227600000000005</v>
      </c>
      <c r="G65" s="8">
        <f t="shared" si="3"/>
        <v>-0.83800254708264466</v>
      </c>
      <c r="H65" s="52"/>
      <c r="I65" s="6">
        <f t="shared" ca="1" si="4"/>
        <v>0.80662075275154166</v>
      </c>
      <c r="J65" s="6">
        <f t="shared" ca="1" si="10"/>
        <v>0.68066920943497222</v>
      </c>
      <c r="K65" s="6">
        <f t="shared" si="5"/>
        <v>-1.3956438964750844</v>
      </c>
      <c r="L65" s="6"/>
      <c r="M65" s="47">
        <v>31.504999999999999</v>
      </c>
      <c r="N65" s="47">
        <f t="shared" si="6"/>
        <v>0.74227600000000005</v>
      </c>
      <c r="O65" s="46">
        <v>0</v>
      </c>
      <c r="P65" s="46">
        <v>0</v>
      </c>
    </row>
    <row r="66" spans="4:16" x14ac:dyDescent="0.15">
      <c r="D66" s="44">
        <v>1931</v>
      </c>
      <c r="E66" s="21">
        <f t="shared" si="8"/>
        <v>28.105</v>
      </c>
      <c r="F66" s="47">
        <f t="shared" si="7"/>
        <v>0.77038100000000009</v>
      </c>
      <c r="G66" s="8">
        <f t="shared" si="3"/>
        <v>-0.8111989687875637</v>
      </c>
      <c r="H66" s="52"/>
      <c r="I66" s="6">
        <f t="shared" ca="1" si="4"/>
        <v>0.54039067388680451</v>
      </c>
      <c r="J66" s="6">
        <f t="shared" ca="1" si="10"/>
        <v>0.71613000346656996</v>
      </c>
      <c r="K66" s="6">
        <f t="shared" si="5"/>
        <v>-1.3490578626373961</v>
      </c>
      <c r="L66" s="6"/>
      <c r="M66" s="47">
        <v>28.105</v>
      </c>
      <c r="N66" s="47">
        <f t="shared" si="6"/>
        <v>0.77038100000000009</v>
      </c>
      <c r="O66" s="46">
        <v>0</v>
      </c>
      <c r="P66" s="46">
        <v>0</v>
      </c>
    </row>
    <row r="67" spans="4:16" x14ac:dyDescent="0.15">
      <c r="D67" s="44">
        <v>1932</v>
      </c>
      <c r="E67" s="21">
        <f t="shared" si="8"/>
        <v>28.161000000000001</v>
      </c>
      <c r="F67" s="47">
        <f t="shared" si="7"/>
        <v>0.79854200000000009</v>
      </c>
      <c r="G67" s="8">
        <f t="shared" si="3"/>
        <v>-0.78491417064954128</v>
      </c>
      <c r="H67" s="52"/>
      <c r="I67" s="6">
        <f t="shared" ca="1" si="4"/>
        <v>0.25995856308645671</v>
      </c>
      <c r="J67" s="6">
        <f t="shared" ca="1" si="10"/>
        <v>0.75297635809811092</v>
      </c>
      <c r="K67" s="6">
        <f t="shared" si="5"/>
        <v>-1.3036248561355543</v>
      </c>
      <c r="L67" s="6"/>
      <c r="M67" s="47">
        <v>28.161000000000001</v>
      </c>
      <c r="N67" s="47">
        <f t="shared" si="6"/>
        <v>0.79854200000000009</v>
      </c>
      <c r="O67" s="46">
        <v>0</v>
      </c>
      <c r="P67" s="46">
        <v>0</v>
      </c>
    </row>
    <row r="68" spans="4:16" x14ac:dyDescent="0.15">
      <c r="D68" s="44">
        <v>1933</v>
      </c>
      <c r="E68" s="21">
        <f t="shared" si="8"/>
        <v>32.64</v>
      </c>
      <c r="F68" s="47">
        <f t="shared" si="7"/>
        <v>0.83118200000000009</v>
      </c>
      <c r="G68" s="8">
        <f t="shared" si="3"/>
        <v>-0.75511118808740585</v>
      </c>
      <c r="H68" s="55">
        <v>1.3834415615156186</v>
      </c>
      <c r="I68" s="6">
        <f t="shared" ca="1" si="4"/>
        <v>7.5839634018848301E-2</v>
      </c>
      <c r="J68" s="6">
        <f t="shared" ca="1" si="10"/>
        <v>0.79121458806357781</v>
      </c>
      <c r="K68" s="6">
        <f t="shared" si="5"/>
        <v>-1.2524022874220262</v>
      </c>
      <c r="L68" s="242"/>
      <c r="M68" s="47">
        <v>32.64</v>
      </c>
      <c r="N68" s="47">
        <f t="shared" si="6"/>
        <v>0.83118200000000009</v>
      </c>
      <c r="O68" s="46">
        <v>0</v>
      </c>
      <c r="P68" s="46">
        <v>0</v>
      </c>
    </row>
    <row r="69" spans="4:16" x14ac:dyDescent="0.15">
      <c r="D69" s="44">
        <v>1934</v>
      </c>
      <c r="E69" s="21">
        <f t="shared" si="8"/>
        <v>36.049999999999997</v>
      </c>
      <c r="F69" s="47">
        <f t="shared" si="7"/>
        <v>0.86723200000000011</v>
      </c>
      <c r="G69" s="8">
        <f t="shared" si="3"/>
        <v>-0.72295494973975982</v>
      </c>
      <c r="H69" s="55">
        <v>1.3935956006314425</v>
      </c>
      <c r="I69" s="6">
        <f t="shared" ca="1" si="4"/>
        <v>-4.3856989447021988E-2</v>
      </c>
      <c r="J69" s="6">
        <f t="shared" ca="1" si="10"/>
        <v>0.83084583375882071</v>
      </c>
      <c r="K69" s="6">
        <f t="shared" si="5"/>
        <v>-1.1974706025442921</v>
      </c>
      <c r="L69" s="242"/>
      <c r="M69" s="47">
        <v>36.049999999999997</v>
      </c>
      <c r="N69" s="47">
        <f t="shared" si="6"/>
        <v>0.86723200000000011</v>
      </c>
      <c r="O69" s="46">
        <v>0</v>
      </c>
      <c r="P69" s="46">
        <v>0</v>
      </c>
    </row>
    <row r="70" spans="4:16" x14ac:dyDescent="0.15">
      <c r="D70" s="44">
        <v>1935</v>
      </c>
      <c r="E70" s="21">
        <f t="shared" si="8"/>
        <v>37.869999999999997</v>
      </c>
      <c r="F70" s="47">
        <f t="shared" si="7"/>
        <v>0.90510200000000007</v>
      </c>
      <c r="G70" s="8">
        <f t="shared" si="3"/>
        <v>-0.6899611855871115</v>
      </c>
      <c r="H70" s="55">
        <v>1.424475420870035</v>
      </c>
      <c r="I70" s="6">
        <f t="shared" ca="1" si="4"/>
        <v>-0.14062565765561885</v>
      </c>
      <c r="J70" s="6">
        <f t="shared" ca="1" si="10"/>
        <v>0.87186566298912083</v>
      </c>
      <c r="K70" s="6">
        <f t="shared" si="5"/>
        <v>-1.1414560253922981</v>
      </c>
      <c r="L70" s="242"/>
      <c r="M70" s="47">
        <v>37.869999999999997</v>
      </c>
      <c r="N70" s="47">
        <f t="shared" si="6"/>
        <v>0.90510200000000007</v>
      </c>
      <c r="O70" s="46">
        <v>0</v>
      </c>
      <c r="P70" s="46">
        <v>0</v>
      </c>
    </row>
    <row r="71" spans="4:16" x14ac:dyDescent="0.15">
      <c r="D71" s="44">
        <v>1936</v>
      </c>
      <c r="E71" s="21">
        <f t="shared" si="8"/>
        <v>41.912999999999997</v>
      </c>
      <c r="F71" s="47">
        <f t="shared" si="7"/>
        <v>0.94701500000000005</v>
      </c>
      <c r="G71" s="8">
        <f t="shared" si="3"/>
        <v>-0.65429869200749702</v>
      </c>
      <c r="H71" s="55">
        <v>1.4798164409428827</v>
      </c>
      <c r="I71" s="6">
        <f t="shared" ca="1" si="4"/>
        <v>-0.16433567079957356</v>
      </c>
      <c r="J71" s="6">
        <f t="shared" ca="1" si="10"/>
        <v>0.91426369646005534</v>
      </c>
      <c r="K71" s="6">
        <f t="shared" si="5"/>
        <v>-1.0812898303653458</v>
      </c>
      <c r="L71" s="242"/>
      <c r="M71" s="47">
        <v>41.912999999999997</v>
      </c>
      <c r="N71" s="47">
        <f t="shared" si="6"/>
        <v>0.94701500000000005</v>
      </c>
      <c r="O71" s="46">
        <v>0</v>
      </c>
      <c r="P71" s="46">
        <v>0</v>
      </c>
    </row>
    <row r="72" spans="4:16" x14ac:dyDescent="0.15">
      <c r="D72" s="44">
        <v>1937</v>
      </c>
      <c r="E72" s="21">
        <f t="shared" si="8"/>
        <v>45.378999999999998</v>
      </c>
      <c r="F72" s="47">
        <f t="shared" si="7"/>
        <v>0.992394</v>
      </c>
      <c r="G72" s="8">
        <f t="shared" si="3"/>
        <v>-0.61660177331388688</v>
      </c>
      <c r="H72" s="55">
        <v>1.5591488929664465</v>
      </c>
      <c r="I72" s="6">
        <f t="shared" ca="1" si="4"/>
        <v>-0.1323516292536624</v>
      </c>
      <c r="J72" s="6">
        <f t="shared" ca="1" si="10"/>
        <v>0.9580232650503735</v>
      </c>
      <c r="K72" s="6">
        <f t="shared" si="5"/>
        <v>-1.0180993094206467</v>
      </c>
      <c r="L72" s="242"/>
      <c r="M72" s="47">
        <v>45.378999999999998</v>
      </c>
      <c r="N72" s="47">
        <f t="shared" si="6"/>
        <v>0.992394</v>
      </c>
      <c r="O72" s="46">
        <v>0</v>
      </c>
      <c r="P72" s="46">
        <v>0</v>
      </c>
    </row>
    <row r="73" spans="4:16" x14ac:dyDescent="0.15">
      <c r="D73" s="44">
        <v>1938</v>
      </c>
      <c r="E73" s="21">
        <f t="shared" ref="E73:E104" si="11">SUM(M73,O73)</f>
        <v>48.826000000000001</v>
      </c>
      <c r="F73" s="47">
        <f t="shared" si="7"/>
        <v>1.04122</v>
      </c>
      <c r="G73" s="8">
        <f t="shared" si="3"/>
        <v>-0.57699561987954362</v>
      </c>
      <c r="H73" s="55">
        <v>1.6622422350934019</v>
      </c>
      <c r="I73" s="6">
        <f t="shared" ca="1" si="4"/>
        <v>-4.8100722078515901E-2</v>
      </c>
      <c r="J73" s="6">
        <f t="shared" ref="J73:J136" ca="1" si="12">F$1/(1+EXP((AVERAGE(E$2:F$2)-D73)*LN(81)/(F$2-E$2)))</f>
        <v>1.0031211071813506</v>
      </c>
      <c r="K73" s="6">
        <f t="shared" si="5"/>
        <v>-0.95213615711135746</v>
      </c>
      <c r="L73" s="242"/>
      <c r="M73" s="47">
        <v>48.826000000000001</v>
      </c>
      <c r="N73" s="47">
        <f t="shared" si="6"/>
        <v>1.04122</v>
      </c>
      <c r="O73" s="46">
        <v>0</v>
      </c>
      <c r="P73" s="46">
        <v>0</v>
      </c>
    </row>
    <row r="74" spans="4:16" x14ac:dyDescent="0.15">
      <c r="D74" s="44">
        <v>1939</v>
      </c>
      <c r="E74" s="21">
        <f t="shared" si="11"/>
        <v>51.304000000000002</v>
      </c>
      <c r="F74" s="47">
        <f t="shared" si="7"/>
        <v>1.0925240000000001</v>
      </c>
      <c r="G74" s="8">
        <f t="shared" ref="G74:G137" si="13">NORMSINV(F74/F$1)</f>
        <v>-0.53633140281970193</v>
      </c>
      <c r="H74" s="55">
        <v>1.7859971261074485</v>
      </c>
      <c r="I74" s="6">
        <f t="shared" ref="I74:I137" ca="1" si="14">G74/(NORMSINV(0.9)-NORMSINV(0.1))*(F$2-E$2) - D74 + AVERAGE(E$2:F$2)</f>
        <v>6.5115543919091579E-2</v>
      </c>
      <c r="J74" s="6">
        <f t="shared" ca="1" si="12"/>
        <v>1.0495271146887868</v>
      </c>
      <c r="K74" s="6">
        <f t="shared" ref="K74:K137" si="15" xml:space="preserve"> -LN(F$5/F74-1)</f>
        <v>-0.88484031446854572</v>
      </c>
      <c r="L74" s="242"/>
      <c r="M74" s="47">
        <v>51.304000000000002</v>
      </c>
      <c r="N74" s="47">
        <f t="shared" ref="N74:P137" si="16">N73+M74/1000</f>
        <v>1.0925240000000001</v>
      </c>
      <c r="O74" s="46">
        <v>0</v>
      </c>
      <c r="P74" s="46">
        <v>0</v>
      </c>
    </row>
    <row r="75" spans="4:16" x14ac:dyDescent="0.15">
      <c r="D75" s="44">
        <v>1940</v>
      </c>
      <c r="E75" s="21">
        <f t="shared" si="11"/>
        <v>56.587000000000003</v>
      </c>
      <c r="F75" s="47">
        <f t="shared" si="7"/>
        <v>1.149111</v>
      </c>
      <c r="G75" s="8">
        <f t="shared" si="13"/>
        <v>-0.49248289618245034</v>
      </c>
      <c r="H75" s="55">
        <v>1.9400049472956664</v>
      </c>
      <c r="I75" s="6">
        <f t="shared" ca="1" si="14"/>
        <v>0.26550434659679922</v>
      </c>
      <c r="J75" s="6">
        <f t="shared" ca="1" si="12"/>
        <v>1.0972041354829076</v>
      </c>
      <c r="K75" s="6">
        <f t="shared" si="15"/>
        <v>-0.81273063239697774</v>
      </c>
      <c r="L75" s="242"/>
      <c r="M75" s="47">
        <v>56.587000000000003</v>
      </c>
      <c r="N75" s="47">
        <f t="shared" si="16"/>
        <v>1.149111</v>
      </c>
      <c r="O75" s="46">
        <v>0</v>
      </c>
      <c r="P75" s="46">
        <v>0</v>
      </c>
    </row>
    <row r="76" spans="4:16" x14ac:dyDescent="0.15">
      <c r="D76" s="44">
        <v>1941</v>
      </c>
      <c r="E76" s="21">
        <f t="shared" si="11"/>
        <v>56.805999999999997</v>
      </c>
      <c r="F76" s="47">
        <f t="shared" si="7"/>
        <v>1.2059169999999999</v>
      </c>
      <c r="G76" s="8">
        <f t="shared" si="13"/>
        <v>-0.44939726570343469</v>
      </c>
      <c r="H76" s="55">
        <v>2.1120512904965647</v>
      </c>
      <c r="I76" s="6">
        <f t="shared" ca="1" si="14"/>
        <v>0.44500878927215126</v>
      </c>
      <c r="J76" s="6">
        <f t="shared" ca="1" si="12"/>
        <v>1.1461078409237868</v>
      </c>
      <c r="K76" s="6">
        <f t="shared" si="15"/>
        <v>-0.7423034162172184</v>
      </c>
      <c r="L76" s="242"/>
      <c r="M76" s="47">
        <v>56.805999999999997</v>
      </c>
      <c r="N76" s="47">
        <f t="shared" si="16"/>
        <v>1.2059169999999999</v>
      </c>
      <c r="O76" s="46">
        <v>0</v>
      </c>
      <c r="P76" s="46">
        <v>0</v>
      </c>
    </row>
    <row r="77" spans="4:16" x14ac:dyDescent="0.15">
      <c r="D77" s="44">
        <v>1942</v>
      </c>
      <c r="E77" s="21">
        <f t="shared" si="11"/>
        <v>55.146999999999998</v>
      </c>
      <c r="F77" s="47">
        <f t="shared" si="7"/>
        <v>1.261064</v>
      </c>
      <c r="G77" s="8">
        <f t="shared" si="13"/>
        <v>-0.40835419842811305</v>
      </c>
      <c r="H77" s="55">
        <v>2.2863034330800143</v>
      </c>
      <c r="I77" s="6">
        <f t="shared" ca="1" si="14"/>
        <v>0.56859639038316345</v>
      </c>
      <c r="J77" s="6">
        <f t="shared" ca="1" si="12"/>
        <v>1.1961866652278024</v>
      </c>
      <c r="K77" s="6">
        <f t="shared" si="15"/>
        <v>-0.67557906937673218</v>
      </c>
      <c r="L77" s="242"/>
      <c r="M77" s="47">
        <v>55.146999999999998</v>
      </c>
      <c r="N77" s="47">
        <f t="shared" si="16"/>
        <v>1.261064</v>
      </c>
      <c r="O77" s="46">
        <v>0</v>
      </c>
      <c r="P77" s="46">
        <v>0</v>
      </c>
    </row>
    <row r="78" spans="4:16" x14ac:dyDescent="0.15">
      <c r="D78" s="44">
        <v>1943</v>
      </c>
      <c r="E78" s="21">
        <f t="shared" si="11"/>
        <v>58.375999999999998</v>
      </c>
      <c r="F78" s="47">
        <f t="shared" si="7"/>
        <v>1.3194399999999999</v>
      </c>
      <c r="G78" s="8">
        <f t="shared" si="13"/>
        <v>-0.36564353380133446</v>
      </c>
      <c r="H78" s="55">
        <v>2.4707948978180134</v>
      </c>
      <c r="I78" s="6">
        <f t="shared" ca="1" si="14"/>
        <v>0.73783583557224119</v>
      </c>
      <c r="J78" s="6">
        <f t="shared" ca="1" si="12"/>
        <v>1.2473818233445215</v>
      </c>
      <c r="K78" s="6">
        <f t="shared" si="15"/>
        <v>-0.60648985194907901</v>
      </c>
      <c r="L78" s="242"/>
      <c r="M78" s="47">
        <v>58.375999999999998</v>
      </c>
      <c r="N78" s="47">
        <f t="shared" si="16"/>
        <v>1.3194399999999999</v>
      </c>
      <c r="O78" s="46">
        <v>0</v>
      </c>
      <c r="P78" s="46">
        <v>0</v>
      </c>
    </row>
    <row r="79" spans="4:16" x14ac:dyDescent="0.15">
      <c r="D79" s="44">
        <v>1944</v>
      </c>
      <c r="E79" s="21">
        <f t="shared" si="11"/>
        <v>55.249000000000002</v>
      </c>
      <c r="F79" s="47">
        <f t="shared" ref="F79:F142" si="17">F78+E79/1000</f>
        <v>1.374689</v>
      </c>
      <c r="G79" s="8">
        <f t="shared" si="13"/>
        <v>-0.32582748627117641</v>
      </c>
      <c r="H79" s="55">
        <v>2.6450364257630485</v>
      </c>
      <c r="I79" s="6">
        <f t="shared" ca="1" si="14"/>
        <v>0.82783276562690844</v>
      </c>
      <c r="J79" s="6">
        <f t="shared" ca="1" si="12"/>
        <v>1.2996274126036775</v>
      </c>
      <c r="K79" s="6">
        <f t="shared" si="15"/>
        <v>-0.54237328106469784</v>
      </c>
      <c r="L79" s="242"/>
      <c r="M79" s="47">
        <v>55.249000000000002</v>
      </c>
      <c r="N79" s="47">
        <f t="shared" si="16"/>
        <v>1.374689</v>
      </c>
      <c r="O79" s="46">
        <v>0</v>
      </c>
      <c r="P79" s="46">
        <v>0</v>
      </c>
    </row>
    <row r="80" spans="4:16" x14ac:dyDescent="0.15">
      <c r="D80" s="44">
        <v>1945</v>
      </c>
      <c r="E80" s="21">
        <f t="shared" si="11"/>
        <v>31.523</v>
      </c>
      <c r="F80" s="47">
        <f t="shared" si="17"/>
        <v>1.406212</v>
      </c>
      <c r="G80" s="8">
        <f t="shared" si="13"/>
        <v>-0.30334327114358239</v>
      </c>
      <c r="H80" s="55">
        <v>2.7215347600615951</v>
      </c>
      <c r="I80" s="6">
        <f t="shared" ca="1" si="14"/>
        <v>0.44335658037016401</v>
      </c>
      <c r="J80" s="6">
        <f t="shared" ca="1" si="12"/>
        <v>1.3528506020401307</v>
      </c>
      <c r="K80" s="6">
        <f t="shared" si="15"/>
        <v>-0.50628025412911193</v>
      </c>
      <c r="L80" s="242"/>
      <c r="M80" s="47">
        <v>31.523</v>
      </c>
      <c r="N80" s="47">
        <f t="shared" si="16"/>
        <v>1.406212</v>
      </c>
      <c r="O80" s="46">
        <v>0</v>
      </c>
      <c r="P80" s="46">
        <v>0</v>
      </c>
    </row>
    <row r="81" spans="4:16" x14ac:dyDescent="0.15">
      <c r="D81" s="44">
        <v>1946</v>
      </c>
      <c r="E81" s="21">
        <f t="shared" si="11"/>
        <v>22.991</v>
      </c>
      <c r="F81" s="47">
        <f t="shared" si="17"/>
        <v>1.429203</v>
      </c>
      <c r="G81" s="8">
        <f t="shared" si="13"/>
        <v>-0.28704144194986631</v>
      </c>
      <c r="H81" s="55">
        <v>2.7130631557771805</v>
      </c>
      <c r="I81" s="6">
        <f t="shared" ca="1" si="14"/>
        <v>-0.11036748623973835</v>
      </c>
      <c r="J81" s="6">
        <f t="shared" ca="1" si="12"/>
        <v>1.4069719116846036</v>
      </c>
      <c r="K81" s="6">
        <f t="shared" si="15"/>
        <v>-0.4801595469410227</v>
      </c>
      <c r="L81" s="242"/>
      <c r="M81" s="47">
        <v>22.74</v>
      </c>
      <c r="N81" s="47">
        <f t="shared" si="16"/>
        <v>1.428952</v>
      </c>
      <c r="O81" s="47">
        <v>0.251</v>
      </c>
      <c r="P81" s="47">
        <f t="shared" si="16"/>
        <v>2.5099999999999998E-4</v>
      </c>
    </row>
    <row r="82" spans="4:16" x14ac:dyDescent="0.15">
      <c r="D82" s="44">
        <v>1947</v>
      </c>
      <c r="E82" s="21">
        <f t="shared" si="11"/>
        <v>30.643000000000001</v>
      </c>
      <c r="F82" s="47">
        <f t="shared" si="17"/>
        <v>1.459846</v>
      </c>
      <c r="G82" s="8">
        <f t="shared" si="13"/>
        <v>-0.26543113049038591</v>
      </c>
      <c r="H82" s="55">
        <v>2.6731945696245822</v>
      </c>
      <c r="I82" s="6">
        <f t="shared" ca="1" si="14"/>
        <v>-0.51876750056771925</v>
      </c>
      <c r="J82" s="6">
        <f t="shared" ca="1" si="12"/>
        <v>1.4619055822954903</v>
      </c>
      <c r="K82" s="6">
        <f t="shared" si="15"/>
        <v>-0.44559179303207463</v>
      </c>
      <c r="L82" s="242"/>
      <c r="M82" s="47">
        <v>30.18</v>
      </c>
      <c r="N82" s="47">
        <f t="shared" si="16"/>
        <v>1.4591320000000001</v>
      </c>
      <c r="O82" s="47">
        <v>0.46300000000000002</v>
      </c>
      <c r="P82" s="47">
        <f t="shared" si="16"/>
        <v>7.1400000000000001E-4</v>
      </c>
    </row>
    <row r="83" spans="4:16" x14ac:dyDescent="0.15">
      <c r="D83" s="44">
        <v>1948</v>
      </c>
      <c r="E83" s="21">
        <f t="shared" si="11"/>
        <v>37.17</v>
      </c>
      <c r="F83" s="47">
        <f t="shared" si="17"/>
        <v>1.4970159999999999</v>
      </c>
      <c r="G83" s="8">
        <f t="shared" si="13"/>
        <v>-0.23938216308027246</v>
      </c>
      <c r="H83" s="55">
        <v>2.6289554148173084</v>
      </c>
      <c r="I83" s="6">
        <f t="shared" ca="1" si="14"/>
        <v>-0.80565567080566325</v>
      </c>
      <c r="J83" s="6">
        <f t="shared" ca="1" si="12"/>
        <v>1.5175600340499391</v>
      </c>
      <c r="K83" s="6">
        <f t="shared" si="15"/>
        <v>-0.40400778018754319</v>
      </c>
      <c r="L83" s="242"/>
      <c r="M83" s="47">
        <v>36.301000000000002</v>
      </c>
      <c r="N83" s="47">
        <f t="shared" si="16"/>
        <v>1.495433</v>
      </c>
      <c r="O83" s="47">
        <v>0.86899999999999999</v>
      </c>
      <c r="P83" s="47">
        <f t="shared" si="16"/>
        <v>1.583E-3</v>
      </c>
    </row>
    <row r="84" spans="4:16" x14ac:dyDescent="0.15">
      <c r="D84" s="44">
        <v>1949</v>
      </c>
      <c r="E84" s="21">
        <f t="shared" si="11"/>
        <v>40.807000000000002</v>
      </c>
      <c r="F84" s="47">
        <f t="shared" si="17"/>
        <v>1.5378229999999999</v>
      </c>
      <c r="G84" s="8">
        <f t="shared" si="13"/>
        <v>-0.21096956146223605</v>
      </c>
      <c r="H84" s="55">
        <v>2.5911043847661204</v>
      </c>
      <c r="I84" s="6">
        <f t="shared" ca="1" si="14"/>
        <v>-1.0278374176234593</v>
      </c>
      <c r="J84" s="6">
        <f t="shared" ca="1" si="12"/>
        <v>1.5738384106689742</v>
      </c>
      <c r="K84" s="6">
        <f t="shared" si="15"/>
        <v>-0.3587470544943801</v>
      </c>
      <c r="L84" s="242"/>
      <c r="M84" s="47">
        <v>39.741</v>
      </c>
      <c r="N84" s="47">
        <f t="shared" si="16"/>
        <v>1.535174</v>
      </c>
      <c r="O84" s="47">
        <v>1.0660000000000001</v>
      </c>
      <c r="P84" s="47">
        <f t="shared" si="16"/>
        <v>2.6490000000000003E-3</v>
      </c>
    </row>
    <row r="85" spans="4:16" x14ac:dyDescent="0.15">
      <c r="D85" s="44">
        <v>1950</v>
      </c>
      <c r="E85" s="21">
        <f t="shared" si="11"/>
        <v>40.380000000000003</v>
      </c>
      <c r="F85" s="47">
        <f t="shared" si="17"/>
        <v>1.578203</v>
      </c>
      <c r="G85" s="8">
        <f t="shared" si="13"/>
        <v>-0.18302103200393005</v>
      </c>
      <c r="H85" s="55">
        <v>2.5594071643861711</v>
      </c>
      <c r="I85" s="6">
        <f t="shared" ca="1" si="14"/>
        <v>-1.2627235201173335</v>
      </c>
      <c r="J85" s="6">
        <f t="shared" ca="1" si="12"/>
        <v>1.6306392033883474</v>
      </c>
      <c r="K85" s="6">
        <f t="shared" si="15"/>
        <v>-0.31431518551530446</v>
      </c>
      <c r="L85" s="242"/>
      <c r="M85" s="47">
        <v>39.746000000000002</v>
      </c>
      <c r="N85" s="47">
        <f t="shared" si="16"/>
        <v>1.5749200000000001</v>
      </c>
      <c r="O85" s="47">
        <v>0.63400000000000001</v>
      </c>
      <c r="P85" s="47">
        <f t="shared" si="16"/>
        <v>3.2830000000000003E-3</v>
      </c>
    </row>
    <row r="86" spans="4:16" x14ac:dyDescent="0.15">
      <c r="D86" s="44">
        <v>1951</v>
      </c>
      <c r="E86" s="21">
        <f t="shared" si="11"/>
        <v>45.035000000000004</v>
      </c>
      <c r="F86" s="47">
        <f t="shared" si="17"/>
        <v>1.623238</v>
      </c>
      <c r="G86" s="8">
        <f t="shared" si="13"/>
        <v>-0.15201736932514512</v>
      </c>
      <c r="H86" s="55">
        <v>2.5418420659455219</v>
      </c>
      <c r="I86" s="6">
        <f t="shared" ca="1" si="14"/>
        <v>-1.413972847044306</v>
      </c>
      <c r="J86" s="6">
        <f t="shared" ca="1" si="12"/>
        <v>1.6878569471764802</v>
      </c>
      <c r="K86" s="6">
        <f t="shared" si="15"/>
        <v>-0.26511967845955825</v>
      </c>
      <c r="L86" s="242"/>
      <c r="M86" s="47">
        <v>44.715000000000003</v>
      </c>
      <c r="N86" s="47">
        <f t="shared" si="16"/>
        <v>1.6196350000000002</v>
      </c>
      <c r="O86" s="47">
        <v>0.32</v>
      </c>
      <c r="P86" s="47">
        <f t="shared" si="16"/>
        <v>3.6030000000000003E-3</v>
      </c>
    </row>
    <row r="87" spans="4:16" x14ac:dyDescent="0.15">
      <c r="D87" s="44">
        <v>1952</v>
      </c>
      <c r="E87" s="21">
        <f t="shared" si="11"/>
        <v>45.475000000000001</v>
      </c>
      <c r="F87" s="47">
        <f t="shared" si="17"/>
        <v>1.6687129999999999</v>
      </c>
      <c r="G87" s="8">
        <f t="shared" si="13"/>
        <v>-0.12085830534497397</v>
      </c>
      <c r="H87" s="55">
        <v>2.536677322457277</v>
      </c>
      <c r="I87" s="6">
        <f t="shared" ca="1" si="14"/>
        <v>-1.5609679359959046</v>
      </c>
      <c r="J87" s="6">
        <f t="shared" ca="1" si="12"/>
        <v>1.7453829797178799</v>
      </c>
      <c r="K87" s="6">
        <f t="shared" si="15"/>
        <v>-0.21576494323242218</v>
      </c>
      <c r="L87" s="242"/>
      <c r="M87" s="47">
        <v>44.898000000000003</v>
      </c>
      <c r="N87" s="47">
        <f t="shared" si="16"/>
        <v>1.6645330000000003</v>
      </c>
      <c r="O87" s="47">
        <v>0.57699999999999996</v>
      </c>
      <c r="P87" s="47">
        <f t="shared" si="16"/>
        <v>4.1800000000000006E-3</v>
      </c>
    </row>
    <row r="88" spans="4:16" x14ac:dyDescent="0.15">
      <c r="D88" s="44">
        <v>1953</v>
      </c>
      <c r="E88" s="21">
        <f t="shared" si="11"/>
        <v>48.884</v>
      </c>
      <c r="F88" s="47">
        <f t="shared" si="17"/>
        <v>1.7175969999999998</v>
      </c>
      <c r="G88" s="8">
        <f t="shared" si="13"/>
        <v>-8.7492972480758449E-2</v>
      </c>
      <c r="H88" s="55">
        <v>2.5468590729634908</v>
      </c>
      <c r="I88" s="6">
        <f t="shared" ca="1" si="14"/>
        <v>-1.6475646062278884</v>
      </c>
      <c r="J88" s="6">
        <f t="shared" ca="1" si="12"/>
        <v>1.8031062519979886</v>
      </c>
      <c r="K88" s="6">
        <f t="shared" si="15"/>
        <v>-0.16299912520446613</v>
      </c>
      <c r="L88" s="242"/>
      <c r="M88" s="47">
        <v>48.017000000000003</v>
      </c>
      <c r="N88" s="47">
        <f t="shared" si="16"/>
        <v>1.7125500000000002</v>
      </c>
      <c r="O88" s="47">
        <v>0.86699999999999999</v>
      </c>
      <c r="P88" s="47">
        <f t="shared" si="16"/>
        <v>5.0470000000000003E-3</v>
      </c>
    </row>
    <row r="89" spans="4:16" x14ac:dyDescent="0.15">
      <c r="D89" s="44">
        <v>1954</v>
      </c>
      <c r="E89" s="21">
        <f t="shared" si="11"/>
        <v>45.051000000000002</v>
      </c>
      <c r="F89" s="47">
        <f t="shared" si="17"/>
        <v>1.7626479999999998</v>
      </c>
      <c r="G89" s="8">
        <f t="shared" si="13"/>
        <v>-5.6830701779449398E-2</v>
      </c>
      <c r="H89" s="55">
        <v>2.5624518117554662</v>
      </c>
      <c r="I89" s="6">
        <f t="shared" ca="1" si="14"/>
        <v>-1.8081598183061942</v>
      </c>
      <c r="J89" s="6">
        <f t="shared" ca="1" si="12"/>
        <v>1.8609141779112217</v>
      </c>
      <c r="K89" s="6">
        <f t="shared" si="15"/>
        <v>-0.11457206210368431</v>
      </c>
      <c r="L89" s="242"/>
      <c r="M89" s="47">
        <v>44.161999999999999</v>
      </c>
      <c r="N89" s="47">
        <f t="shared" si="16"/>
        <v>1.7567120000000003</v>
      </c>
      <c r="O89" s="47">
        <v>0.88900000000000001</v>
      </c>
      <c r="P89" s="47">
        <f t="shared" si="16"/>
        <v>5.9360000000000003E-3</v>
      </c>
    </row>
    <row r="90" spans="4:16" x14ac:dyDescent="0.15">
      <c r="D90" s="44">
        <v>1955</v>
      </c>
      <c r="E90" s="21">
        <f t="shared" si="11"/>
        <v>45.098999999999997</v>
      </c>
      <c r="F90" s="47">
        <f t="shared" si="17"/>
        <v>1.8077469999999998</v>
      </c>
      <c r="G90" s="8">
        <f t="shared" si="13"/>
        <v>-2.6189187071324484E-2</v>
      </c>
      <c r="H90" s="55">
        <v>2.5823028001467483</v>
      </c>
      <c r="I90" s="6">
        <f t="shared" ca="1" si="14"/>
        <v>-1.9693232427073326</v>
      </c>
      <c r="J90" s="6">
        <f t="shared" ca="1" si="12"/>
        <v>1.9186935092265835</v>
      </c>
      <c r="K90" s="6">
        <f t="shared" si="15"/>
        <v>-6.622745017687813E-2</v>
      </c>
      <c r="L90" s="242"/>
      <c r="M90" s="47">
        <v>43.790999999999997</v>
      </c>
      <c r="N90" s="47">
        <f t="shared" si="16"/>
        <v>1.8005030000000002</v>
      </c>
      <c r="O90" s="47">
        <v>1.3080000000000001</v>
      </c>
      <c r="P90" s="47">
        <f t="shared" si="16"/>
        <v>7.2440000000000004E-3</v>
      </c>
    </row>
    <row r="91" spans="4:16" x14ac:dyDescent="0.15">
      <c r="D91" s="44">
        <v>1956</v>
      </c>
      <c r="E91" s="21">
        <f t="shared" si="11"/>
        <v>49.921999999999997</v>
      </c>
      <c r="F91" s="47">
        <f t="shared" si="17"/>
        <v>1.8576689999999998</v>
      </c>
      <c r="G91" s="8">
        <f t="shared" si="13"/>
        <v>7.7017446922925141E-3</v>
      </c>
      <c r="H91" s="55">
        <v>2.6123860776126842</v>
      </c>
      <c r="I91" s="6">
        <f t="shared" ca="1" si="14"/>
        <v>-2.0415312123443528</v>
      </c>
      <c r="J91" s="6">
        <f t="shared" ca="1" si="12"/>
        <v>1.9763312215305806</v>
      </c>
      <c r="K91" s="6">
        <f t="shared" si="15"/>
        <v>-1.28004909212636E-2</v>
      </c>
      <c r="L91" s="242"/>
      <c r="M91" s="47">
        <v>48.106999999999999</v>
      </c>
      <c r="N91" s="47">
        <f t="shared" si="16"/>
        <v>1.8486100000000001</v>
      </c>
      <c r="O91" s="47">
        <v>1.8149999999999999</v>
      </c>
      <c r="P91" s="47">
        <f t="shared" si="16"/>
        <v>9.0590000000000011E-3</v>
      </c>
    </row>
    <row r="92" spans="4:16" x14ac:dyDescent="0.15">
      <c r="D92" s="44">
        <v>1957</v>
      </c>
      <c r="E92" s="21">
        <f t="shared" si="11"/>
        <v>55.835000000000001</v>
      </c>
      <c r="F92" s="47">
        <f t="shared" si="17"/>
        <v>1.9135039999999999</v>
      </c>
      <c r="G92" s="8">
        <f t="shared" si="13"/>
        <v>4.561918906866208E-2</v>
      </c>
      <c r="H92" s="176">
        <v>2.6582464084240573</v>
      </c>
      <c r="I92" s="6">
        <f t="shared" ca="1" si="14"/>
        <v>-2.0035100995139601</v>
      </c>
      <c r="J92" s="6">
        <f t="shared" ca="1" si="12"/>
        <v>2.0337153964558583</v>
      </c>
      <c r="K92" s="6">
        <f t="shared" si="15"/>
        <v>4.6936535902867824E-2</v>
      </c>
      <c r="L92" s="242"/>
      <c r="M92" s="47">
        <v>53.393999999999998</v>
      </c>
      <c r="N92" s="47">
        <f t="shared" si="16"/>
        <v>1.902004</v>
      </c>
      <c r="O92" s="47">
        <v>2.4409999999999998</v>
      </c>
      <c r="P92" s="47">
        <f t="shared" si="16"/>
        <v>1.1500000000000002E-2</v>
      </c>
    </row>
    <row r="93" spans="4:16" x14ac:dyDescent="0.15">
      <c r="D93" s="44">
        <v>1958</v>
      </c>
      <c r="E93" s="21">
        <f t="shared" si="11"/>
        <v>53.927</v>
      </c>
      <c r="F93" s="47">
        <f t="shared" si="17"/>
        <v>1.9674309999999999</v>
      </c>
      <c r="G93" s="8">
        <f t="shared" si="13"/>
        <v>8.2302713787454143E-2</v>
      </c>
      <c r="H93" s="176">
        <v>2.712008182359646</v>
      </c>
      <c r="I93" s="6">
        <f t="shared" ca="1" si="14"/>
        <v>-1.9992685484965023</v>
      </c>
      <c r="J93" s="6">
        <f t="shared" ca="1" si="12"/>
        <v>2.090736085609433</v>
      </c>
      <c r="K93" s="6">
        <f t="shared" si="15"/>
        <v>0.10471068651208466</v>
      </c>
      <c r="L93" s="242"/>
      <c r="M93" s="47">
        <v>51.256</v>
      </c>
      <c r="N93" s="47">
        <f t="shared" si="16"/>
        <v>1.95326</v>
      </c>
      <c r="O93" s="47">
        <v>2.6709999999999998</v>
      </c>
      <c r="P93" s="47">
        <f t="shared" si="16"/>
        <v>1.4171000000000001E-2</v>
      </c>
    </row>
    <row r="94" spans="4:16" x14ac:dyDescent="0.15">
      <c r="D94" s="44">
        <v>1959</v>
      </c>
      <c r="E94" s="21">
        <f t="shared" si="11"/>
        <v>52.863</v>
      </c>
      <c r="F94" s="47">
        <f t="shared" si="17"/>
        <v>2.0202939999999998</v>
      </c>
      <c r="G94" s="8">
        <f t="shared" si="13"/>
        <v>0.11836999525392532</v>
      </c>
      <c r="H94" s="176">
        <v>2.7692120668621811</v>
      </c>
      <c r="I94" s="6">
        <f t="shared" ca="1" si="14"/>
        <v>-2.0118971615174814</v>
      </c>
      <c r="J94" s="6">
        <f t="shared" ca="1" si="12"/>
        <v>2.1472861421320895</v>
      </c>
      <c r="K94" s="6">
        <f t="shared" si="15"/>
        <v>0.16151432806356592</v>
      </c>
      <c r="L94" s="242"/>
      <c r="M94" s="47">
        <v>48.726999999999997</v>
      </c>
      <c r="N94" s="47">
        <f t="shared" si="16"/>
        <v>2.0019870000000002</v>
      </c>
      <c r="O94" s="47">
        <v>4.1360000000000001</v>
      </c>
      <c r="P94" s="47">
        <f t="shared" si="16"/>
        <v>1.8307E-2</v>
      </c>
    </row>
    <row r="95" spans="4:16" x14ac:dyDescent="0.15">
      <c r="D95" s="44">
        <v>1960</v>
      </c>
      <c r="E95" s="21">
        <f t="shared" si="11"/>
        <v>57.826000000000001</v>
      </c>
      <c r="F95" s="47">
        <f t="shared" si="17"/>
        <v>2.0781199999999997</v>
      </c>
      <c r="G95" s="8">
        <f t="shared" si="13"/>
        <v>0.15800233798567881</v>
      </c>
      <c r="H95" s="176">
        <v>2.8351980557575396</v>
      </c>
      <c r="I95" s="6">
        <f t="shared" ca="1" si="14"/>
        <v>-1.926929300863776</v>
      </c>
      <c r="J95" s="6">
        <f t="shared" ca="1" si="12"/>
        <v>2.2032620067281421</v>
      </c>
      <c r="K95" s="6">
        <f t="shared" si="15"/>
        <v>0.22395355428020419</v>
      </c>
      <c r="L95" s="242"/>
      <c r="M95" s="47">
        <v>52.475999999999999</v>
      </c>
      <c r="N95" s="47">
        <f t="shared" si="16"/>
        <v>2.0544630000000002</v>
      </c>
      <c r="O95" s="47">
        <v>5.35</v>
      </c>
      <c r="P95" s="47">
        <f t="shared" si="16"/>
        <v>2.3657000000000001E-2</v>
      </c>
    </row>
    <row r="96" spans="4:16" x14ac:dyDescent="0.15">
      <c r="D96" s="44">
        <v>1961</v>
      </c>
      <c r="E96" s="21">
        <f t="shared" si="11"/>
        <v>61.677</v>
      </c>
      <c r="F96" s="47">
        <f t="shared" si="17"/>
        <v>2.1397969999999997</v>
      </c>
      <c r="G96" s="8">
        <f t="shared" si="13"/>
        <v>0.20055103691207019</v>
      </c>
      <c r="H96" s="176">
        <v>2.9120091361913487</v>
      </c>
      <c r="I96" s="6">
        <f t="shared" ca="1" si="14"/>
        <v>-1.7621237994524108</v>
      </c>
      <c r="J96" s="6">
        <f t="shared" ca="1" si="12"/>
        <v>2.2585644362636881</v>
      </c>
      <c r="K96" s="6">
        <f t="shared" si="15"/>
        <v>0.29103681565583034</v>
      </c>
      <c r="L96" s="242"/>
      <c r="M96" s="47">
        <v>55.792999999999999</v>
      </c>
      <c r="N96" s="47">
        <f t="shared" si="16"/>
        <v>2.1102560000000001</v>
      </c>
      <c r="O96" s="47">
        <v>5.8840000000000003</v>
      </c>
      <c r="P96" s="47">
        <f t="shared" si="16"/>
        <v>2.9541000000000001E-2</v>
      </c>
    </row>
    <row r="97" spans="4:16" x14ac:dyDescent="0.15">
      <c r="D97" s="44">
        <v>1962</v>
      </c>
      <c r="E97" s="21">
        <f t="shared" si="11"/>
        <v>62.954000000000001</v>
      </c>
      <c r="F97" s="47">
        <f t="shared" si="17"/>
        <v>2.2027509999999997</v>
      </c>
      <c r="G97" s="8">
        <f t="shared" si="13"/>
        <v>0.24435912909513333</v>
      </c>
      <c r="H97" s="176">
        <v>2.9973668132774041</v>
      </c>
      <c r="I97" s="6">
        <f t="shared" ca="1" si="14"/>
        <v>-1.5628413755773636</v>
      </c>
      <c r="J97" s="6">
        <f t="shared" ca="1" si="12"/>
        <v>2.313099164589056</v>
      </c>
      <c r="K97" s="6">
        <f t="shared" si="15"/>
        <v>0.36018761847525965</v>
      </c>
      <c r="L97" s="242"/>
      <c r="M97" s="47">
        <v>55.51</v>
      </c>
      <c r="N97" s="47">
        <f t="shared" si="16"/>
        <v>2.1657660000000001</v>
      </c>
      <c r="O97" s="47">
        <v>7.444</v>
      </c>
      <c r="P97" s="47">
        <f t="shared" si="16"/>
        <v>3.6985000000000004E-2</v>
      </c>
    </row>
    <row r="98" spans="4:16" x14ac:dyDescent="0.15">
      <c r="D98" s="44">
        <v>1963</v>
      </c>
      <c r="E98" s="21">
        <f t="shared" si="11"/>
        <v>61.823999999999998</v>
      </c>
      <c r="F98" s="47">
        <f t="shared" si="17"/>
        <v>2.2645749999999998</v>
      </c>
      <c r="G98" s="8">
        <f t="shared" si="13"/>
        <v>0.28784189597860099</v>
      </c>
      <c r="H98" s="176">
        <v>3.0862910255003886</v>
      </c>
      <c r="I98" s="6">
        <f t="shared" ca="1" si="14"/>
        <v>-1.37246499838011</v>
      </c>
      <c r="J98" s="6">
        <f t="shared" ca="1" si="12"/>
        <v>2.3667774870336955</v>
      </c>
      <c r="K98" s="6">
        <f t="shared" si="15"/>
        <v>0.42893596984416177</v>
      </c>
      <c r="L98" s="242"/>
      <c r="M98" s="47">
        <v>52.966000000000001</v>
      </c>
      <c r="N98" s="47">
        <f t="shared" si="16"/>
        <v>2.2187320000000001</v>
      </c>
      <c r="O98" s="47">
        <v>8.8580000000000005</v>
      </c>
      <c r="P98" s="47">
        <f t="shared" si="16"/>
        <v>4.5843000000000009E-2</v>
      </c>
    </row>
    <row r="99" spans="4:16" x14ac:dyDescent="0.15">
      <c r="D99" s="44">
        <v>1964</v>
      </c>
      <c r="E99" s="21">
        <f t="shared" si="11"/>
        <v>61.241999999999997</v>
      </c>
      <c r="F99" s="47">
        <f t="shared" si="17"/>
        <v>2.3258169999999998</v>
      </c>
      <c r="G99" s="8">
        <f t="shared" si="13"/>
        <v>0.33145866369239302</v>
      </c>
      <c r="H99" s="176">
        <v>3.1761547247334168</v>
      </c>
      <c r="I99" s="6">
        <f t="shared" ca="1" si="14"/>
        <v>-1.1784202386402285</v>
      </c>
      <c r="J99" s="6">
        <f t="shared" ca="1" si="12"/>
        <v>2.4195167619783522</v>
      </c>
      <c r="K99" s="6">
        <f t="shared" si="15"/>
        <v>0.49803578598674397</v>
      </c>
      <c r="L99" s="242"/>
      <c r="M99" s="47">
        <v>51.62</v>
      </c>
      <c r="N99" s="47">
        <f t="shared" si="16"/>
        <v>2.2703519999999999</v>
      </c>
      <c r="O99" s="47">
        <v>9.6219999999999999</v>
      </c>
      <c r="P99" s="47">
        <f t="shared" si="16"/>
        <v>5.5465000000000007E-2</v>
      </c>
    </row>
    <row r="100" spans="4:16" x14ac:dyDescent="0.15">
      <c r="D100" s="44">
        <v>1965</v>
      </c>
      <c r="E100" s="21">
        <f t="shared" si="11"/>
        <v>60.354999999999997</v>
      </c>
      <c r="F100" s="47">
        <f t="shared" si="17"/>
        <v>2.3861719999999997</v>
      </c>
      <c r="G100" s="8">
        <f t="shared" si="13"/>
        <v>0.37506951587776516</v>
      </c>
      <c r="H100" s="176">
        <v>3.2647937466995622</v>
      </c>
      <c r="I100" s="6">
        <f t="shared" ca="1" si="14"/>
        <v>-0.984537421338473</v>
      </c>
      <c r="J100" s="6">
        <f t="shared" ca="1" si="12"/>
        <v>2.4712408249555815</v>
      </c>
      <c r="K100" s="6">
        <f t="shared" si="15"/>
        <v>0.56729369025069487</v>
      </c>
      <c r="L100" s="242"/>
      <c r="M100" s="47">
        <v>50.106999999999999</v>
      </c>
      <c r="N100" s="47">
        <f t="shared" si="16"/>
        <v>2.320459</v>
      </c>
      <c r="O100" s="47">
        <v>10.247999999999999</v>
      </c>
      <c r="P100" s="47">
        <f t="shared" si="16"/>
        <v>6.5713000000000008E-2</v>
      </c>
    </row>
    <row r="101" spans="4:16" x14ac:dyDescent="0.15">
      <c r="D101" s="44">
        <v>1966</v>
      </c>
      <c r="E101" s="21">
        <f t="shared" si="11"/>
        <v>63.411999999999999</v>
      </c>
      <c r="F101" s="47">
        <f t="shared" si="17"/>
        <v>2.4495839999999998</v>
      </c>
      <c r="G101" s="8">
        <f t="shared" si="13"/>
        <v>0.42167294775003156</v>
      </c>
      <c r="H101" s="176">
        <v>3.35573503019639</v>
      </c>
      <c r="I101" s="6">
        <f t="shared" ca="1" si="14"/>
        <v>-0.7087302827142139</v>
      </c>
      <c r="J101" s="6">
        <f t="shared" ca="1" si="12"/>
        <v>2.5218803127915814</v>
      </c>
      <c r="K101" s="6">
        <f t="shared" si="15"/>
        <v>0.64151949948642051</v>
      </c>
      <c r="L101" s="242"/>
      <c r="M101" s="47">
        <v>51.798999999999999</v>
      </c>
      <c r="N101" s="47">
        <f t="shared" si="16"/>
        <v>2.372258</v>
      </c>
      <c r="O101" s="47">
        <v>11.613</v>
      </c>
      <c r="P101" s="47">
        <f t="shared" si="16"/>
        <v>7.7326000000000006E-2</v>
      </c>
    </row>
    <row r="102" spans="4:16" x14ac:dyDescent="0.15">
      <c r="D102" s="44">
        <v>1967</v>
      </c>
      <c r="E102" s="21">
        <f t="shared" si="11"/>
        <v>60.283999999999999</v>
      </c>
      <c r="F102" s="47">
        <f t="shared" si="17"/>
        <v>2.5098679999999995</v>
      </c>
      <c r="G102" s="8">
        <f t="shared" si="13"/>
        <v>0.46684201178562268</v>
      </c>
      <c r="H102" s="176">
        <v>3.4436726824753525</v>
      </c>
      <c r="I102" s="6">
        <f t="shared" ca="1" si="14"/>
        <v>-0.47219013907124463</v>
      </c>
      <c r="J102" s="6">
        <f t="shared" ca="1" si="12"/>
        <v>2.5713728973100647</v>
      </c>
      <c r="K102" s="6">
        <f t="shared" si="15"/>
        <v>0.71370235607375387</v>
      </c>
      <c r="L102" s="242"/>
      <c r="M102" s="47">
        <v>47.847999999999999</v>
      </c>
      <c r="N102" s="47">
        <f t="shared" si="16"/>
        <v>2.4201060000000001</v>
      </c>
      <c r="O102" s="47">
        <v>12.436</v>
      </c>
      <c r="P102" s="47">
        <f t="shared" si="16"/>
        <v>8.9762000000000008E-2</v>
      </c>
    </row>
    <row r="103" spans="4:16" x14ac:dyDescent="0.15">
      <c r="D103" s="44">
        <v>1968</v>
      </c>
      <c r="E103" s="21">
        <f t="shared" si="11"/>
        <v>57.144999999999996</v>
      </c>
      <c r="F103" s="47">
        <f t="shared" si="17"/>
        <v>2.5670129999999993</v>
      </c>
      <c r="G103" s="8">
        <f t="shared" si="13"/>
        <v>0.51055568310246446</v>
      </c>
      <c r="H103" s="176">
        <v>3.5251043613518847</v>
      </c>
      <c r="I103" s="6">
        <f t="shared" ca="1" si="14"/>
        <v>-0.2754925637859742</v>
      </c>
      <c r="J103" s="6">
        <f t="shared" ca="1" si="12"/>
        <v>2.6196634300096395</v>
      </c>
      <c r="K103" s="6">
        <f t="shared" si="15"/>
        <v>0.78381208524471524</v>
      </c>
      <c r="L103" s="242"/>
      <c r="M103" s="47">
        <v>46.902999999999999</v>
      </c>
      <c r="N103" s="47">
        <f t="shared" si="16"/>
        <v>2.467009</v>
      </c>
      <c r="O103" s="47">
        <v>10.242000000000001</v>
      </c>
      <c r="P103" s="47">
        <f t="shared" si="16"/>
        <v>0.10000400000000001</v>
      </c>
    </row>
    <row r="104" spans="4:16" x14ac:dyDescent="0.15">
      <c r="D104" s="44">
        <v>1969</v>
      </c>
      <c r="E104" s="21">
        <f t="shared" si="11"/>
        <v>55.213999999999999</v>
      </c>
      <c r="F104" s="47">
        <f t="shared" si="17"/>
        <v>2.6222269999999992</v>
      </c>
      <c r="G104" s="8">
        <f t="shared" si="13"/>
        <v>0.55373915354167202</v>
      </c>
      <c r="H104" s="176">
        <v>3.5991631893168363</v>
      </c>
      <c r="I104" s="6">
        <f t="shared" ca="1" si="14"/>
        <v>-9.3309672021405277E-2</v>
      </c>
      <c r="J104" s="6">
        <f t="shared" ca="1" si="12"/>
        <v>2.6667040008468148</v>
      </c>
      <c r="K104" s="6">
        <f t="shared" si="15"/>
        <v>0.8533390143279691</v>
      </c>
      <c r="L104" s="176"/>
      <c r="M104" s="47">
        <v>44.941000000000003</v>
      </c>
      <c r="N104" s="47">
        <f t="shared" si="16"/>
        <v>2.5119500000000001</v>
      </c>
      <c r="O104" s="47">
        <v>10.273</v>
      </c>
      <c r="P104" s="47">
        <f t="shared" si="16"/>
        <v>0.11027700000000001</v>
      </c>
    </row>
    <row r="105" spans="4:16" x14ac:dyDescent="0.15">
      <c r="D105" s="44">
        <v>1970</v>
      </c>
      <c r="E105" s="21">
        <f t="shared" ref="E105:E136" si="18">SUM(M105,O105)</f>
        <v>52.284999999999997</v>
      </c>
      <c r="F105" s="47">
        <f t="shared" si="17"/>
        <v>2.6745119999999991</v>
      </c>
      <c r="G105" s="8">
        <f t="shared" si="13"/>
        <v>0.59560530404448786</v>
      </c>
      <c r="H105" s="176">
        <v>3.6643224339179534</v>
      </c>
      <c r="I105" s="6">
        <f t="shared" ca="1" si="14"/>
        <v>5.2810506952027936E-2</v>
      </c>
      <c r="J105" s="6">
        <f t="shared" ca="1" si="12"/>
        <v>2.7124539157653391</v>
      </c>
      <c r="K105" s="6">
        <f t="shared" si="15"/>
        <v>0.92101946700377213</v>
      </c>
      <c r="L105" s="242"/>
      <c r="M105" s="47">
        <v>39.890999999999998</v>
      </c>
      <c r="N105" s="47">
        <f t="shared" si="16"/>
        <v>2.551841</v>
      </c>
      <c r="O105" s="47">
        <v>12.394</v>
      </c>
      <c r="P105" s="47">
        <f t="shared" si="16"/>
        <v>0.12267100000000002</v>
      </c>
    </row>
    <row r="106" spans="4:16" x14ac:dyDescent="0.15">
      <c r="D106" s="44">
        <v>1971</v>
      </c>
      <c r="E106" s="21">
        <f t="shared" si="18"/>
        <v>46.350999999999999</v>
      </c>
      <c r="F106" s="47">
        <f t="shared" si="17"/>
        <v>2.7208629999999991</v>
      </c>
      <c r="G106" s="8">
        <f t="shared" si="13"/>
        <v>0.63361142228203893</v>
      </c>
      <c r="H106" s="176">
        <v>3.716809860851165</v>
      </c>
      <c r="I106" s="6">
        <f t="shared" ca="1" si="14"/>
        <v>9.3259139399606283E-2</v>
      </c>
      <c r="J106" s="6">
        <f t="shared" ca="1" si="12"/>
        <v>2.7568795988792956</v>
      </c>
      <c r="K106" s="6">
        <f t="shared" si="15"/>
        <v>0.9827095476128429</v>
      </c>
      <c r="L106" s="242"/>
      <c r="M106" s="47">
        <v>33.566000000000003</v>
      </c>
      <c r="N106" s="47">
        <f t="shared" si="16"/>
        <v>2.585407</v>
      </c>
      <c r="O106" s="47">
        <v>12.785</v>
      </c>
      <c r="P106" s="47">
        <f t="shared" si="16"/>
        <v>0.13545600000000002</v>
      </c>
    </row>
    <row r="107" spans="4:16" x14ac:dyDescent="0.15">
      <c r="D107" s="44">
        <v>1972</v>
      </c>
      <c r="E107" s="21">
        <f t="shared" si="18"/>
        <v>40.603000000000002</v>
      </c>
      <c r="F107" s="47">
        <f t="shared" si="17"/>
        <v>2.7614659999999991</v>
      </c>
      <c r="G107" s="8">
        <f t="shared" si="13"/>
        <v>0.66767171160590344</v>
      </c>
      <c r="H107" s="176">
        <v>3.7548077659212411</v>
      </c>
      <c r="I107" s="6">
        <f t="shared" ca="1" si="14"/>
        <v>2.568747176155739E-2</v>
      </c>
      <c r="J107" s="6">
        <f t="shared" ca="1" si="12"/>
        <v>2.7999544262248035</v>
      </c>
      <c r="K107" s="6">
        <f t="shared" si="15"/>
        <v>1.0382078194652884</v>
      </c>
      <c r="L107" s="242"/>
      <c r="M107" s="47">
        <v>28.2</v>
      </c>
      <c r="N107" s="47">
        <f t="shared" si="16"/>
        <v>2.613607</v>
      </c>
      <c r="O107" s="47">
        <v>12.403</v>
      </c>
      <c r="P107" s="47">
        <f t="shared" si="16"/>
        <v>0.14785900000000002</v>
      </c>
    </row>
    <row r="108" spans="4:16" x14ac:dyDescent="0.15">
      <c r="D108" s="44">
        <v>1973</v>
      </c>
      <c r="E108" s="21">
        <f t="shared" si="18"/>
        <v>36.070999999999998</v>
      </c>
      <c r="F108" s="47">
        <f t="shared" si="17"/>
        <v>2.7975369999999993</v>
      </c>
      <c r="G108" s="8">
        <f t="shared" si="13"/>
        <v>0.69859286239979612</v>
      </c>
      <c r="H108" s="176">
        <v>3.7787086455051155</v>
      </c>
      <c r="I108" s="6">
        <f t="shared" ca="1" si="14"/>
        <v>-0.12782068563228677</v>
      </c>
      <c r="J108" s="6">
        <f t="shared" ca="1" si="12"/>
        <v>2.8416584987373983</v>
      </c>
      <c r="K108" s="6">
        <f t="shared" si="15"/>
        <v>1.0887729577759955</v>
      </c>
      <c r="L108" s="242"/>
      <c r="M108" s="47">
        <v>22.5</v>
      </c>
      <c r="N108" s="47">
        <f t="shared" si="16"/>
        <v>2.636107</v>
      </c>
      <c r="O108" s="47">
        <v>13.571</v>
      </c>
      <c r="P108" s="47">
        <f t="shared" si="16"/>
        <v>0.16143000000000002</v>
      </c>
    </row>
    <row r="109" spans="4:16" x14ac:dyDescent="0.15">
      <c r="D109" s="44">
        <v>1974</v>
      </c>
      <c r="E109" s="21">
        <f t="shared" si="18"/>
        <v>35.698</v>
      </c>
      <c r="F109" s="47">
        <f t="shared" si="17"/>
        <v>2.8332349999999993</v>
      </c>
      <c r="G109" s="8">
        <f t="shared" si="13"/>
        <v>0.72986638198919773</v>
      </c>
      <c r="H109" s="176">
        <v>3.7923601073749231</v>
      </c>
      <c r="I109" s="6">
        <f t="shared" ca="1" si="14"/>
        <v>-0.27168245848565675</v>
      </c>
      <c r="J109" s="6">
        <f t="shared" ca="1" si="12"/>
        <v>2.8819783625941047</v>
      </c>
      <c r="K109" s="6">
        <f t="shared" si="15"/>
        <v>1.1400966005821067</v>
      </c>
      <c r="L109" s="242"/>
      <c r="M109" s="47">
        <v>20.408000000000001</v>
      </c>
      <c r="N109" s="47">
        <f t="shared" si="16"/>
        <v>2.6565150000000002</v>
      </c>
      <c r="O109" s="47">
        <v>15.29</v>
      </c>
      <c r="P109" s="47">
        <f t="shared" si="16"/>
        <v>0.17672000000000002</v>
      </c>
    </row>
    <row r="110" spans="4:16" x14ac:dyDescent="0.15">
      <c r="D110" s="44">
        <v>1975</v>
      </c>
      <c r="E110" s="21">
        <f t="shared" si="18"/>
        <v>36.644999999999996</v>
      </c>
      <c r="F110" s="47">
        <f t="shared" si="17"/>
        <v>2.8698799999999993</v>
      </c>
      <c r="G110" s="8">
        <f t="shared" si="13"/>
        <v>0.76273021063793867</v>
      </c>
      <c r="H110" s="176">
        <v>3.7994643439507341</v>
      </c>
      <c r="I110" s="6">
        <f t="shared" ca="1" si="14"/>
        <v>-0.37200821759483915</v>
      </c>
      <c r="J110" s="6">
        <f t="shared" ca="1" si="12"/>
        <v>2.9209066852946783</v>
      </c>
      <c r="K110" s="6">
        <f t="shared" si="15"/>
        <v>1.1942337734188215</v>
      </c>
      <c r="L110" s="242"/>
      <c r="M110" s="47">
        <v>19.059999999999999</v>
      </c>
      <c r="N110" s="47">
        <f t="shared" si="16"/>
        <v>2.6755750000000003</v>
      </c>
      <c r="O110" s="47">
        <v>17.585000000000001</v>
      </c>
      <c r="P110" s="47">
        <f t="shared" si="16"/>
        <v>0.19430500000000001</v>
      </c>
    </row>
    <row r="111" spans="4:16" x14ac:dyDescent="0.15">
      <c r="D111" s="44">
        <v>1976</v>
      </c>
      <c r="E111" s="21">
        <f t="shared" si="18"/>
        <v>34.877000000000002</v>
      </c>
      <c r="F111" s="47">
        <f t="shared" si="17"/>
        <v>2.9047569999999991</v>
      </c>
      <c r="G111" s="8">
        <f t="shared" si="13"/>
        <v>0.79479229313674493</v>
      </c>
      <c r="H111" s="176">
        <v>3.800961343684345</v>
      </c>
      <c r="I111" s="6">
        <f t="shared" ca="1" si="14"/>
        <v>-0.49428243458260113</v>
      </c>
      <c r="J111" s="6">
        <f t="shared" ca="1" si="12"/>
        <v>2.9584418958667671</v>
      </c>
      <c r="K111" s="6">
        <f t="shared" si="15"/>
        <v>1.2472567933396064</v>
      </c>
      <c r="L111" s="242"/>
      <c r="M111" s="47">
        <v>18.449000000000002</v>
      </c>
      <c r="N111" s="47">
        <f t="shared" si="16"/>
        <v>2.6940240000000002</v>
      </c>
      <c r="O111" s="47">
        <v>16.428000000000001</v>
      </c>
      <c r="P111" s="47">
        <f t="shared" si="16"/>
        <v>0.210733</v>
      </c>
    </row>
    <row r="112" spans="4:16" x14ac:dyDescent="0.15">
      <c r="D112" s="44">
        <v>1977</v>
      </c>
      <c r="E112" s="21">
        <f t="shared" si="18"/>
        <v>35.536000000000001</v>
      </c>
      <c r="F112" s="47">
        <f t="shared" si="17"/>
        <v>2.9402929999999992</v>
      </c>
      <c r="G112" s="8">
        <f t="shared" si="13"/>
        <v>0.82832329371519908</v>
      </c>
      <c r="H112" s="176">
        <v>3.7991657096202203</v>
      </c>
      <c r="I112" s="6">
        <f t="shared" ca="1" si="14"/>
        <v>-0.57634381537400259</v>
      </c>
      <c r="J112" s="6">
        <f t="shared" ca="1" si="12"/>
        <v>2.9945877973913682</v>
      </c>
      <c r="K112" s="6">
        <f t="shared" si="15"/>
        <v>1.3029324578073189</v>
      </c>
      <c r="L112" s="242"/>
      <c r="M112" s="47">
        <v>18.303000000000001</v>
      </c>
      <c r="N112" s="47">
        <f t="shared" si="16"/>
        <v>2.7123270000000002</v>
      </c>
      <c r="O112" s="47">
        <v>17.233000000000001</v>
      </c>
      <c r="P112" s="47">
        <f t="shared" si="16"/>
        <v>0.227966</v>
      </c>
    </row>
    <row r="113" spans="4:16" x14ac:dyDescent="0.15">
      <c r="D113" s="44">
        <v>1978</v>
      </c>
      <c r="E113" s="21">
        <f t="shared" si="18"/>
        <v>37.084999999999994</v>
      </c>
      <c r="F113" s="47">
        <f t="shared" si="17"/>
        <v>2.977377999999999</v>
      </c>
      <c r="G113" s="8">
        <f t="shared" si="13"/>
        <v>0.86433922317017375</v>
      </c>
      <c r="H113" s="176">
        <v>3.7963585668197095</v>
      </c>
      <c r="I113" s="6">
        <f t="shared" ca="1" si="14"/>
        <v>-0.59037823179232873</v>
      </c>
      <c r="J113" s="6">
        <f t="shared" ca="1" si="12"/>
        <v>3.0293531596880392</v>
      </c>
      <c r="K113" s="6">
        <f t="shared" si="15"/>
        <v>1.3629936199683679</v>
      </c>
      <c r="L113" s="242"/>
      <c r="M113" s="47">
        <v>19.030999999999999</v>
      </c>
      <c r="N113" s="47">
        <f t="shared" si="16"/>
        <v>2.7313580000000002</v>
      </c>
      <c r="O113" s="47">
        <v>18.053999999999998</v>
      </c>
      <c r="P113" s="47">
        <f t="shared" si="16"/>
        <v>0.24601999999999999</v>
      </c>
    </row>
    <row r="114" spans="4:16" x14ac:dyDescent="0.15">
      <c r="D114" s="44">
        <v>1979</v>
      </c>
      <c r="E114" s="21">
        <f t="shared" si="18"/>
        <v>35.884</v>
      </c>
      <c r="F114" s="47">
        <f t="shared" si="17"/>
        <v>3.0132619999999988</v>
      </c>
      <c r="G114" s="8">
        <f t="shared" si="13"/>
        <v>0.9002895398521189</v>
      </c>
      <c r="H114" s="244">
        <v>3.7927238265624656</v>
      </c>
      <c r="I114" s="6">
        <f t="shared" ca="1" si="14"/>
        <v>-0.60620885164144056</v>
      </c>
      <c r="J114" s="6">
        <f t="shared" ca="1" si="12"/>
        <v>3.0627512995057127</v>
      </c>
      <c r="K114" s="6">
        <f t="shared" si="15"/>
        <v>1.4232175700158289</v>
      </c>
      <c r="L114" s="242"/>
      <c r="M114" s="47">
        <v>17.675999999999998</v>
      </c>
      <c r="N114" s="47">
        <f t="shared" si="16"/>
        <v>2.749034</v>
      </c>
      <c r="O114" s="47">
        <v>18.207999999999998</v>
      </c>
      <c r="P114" s="47">
        <f t="shared" si="16"/>
        <v>0.26422799999999996</v>
      </c>
    </row>
    <row r="115" spans="4:16" x14ac:dyDescent="0.15">
      <c r="D115" s="44">
        <v>1980</v>
      </c>
      <c r="E115" s="21">
        <f t="shared" si="18"/>
        <v>36.676000000000002</v>
      </c>
      <c r="F115" s="47">
        <f t="shared" si="17"/>
        <v>3.0499379999999987</v>
      </c>
      <c r="G115" s="8">
        <f t="shared" si="13"/>
        <v>0.93827745537055962</v>
      </c>
      <c r="H115" s="6">
        <v>3.7895399003784944</v>
      </c>
      <c r="I115" s="6">
        <f t="shared" ca="1" si="14"/>
        <v>-0.56625853354648825</v>
      </c>
      <c r="J115" s="6">
        <f t="shared" ca="1" si="12"/>
        <v>3.0947996549666557</v>
      </c>
      <c r="K115" s="6">
        <f t="shared" si="15"/>
        <v>1.4871536469649433</v>
      </c>
      <c r="L115" s="6"/>
      <c r="M115" s="56">
        <v>18.052</v>
      </c>
      <c r="N115" s="47">
        <f t="shared" si="16"/>
        <v>2.7670859999999999</v>
      </c>
      <c r="O115" s="47">
        <v>18.623999999999999</v>
      </c>
      <c r="P115" s="47">
        <f t="shared" si="16"/>
        <v>0.28285199999999994</v>
      </c>
    </row>
    <row r="116" spans="4:16" x14ac:dyDescent="0.15">
      <c r="D116" s="45">
        <v>1981</v>
      </c>
      <c r="E116" s="21">
        <f t="shared" si="18"/>
        <v>37.56</v>
      </c>
      <c r="F116" s="47">
        <f t="shared" si="17"/>
        <v>3.0874979999999987</v>
      </c>
      <c r="G116" s="8">
        <f t="shared" si="13"/>
        <v>0.97863833799536293</v>
      </c>
      <c r="H116" s="55">
        <v>3.787863213519461</v>
      </c>
      <c r="I116" s="6">
        <f t="shared" ca="1" si="14"/>
        <v>-0.46134629628795665</v>
      </c>
      <c r="J116" s="6">
        <f t="shared" ca="1" si="12"/>
        <v>3.1255193603388891</v>
      </c>
      <c r="K116" s="6">
        <f t="shared" si="15"/>
        <v>1.5554216506152256</v>
      </c>
      <c r="L116" s="242"/>
      <c r="M116" s="56">
        <v>17.690000000000001</v>
      </c>
      <c r="N116" s="47">
        <f t="shared" si="16"/>
        <v>2.7847759999999999</v>
      </c>
      <c r="O116" s="56">
        <v>19.87</v>
      </c>
      <c r="P116" s="47">
        <f t="shared" si="16"/>
        <v>0.30272199999999994</v>
      </c>
    </row>
    <row r="117" spans="4:16" x14ac:dyDescent="0.15">
      <c r="D117" s="44">
        <v>1982</v>
      </c>
      <c r="E117" s="21">
        <f t="shared" si="18"/>
        <v>37.730000000000004</v>
      </c>
      <c r="F117" s="47">
        <f t="shared" si="17"/>
        <v>3.1252279999999986</v>
      </c>
      <c r="G117" s="8">
        <f t="shared" si="13"/>
        <v>1.0208542415803115</v>
      </c>
      <c r="H117" s="55">
        <v>3.7881316589996046</v>
      </c>
      <c r="I117" s="6">
        <f t="shared" ca="1" si="14"/>
        <v>-0.30565134007156303</v>
      </c>
      <c r="J117" s="6">
        <f t="shared" ca="1" si="12"/>
        <v>3.1549348264949284</v>
      </c>
      <c r="K117" s="6">
        <f t="shared" si="15"/>
        <v>1.6271993224420729</v>
      </c>
      <c r="L117" s="242"/>
      <c r="M117" s="56">
        <v>17.61</v>
      </c>
      <c r="N117" s="47">
        <f t="shared" si="16"/>
        <v>2.8023859999999998</v>
      </c>
      <c r="O117" s="56">
        <v>20.12</v>
      </c>
      <c r="P117" s="47">
        <f t="shared" si="16"/>
        <v>0.32284199999999996</v>
      </c>
    </row>
    <row r="118" spans="4:16" x14ac:dyDescent="0.15">
      <c r="D118" s="44">
        <v>1983</v>
      </c>
      <c r="E118" s="21">
        <f t="shared" si="18"/>
        <v>36.92</v>
      </c>
      <c r="F118" s="47">
        <f t="shared" si="17"/>
        <v>3.1621479999999984</v>
      </c>
      <c r="G118" s="8">
        <f t="shared" si="13"/>
        <v>1.0640037450088642</v>
      </c>
      <c r="H118" s="55">
        <v>3.7901255894088561</v>
      </c>
      <c r="I118" s="6">
        <f t="shared" ca="1" si="14"/>
        <v>-0.12439832305926757</v>
      </c>
      <c r="J118" s="6">
        <f t="shared" ca="1" si="12"/>
        <v>3.1830733316776003</v>
      </c>
      <c r="K118" s="6">
        <f t="shared" si="15"/>
        <v>1.7009532809956109</v>
      </c>
      <c r="L118" s="242"/>
      <c r="M118" s="56">
        <v>17.059999999999999</v>
      </c>
      <c r="N118" s="47">
        <f t="shared" si="16"/>
        <v>2.8194459999999997</v>
      </c>
      <c r="O118" s="56">
        <v>19.86</v>
      </c>
      <c r="P118" s="47">
        <f t="shared" si="16"/>
        <v>0.34270199999999995</v>
      </c>
    </row>
    <row r="119" spans="4:16" x14ac:dyDescent="0.15">
      <c r="D119" s="44">
        <v>1984</v>
      </c>
      <c r="E119" s="21">
        <f t="shared" si="18"/>
        <v>38.019999999999996</v>
      </c>
      <c r="F119" s="47">
        <f t="shared" si="17"/>
        <v>3.2001679999999983</v>
      </c>
      <c r="G119" s="8">
        <f t="shared" si="13"/>
        <v>1.11061355400496</v>
      </c>
      <c r="H119" s="55">
        <v>3.7946701888880998</v>
      </c>
      <c r="I119" s="6">
        <f t="shared" ca="1" si="14"/>
        <v>0.15158339455592795</v>
      </c>
      <c r="J119" s="6">
        <f t="shared" ca="1" si="12"/>
        <v>3.2099646264592834</v>
      </c>
      <c r="K119" s="6">
        <f t="shared" si="15"/>
        <v>1.7810539461611417</v>
      </c>
      <c r="L119" s="242"/>
      <c r="M119" s="56">
        <v>16.649999999999999</v>
      </c>
      <c r="N119" s="47">
        <f t="shared" si="16"/>
        <v>2.8360959999999995</v>
      </c>
      <c r="O119" s="56">
        <v>21.37</v>
      </c>
      <c r="P119" s="47">
        <f t="shared" si="16"/>
        <v>0.36407199999999995</v>
      </c>
    </row>
    <row r="120" spans="4:16" x14ac:dyDescent="0.15">
      <c r="D120" s="44">
        <v>1985</v>
      </c>
      <c r="E120" s="21">
        <f t="shared" si="18"/>
        <v>38.92</v>
      </c>
      <c r="F120" s="47">
        <f t="shared" si="17"/>
        <v>3.2390879999999984</v>
      </c>
      <c r="G120" s="8">
        <f t="shared" si="13"/>
        <v>1.1609678015098175</v>
      </c>
      <c r="H120" s="166">
        <v>3.8022843412880287</v>
      </c>
      <c r="I120" s="6">
        <f t="shared" ca="1" si="14"/>
        <v>0.53007218488437502</v>
      </c>
      <c r="J120" s="6">
        <f t="shared" ca="1" si="12"/>
        <v>3.235640556067561</v>
      </c>
      <c r="K120" s="6">
        <f t="shared" si="15"/>
        <v>1.8680752183367617</v>
      </c>
      <c r="L120" s="242"/>
      <c r="M120" s="56">
        <v>16.38</v>
      </c>
      <c r="N120" s="47">
        <f t="shared" si="16"/>
        <v>2.8524759999999993</v>
      </c>
      <c r="O120" s="56">
        <v>22.54</v>
      </c>
      <c r="P120" s="47">
        <f t="shared" si="16"/>
        <v>0.38661199999999996</v>
      </c>
    </row>
    <row r="121" spans="4:16" x14ac:dyDescent="0.15">
      <c r="D121" s="44">
        <v>1986</v>
      </c>
      <c r="E121" s="21">
        <f t="shared" si="18"/>
        <v>40.260000000000005</v>
      </c>
      <c r="F121" s="47">
        <f t="shared" si="17"/>
        <v>3.2793479999999984</v>
      </c>
      <c r="G121" s="8">
        <f t="shared" si="13"/>
        <v>1.2163555866317639</v>
      </c>
      <c r="H121" s="166">
        <v>3.8135828123650319</v>
      </c>
      <c r="I121" s="6">
        <f t="shared" ca="1" si="14"/>
        <v>1.0463581924225309</v>
      </c>
      <c r="J121" s="6">
        <f t="shared" ca="1" si="12"/>
        <v>3.2601347025729739</v>
      </c>
      <c r="K121" s="6">
        <f t="shared" si="15"/>
        <v>1.9643431683433994</v>
      </c>
      <c r="L121" s="242"/>
      <c r="M121" s="56">
        <v>16.010000000000002</v>
      </c>
      <c r="N121" s="47">
        <f t="shared" si="16"/>
        <v>2.8684859999999994</v>
      </c>
      <c r="O121" s="56">
        <v>24.25</v>
      </c>
      <c r="P121" s="47">
        <f t="shared" si="16"/>
        <v>0.41086199999999995</v>
      </c>
    </row>
    <row r="122" spans="4:16" x14ac:dyDescent="0.15">
      <c r="D122" s="44">
        <v>1987</v>
      </c>
      <c r="E122" s="21">
        <f t="shared" si="18"/>
        <v>37.32</v>
      </c>
      <c r="F122" s="47">
        <f t="shared" si="17"/>
        <v>3.3166679999999982</v>
      </c>
      <c r="G122" s="8">
        <f t="shared" si="13"/>
        <v>1.271259487237419</v>
      </c>
      <c r="H122" s="166">
        <v>3.8265648023139343</v>
      </c>
      <c r="I122" s="6">
        <f t="shared" ca="1" si="14"/>
        <v>1.5493974647877167</v>
      </c>
      <c r="J122" s="6">
        <f t="shared" ca="1" si="12"/>
        <v>3.2834820488043732</v>
      </c>
      <c r="K122" s="6">
        <f t="shared" si="15"/>
        <v>2.0602852984562361</v>
      </c>
      <c r="L122" s="242"/>
      <c r="M122" s="56">
        <v>13.05</v>
      </c>
      <c r="N122" s="47">
        <f t="shared" si="16"/>
        <v>2.8815359999999992</v>
      </c>
      <c r="O122" s="56">
        <v>24.27</v>
      </c>
      <c r="P122" s="47">
        <f t="shared" si="16"/>
        <v>0.43513199999999996</v>
      </c>
    </row>
    <row r="123" spans="4:16" x14ac:dyDescent="0.15">
      <c r="D123" s="44">
        <v>1988</v>
      </c>
      <c r="E123" s="21">
        <f t="shared" si="18"/>
        <v>35.53</v>
      </c>
      <c r="F123" s="47">
        <f t="shared" si="17"/>
        <v>3.3521979999999982</v>
      </c>
      <c r="G123" s="8">
        <f t="shared" si="13"/>
        <v>1.3273507018895445</v>
      </c>
      <c r="H123" s="166">
        <v>3.8402495740591704</v>
      </c>
      <c r="I123" s="6">
        <f t="shared" ca="1" si="14"/>
        <v>2.0849404321691054</v>
      </c>
      <c r="J123" s="6">
        <f t="shared" ca="1" si="12"/>
        <v>3.3057186652823094</v>
      </c>
      <c r="K123" s="6">
        <f t="shared" si="15"/>
        <v>2.1587610172650762</v>
      </c>
      <c r="L123" s="242"/>
      <c r="M123" s="56">
        <v>11.23</v>
      </c>
      <c r="N123" s="47">
        <f t="shared" si="16"/>
        <v>2.8927659999999991</v>
      </c>
      <c r="O123" s="56">
        <v>24.3</v>
      </c>
      <c r="P123" s="47">
        <f t="shared" si="16"/>
        <v>0.45943199999999995</v>
      </c>
    </row>
    <row r="124" spans="4:16" x14ac:dyDescent="0.15">
      <c r="D124" s="44">
        <v>1989</v>
      </c>
      <c r="E124" s="21">
        <f t="shared" si="18"/>
        <v>30.979999999999997</v>
      </c>
      <c r="F124" s="47">
        <f t="shared" si="17"/>
        <v>3.3831779999999982</v>
      </c>
      <c r="G124" s="8">
        <f t="shared" si="13"/>
        <v>1.3799130902815946</v>
      </c>
      <c r="H124" s="166">
        <v>3.8524108275863078</v>
      </c>
      <c r="I124" s="6">
        <f t="shared" ca="1" si="14"/>
        <v>2.5238788888373165</v>
      </c>
      <c r="J124" s="6">
        <f t="shared" ca="1" si="12"/>
        <v>3.3268814209457798</v>
      </c>
      <c r="K124" s="6">
        <f t="shared" si="15"/>
        <v>2.2513818877256981</v>
      </c>
      <c r="L124" s="242"/>
      <c r="M124" s="56">
        <v>10.19</v>
      </c>
      <c r="N124" s="47">
        <f t="shared" si="16"/>
        <v>2.9029559999999992</v>
      </c>
      <c r="O124" s="56">
        <v>20.79</v>
      </c>
      <c r="P124" s="47">
        <f t="shared" si="16"/>
        <v>0.48022199999999993</v>
      </c>
    </row>
    <row r="125" spans="4:16" x14ac:dyDescent="0.15">
      <c r="D125" s="44">
        <v>1990</v>
      </c>
      <c r="E125" s="21">
        <f t="shared" si="18"/>
        <v>25.479999999999997</v>
      </c>
      <c r="F125" s="47">
        <f t="shared" si="17"/>
        <v>3.4086579999999982</v>
      </c>
      <c r="G125" s="8">
        <f t="shared" si="13"/>
        <v>1.4261917325279603</v>
      </c>
      <c r="H125" s="166">
        <v>3.8610719214284459</v>
      </c>
      <c r="I125" s="6">
        <f t="shared" ca="1" si="14"/>
        <v>2.7907946452901342</v>
      </c>
      <c r="J125" s="6">
        <f t="shared" ca="1" si="12"/>
        <v>3.3470077179948654</v>
      </c>
      <c r="K125" s="6">
        <f t="shared" si="15"/>
        <v>2.3331287084296362</v>
      </c>
      <c r="L125" s="242"/>
      <c r="M125" s="56">
        <v>8.26</v>
      </c>
      <c r="N125" s="47">
        <f t="shared" si="16"/>
        <v>2.9112159999999991</v>
      </c>
      <c r="O125" s="56">
        <v>17.22</v>
      </c>
      <c r="P125" s="47">
        <f t="shared" si="16"/>
        <v>0.49744199999999994</v>
      </c>
    </row>
    <row r="126" spans="4:16" x14ac:dyDescent="0.15">
      <c r="D126" s="44">
        <v>1991</v>
      </c>
      <c r="E126" s="21">
        <f t="shared" si="18"/>
        <v>23.11</v>
      </c>
      <c r="F126" s="47">
        <f t="shared" si="17"/>
        <v>3.4317679999999982</v>
      </c>
      <c r="G126" s="8">
        <f t="shared" si="13"/>
        <v>1.4709810660842022</v>
      </c>
      <c r="H126" s="166">
        <v>3.8664730451948146</v>
      </c>
      <c r="I126" s="6">
        <f t="shared" ca="1" si="14"/>
        <v>3.0169393558751381</v>
      </c>
      <c r="J126" s="6">
        <f t="shared" ca="1" si="12"/>
        <v>3.3661352507814168</v>
      </c>
      <c r="K126" s="6">
        <f t="shared" si="15"/>
        <v>2.4123495328489408</v>
      </c>
      <c r="L126" s="242"/>
      <c r="M126" s="56">
        <v>8.0500000000000007</v>
      </c>
      <c r="N126" s="47">
        <f t="shared" si="16"/>
        <v>2.919265999999999</v>
      </c>
      <c r="O126" s="56">
        <v>15.06</v>
      </c>
      <c r="P126" s="47">
        <f t="shared" si="16"/>
        <v>0.5125019999999999</v>
      </c>
    </row>
    <row r="127" spans="4:16" x14ac:dyDescent="0.15">
      <c r="D127" s="44">
        <v>1992</v>
      </c>
      <c r="E127" s="21">
        <f t="shared" si="18"/>
        <v>19.57</v>
      </c>
      <c r="F127" s="47">
        <f t="shared" si="17"/>
        <v>3.451337999999998</v>
      </c>
      <c r="G127" s="8">
        <f t="shared" si="13"/>
        <v>1.5113598480785726</v>
      </c>
      <c r="H127" s="166">
        <v>3.8683503695117896</v>
      </c>
      <c r="I127" s="6">
        <f t="shared" ca="1" si="14"/>
        <v>3.122341603043651</v>
      </c>
      <c r="J127" s="6">
        <f t="shared" ca="1" si="12"/>
        <v>3.38430178835045</v>
      </c>
      <c r="K127" s="6">
        <f t="shared" si="15"/>
        <v>2.4837932026686098</v>
      </c>
      <c r="L127" s="242"/>
      <c r="M127" s="56">
        <v>7.6</v>
      </c>
      <c r="N127" s="47">
        <f t="shared" si="16"/>
        <v>2.9268659999999991</v>
      </c>
      <c r="O127" s="56">
        <v>11.97</v>
      </c>
      <c r="P127" s="47">
        <f t="shared" si="16"/>
        <v>0.52447199999999994</v>
      </c>
    </row>
    <row r="128" spans="4:16" x14ac:dyDescent="0.15">
      <c r="D128" s="44">
        <v>1993</v>
      </c>
      <c r="E128" s="21">
        <f t="shared" si="18"/>
        <v>16.66</v>
      </c>
      <c r="F128" s="47">
        <f t="shared" si="17"/>
        <v>3.4679979999999979</v>
      </c>
      <c r="G128" s="8">
        <f t="shared" si="13"/>
        <v>1.5477875506026582</v>
      </c>
      <c r="H128" s="166">
        <v>3.866880064655263</v>
      </c>
      <c r="I128" s="6">
        <f t="shared" ca="1" si="14"/>
        <v>3.1195798118369567</v>
      </c>
      <c r="J128" s="6">
        <f t="shared" ca="1" si="12"/>
        <v>3.4015449799632465</v>
      </c>
      <c r="K128" s="6">
        <f t="shared" si="15"/>
        <v>2.5482110539033869</v>
      </c>
      <c r="L128" s="242"/>
      <c r="M128" s="56">
        <v>7.22</v>
      </c>
      <c r="N128" s="47">
        <f t="shared" si="16"/>
        <v>2.9340859999999989</v>
      </c>
      <c r="O128" s="56">
        <v>9.44</v>
      </c>
      <c r="P128" s="47">
        <f t="shared" si="16"/>
        <v>0.53391199999999994</v>
      </c>
    </row>
    <row r="129" spans="4:16" x14ac:dyDescent="0.15">
      <c r="D129" s="44">
        <v>1994</v>
      </c>
      <c r="E129" s="21">
        <f t="shared" si="18"/>
        <v>14.370000000000001</v>
      </c>
      <c r="F129" s="47">
        <f t="shared" si="17"/>
        <v>3.4823679999999979</v>
      </c>
      <c r="G129" s="8">
        <f t="shared" si="13"/>
        <v>1.5809458521552104</v>
      </c>
      <c r="H129" s="166">
        <v>3.8624903297740141</v>
      </c>
      <c r="I129" s="6">
        <f t="shared" ca="1" si="14"/>
        <v>3.0273154897877248</v>
      </c>
      <c r="J129" s="6">
        <f t="shared" ca="1" si="12"/>
        <v>3.4179021827154519</v>
      </c>
      <c r="K129" s="6">
        <f t="shared" si="15"/>
        <v>2.6067734289711648</v>
      </c>
      <c r="L129" s="242"/>
      <c r="M129" s="56">
        <v>6.93</v>
      </c>
      <c r="N129" s="47">
        <f t="shared" si="16"/>
        <v>2.941015999999999</v>
      </c>
      <c r="O129" s="56">
        <v>7.44</v>
      </c>
      <c r="P129" s="47">
        <f t="shared" si="16"/>
        <v>0.54135199999999994</v>
      </c>
    </row>
    <row r="130" spans="4:16" x14ac:dyDescent="0.15">
      <c r="D130" s="44">
        <v>1995</v>
      </c>
      <c r="E130" s="21">
        <f t="shared" si="18"/>
        <v>11.98</v>
      </c>
      <c r="F130" s="47">
        <f t="shared" si="17"/>
        <v>3.4943479999999978</v>
      </c>
      <c r="G130" s="8">
        <f t="shared" si="13"/>
        <v>1.6099817164000432</v>
      </c>
      <c r="H130" s="166">
        <v>3.8555188898228301</v>
      </c>
      <c r="I130" s="6">
        <f t="shared" ca="1" si="14"/>
        <v>2.8221960681369183</v>
      </c>
      <c r="J130" s="6">
        <f t="shared" ca="1" si="12"/>
        <v>3.4334103101950531</v>
      </c>
      <c r="K130" s="6">
        <f t="shared" si="15"/>
        <v>2.657962625103869</v>
      </c>
      <c r="L130" s="242"/>
      <c r="M130" s="56">
        <v>6.26</v>
      </c>
      <c r="N130" s="47">
        <f t="shared" si="16"/>
        <v>2.9472759999999991</v>
      </c>
      <c r="O130" s="56">
        <v>5.72</v>
      </c>
      <c r="P130" s="47">
        <f t="shared" si="16"/>
        <v>0.54707199999999989</v>
      </c>
    </row>
    <row r="131" spans="4:16" x14ac:dyDescent="0.15">
      <c r="D131" s="44">
        <v>1996</v>
      </c>
      <c r="E131" s="21">
        <f t="shared" si="18"/>
        <v>11.43</v>
      </c>
      <c r="F131" s="47">
        <f t="shared" si="17"/>
        <v>3.5057779999999976</v>
      </c>
      <c r="G131" s="8">
        <f t="shared" si="13"/>
        <v>1.6390100534305883</v>
      </c>
      <c r="H131" s="166">
        <v>3.8467803648226906</v>
      </c>
      <c r="I131" s="6">
        <f t="shared" ca="1" si="14"/>
        <v>2.6168705828265502</v>
      </c>
      <c r="J131" s="6">
        <f t="shared" ca="1" si="12"/>
        <v>3.4481057010009581</v>
      </c>
      <c r="K131" s="6">
        <f t="shared" si="15"/>
        <v>2.7090202770179448</v>
      </c>
      <c r="L131" s="242"/>
      <c r="M131" s="56">
        <v>6.48</v>
      </c>
      <c r="N131" s="47">
        <f t="shared" si="16"/>
        <v>2.9537559999999989</v>
      </c>
      <c r="O131" s="56">
        <v>4.95</v>
      </c>
      <c r="P131" s="47">
        <f t="shared" si="16"/>
        <v>0.5520219999999999</v>
      </c>
    </row>
    <row r="132" spans="4:16" x14ac:dyDescent="0.15">
      <c r="D132" s="44">
        <v>1997</v>
      </c>
      <c r="E132" s="21">
        <f t="shared" si="18"/>
        <v>8.7799999999999994</v>
      </c>
      <c r="F132" s="47">
        <f t="shared" si="17"/>
        <v>3.5145579999999974</v>
      </c>
      <c r="G132" s="8">
        <f t="shared" si="13"/>
        <v>1.6622843758829378</v>
      </c>
      <c r="H132" s="166">
        <v>3.8363394119980838</v>
      </c>
      <c r="I132" s="6">
        <f t="shared" ca="1" si="14"/>
        <v>2.2540242330712772</v>
      </c>
      <c r="J132" s="6">
        <f t="shared" ca="1" si="12"/>
        <v>3.4620240058579119</v>
      </c>
      <c r="K132" s="6">
        <f t="shared" si="15"/>
        <v>2.7498498297084102</v>
      </c>
      <c r="L132" s="242"/>
      <c r="M132" s="56">
        <v>4.2699999999999996</v>
      </c>
      <c r="N132" s="47">
        <f t="shared" si="16"/>
        <v>2.9580259999999989</v>
      </c>
      <c r="O132" s="56">
        <v>4.51</v>
      </c>
      <c r="P132" s="47">
        <f t="shared" si="16"/>
        <v>0.55653199999999992</v>
      </c>
    </row>
    <row r="133" spans="4:16" x14ac:dyDescent="0.15">
      <c r="D133" s="44">
        <v>1998</v>
      </c>
      <c r="E133" s="21">
        <f t="shared" si="18"/>
        <v>8.02</v>
      </c>
      <c r="F133" s="47">
        <f t="shared" si="17"/>
        <v>3.5225779999999975</v>
      </c>
      <c r="G133" s="8">
        <f t="shared" si="13"/>
        <v>1.6843605969232724</v>
      </c>
      <c r="H133" s="166">
        <v>3.8247284846988934</v>
      </c>
      <c r="I133" s="6">
        <f t="shared" ca="1" si="14"/>
        <v>1.8583788753282988</v>
      </c>
      <c r="J133" s="6">
        <f t="shared" ca="1" si="12"/>
        <v>3.4752000920124004</v>
      </c>
      <c r="K133" s="6">
        <f t="shared" si="15"/>
        <v>2.7884717723183736</v>
      </c>
      <c r="L133" s="242"/>
      <c r="M133" s="56">
        <v>3.66</v>
      </c>
      <c r="N133" s="47">
        <f t="shared" si="16"/>
        <v>2.9616859999999989</v>
      </c>
      <c r="O133" s="56">
        <v>4.3600000000000003</v>
      </c>
      <c r="P133" s="47">
        <f t="shared" si="16"/>
        <v>0.56089199999999995</v>
      </c>
    </row>
    <row r="134" spans="4:16" x14ac:dyDescent="0.15">
      <c r="D134" s="44">
        <v>1999</v>
      </c>
      <c r="E134" s="21">
        <f t="shared" si="18"/>
        <v>8.11</v>
      </c>
      <c r="F134" s="47">
        <f t="shared" si="17"/>
        <v>3.5306879999999974</v>
      </c>
      <c r="G134" s="8">
        <f t="shared" si="13"/>
        <v>1.7075520749417596</v>
      </c>
      <c r="H134" s="166">
        <v>3.812508103899912</v>
      </c>
      <c r="I134" s="6">
        <f t="shared" ca="1" si="14"/>
        <v>1.4932645913058877</v>
      </c>
      <c r="J134" s="6">
        <f t="shared" ca="1" si="12"/>
        <v>3.4876679635721124</v>
      </c>
      <c r="K134" s="6">
        <f t="shared" si="15"/>
        <v>2.828916172997705</v>
      </c>
      <c r="L134" s="242"/>
      <c r="M134" s="56">
        <v>3.91</v>
      </c>
      <c r="N134" s="47">
        <f t="shared" si="16"/>
        <v>2.9655959999999988</v>
      </c>
      <c r="O134" s="56">
        <v>4.2</v>
      </c>
      <c r="P134" s="47">
        <f t="shared" si="16"/>
        <v>0.56509199999999993</v>
      </c>
    </row>
    <row r="135" spans="4:16" x14ac:dyDescent="0.15">
      <c r="D135" s="44">
        <v>2000</v>
      </c>
      <c r="E135" s="21">
        <f t="shared" si="18"/>
        <v>7.28</v>
      </c>
      <c r="F135" s="47">
        <f t="shared" si="17"/>
        <v>3.5379679999999976</v>
      </c>
      <c r="G135" s="8">
        <f t="shared" si="13"/>
        <v>1.7291820611333564</v>
      </c>
      <c r="H135" s="55">
        <v>3.7999170379818925</v>
      </c>
      <c r="I135" s="6">
        <f t="shared" ca="1" si="14"/>
        <v>1.0854031888927693</v>
      </c>
      <c r="J135" s="6">
        <f t="shared" ca="1" si="12"/>
        <v>3.4994606964537192</v>
      </c>
      <c r="K135" s="6">
        <f t="shared" si="15"/>
        <v>2.8665019666324723</v>
      </c>
      <c r="L135" s="242"/>
      <c r="M135" s="56">
        <v>3.13</v>
      </c>
      <c r="N135" s="47">
        <f t="shared" si="16"/>
        <v>2.9687259999999989</v>
      </c>
      <c r="O135" s="56">
        <v>4.1500000000000004</v>
      </c>
      <c r="P135" s="47">
        <f t="shared" si="16"/>
        <v>0.56924199999999991</v>
      </c>
    </row>
    <row r="136" spans="4:16" x14ac:dyDescent="0.15">
      <c r="D136" s="44">
        <v>2001</v>
      </c>
      <c r="E136" s="21">
        <f t="shared" si="18"/>
        <v>7.02</v>
      </c>
      <c r="F136" s="47">
        <f t="shared" si="17"/>
        <v>3.5449879999999974</v>
      </c>
      <c r="G136" s="8">
        <f t="shared" si="13"/>
        <v>1.7508348318031688</v>
      </c>
      <c r="H136" s="55">
        <v>3.7872321612784341</v>
      </c>
      <c r="I136" s="6">
        <f t="shared" ca="1" si="14"/>
        <v>0.67816553024272253</v>
      </c>
      <c r="J136" s="6">
        <f t="shared" ca="1" si="12"/>
        <v>3.5106103866258191</v>
      </c>
      <c r="K136" s="6">
        <f t="shared" si="15"/>
        <v>2.9039797613143938</v>
      </c>
      <c r="L136" s="242"/>
      <c r="M136" s="56">
        <v>3.2</v>
      </c>
      <c r="N136" s="47">
        <f t="shared" si="16"/>
        <v>2.971925999999999</v>
      </c>
      <c r="O136" s="56">
        <v>3.82</v>
      </c>
      <c r="P136" s="47">
        <f t="shared" si="16"/>
        <v>0.57306199999999996</v>
      </c>
    </row>
    <row r="137" spans="4:16" x14ac:dyDescent="0.15">
      <c r="D137" s="44">
        <v>2002</v>
      </c>
      <c r="E137" s="21">
        <f t="shared" ref="E137:E144" si="19">SUM(M137,O137)</f>
        <v>4.6899999999999995</v>
      </c>
      <c r="F137" s="47">
        <f t="shared" si="17"/>
        <v>3.5496779999999974</v>
      </c>
      <c r="G137" s="8">
        <f t="shared" si="13"/>
        <v>1.7657715624064845</v>
      </c>
      <c r="H137" s="55">
        <v>3.7743565146723914</v>
      </c>
      <c r="I137" s="6">
        <f t="shared" ca="1" si="14"/>
        <v>8.7070771033722849E-2</v>
      </c>
      <c r="J137" s="6">
        <f t="shared" ref="J137:J200" ca="1" si="20">F$1/(1+EXP((AVERAGE(E$2:F$2)-D137)*LN(81)/(F$2-E$2)))</f>
        <v>3.521148110371922</v>
      </c>
      <c r="K137" s="6">
        <f t="shared" si="15"/>
        <v>2.9297382089116599</v>
      </c>
      <c r="L137" s="242"/>
      <c r="M137" s="56">
        <v>1.37</v>
      </c>
      <c r="N137" s="47">
        <f t="shared" si="16"/>
        <v>2.9732959999999991</v>
      </c>
      <c r="O137" s="56">
        <v>3.32</v>
      </c>
      <c r="P137" s="47">
        <f t="shared" si="16"/>
        <v>0.57638199999999995</v>
      </c>
    </row>
    <row r="138" spans="4:16" x14ac:dyDescent="0.15">
      <c r="D138" s="44">
        <v>2003</v>
      </c>
      <c r="E138" s="21">
        <f t="shared" si="19"/>
        <v>4.6399999999999997</v>
      </c>
      <c r="F138" s="47">
        <f t="shared" si="17"/>
        <v>3.5543179999999976</v>
      </c>
      <c r="G138" s="8">
        <f t="shared" ref="G138:G144" si="21">NORMSINV(F138/F$1)</f>
        <v>1.7809471891726676</v>
      </c>
      <c r="H138" s="55">
        <v>3.7615384537916294</v>
      </c>
      <c r="I138" s="6">
        <f t="shared" ref="I138:I144" ca="1" si="22">G138/(NORMSINV(0.9)-NORMSINV(0.1))*(F$2-E$2) - D138 + AVERAGE(E$2:F$2)</f>
        <v>-0.49748400994326403</v>
      </c>
      <c r="J138" s="6">
        <f t="shared" ca="1" si="20"/>
        <v>3.5311038953488052</v>
      </c>
      <c r="K138" s="6">
        <f t="shared" ref="K138:K144" si="23" xml:space="preserve"> -LN(F$5/F138-1)</f>
        <v>2.9558225898018389</v>
      </c>
      <c r="L138" s="242"/>
      <c r="M138" s="56">
        <v>1.34</v>
      </c>
      <c r="N138" s="47">
        <f t="shared" ref="N138:N144" si="24">N137+M138/1000</f>
        <v>2.9746359999999989</v>
      </c>
      <c r="O138" s="56">
        <v>3.3</v>
      </c>
      <c r="P138" s="47">
        <f t="shared" ref="P138:P144" si="25">P137+O138/1000</f>
        <v>0.57968199999999992</v>
      </c>
    </row>
    <row r="139" spans="4:16" x14ac:dyDescent="0.15">
      <c r="D139" s="44">
        <v>2004</v>
      </c>
      <c r="E139" s="21">
        <f t="shared" si="19"/>
        <v>4.53</v>
      </c>
      <c r="F139" s="47">
        <f t="shared" si="17"/>
        <v>3.5588479999999976</v>
      </c>
      <c r="G139" s="8">
        <f t="shared" si="21"/>
        <v>1.7961695637531292</v>
      </c>
      <c r="H139" s="55">
        <v>3.7489501313828577</v>
      </c>
      <c r="I139" s="6">
        <f t="shared" ca="1" si="22"/>
        <v>-1.0807590311949298</v>
      </c>
      <c r="J139" s="6">
        <f t="shared" ca="1" si="20"/>
        <v>3.5405067012752385</v>
      </c>
      <c r="K139" s="6">
        <f t="shared" si="23"/>
        <v>2.9818940760144046</v>
      </c>
      <c r="L139" s="242"/>
      <c r="M139" s="56">
        <v>1.34</v>
      </c>
      <c r="N139" s="47">
        <f t="shared" si="24"/>
        <v>2.9759759999999988</v>
      </c>
      <c r="O139" s="56">
        <v>3.19</v>
      </c>
      <c r="P139" s="47">
        <f t="shared" si="25"/>
        <v>0.58287199999999995</v>
      </c>
    </row>
    <row r="140" spans="4:16" x14ac:dyDescent="0.15">
      <c r="D140" s="44">
        <v>2005</v>
      </c>
      <c r="E140" s="21">
        <f t="shared" si="19"/>
        <v>3.92</v>
      </c>
      <c r="F140" s="47">
        <f t="shared" si="17"/>
        <v>3.5627679999999975</v>
      </c>
      <c r="G140" s="8">
        <f t="shared" si="21"/>
        <v>1.8096865129230115</v>
      </c>
      <c r="H140" s="55">
        <v>3.7366673648551081</v>
      </c>
      <c r="I140" s="6">
        <f t="shared" ca="1" si="22"/>
        <v>-1.7107214706431932</v>
      </c>
      <c r="J140" s="6">
        <f t="shared" ca="1" si="20"/>
        <v>3.5493844091523639</v>
      </c>
      <c r="K140" s="6">
        <f t="shared" si="23"/>
        <v>3.0049613035450733</v>
      </c>
      <c r="L140" s="242"/>
      <c r="M140" s="56">
        <v>1.1100000000000001</v>
      </c>
      <c r="N140" s="47">
        <f t="shared" si="24"/>
        <v>2.977085999999999</v>
      </c>
      <c r="O140" s="56">
        <v>2.81</v>
      </c>
      <c r="P140" s="47">
        <f t="shared" si="25"/>
        <v>0.58568199999999992</v>
      </c>
    </row>
    <row r="141" spans="4:16" x14ac:dyDescent="0.15">
      <c r="D141" s="44">
        <v>2006</v>
      </c>
      <c r="E141" s="21">
        <f t="shared" si="19"/>
        <v>4.1838689999999996</v>
      </c>
      <c r="F141" s="47">
        <f t="shared" si="17"/>
        <v>3.5669518689999973</v>
      </c>
      <c r="G141" s="8">
        <f t="shared" si="21"/>
        <v>1.8244877886909201</v>
      </c>
      <c r="H141" s="55">
        <v>3.7248253130629956</v>
      </c>
      <c r="I141" s="6">
        <f t="shared" ca="1" si="22"/>
        <v>-2.3055244169754587</v>
      </c>
      <c r="J141" s="6">
        <f t="shared" ca="1" si="20"/>
        <v>3.5577638179875133</v>
      </c>
      <c r="K141" s="6">
        <f t="shared" si="23"/>
        <v>3.0301247972931638</v>
      </c>
      <c r="L141" s="242"/>
      <c r="M141" s="56">
        <v>1.359869</v>
      </c>
      <c r="N141" s="47">
        <f t="shared" si="24"/>
        <v>2.9784458689999989</v>
      </c>
      <c r="O141" s="56">
        <v>2.8239999999999998</v>
      </c>
      <c r="P141" s="47">
        <f t="shared" si="25"/>
        <v>0.58850599999999997</v>
      </c>
    </row>
    <row r="142" spans="4:16" x14ac:dyDescent="0.15">
      <c r="D142" s="44">
        <v>2007</v>
      </c>
      <c r="E142" s="21">
        <f t="shared" si="19"/>
        <v>4.3093279999999998</v>
      </c>
      <c r="F142" s="47">
        <f t="shared" si="17"/>
        <v>3.5712611969999974</v>
      </c>
      <c r="G142" s="8">
        <f t="shared" si="21"/>
        <v>1.8401626909212982</v>
      </c>
      <c r="H142" s="55">
        <v>3.7135145654791062</v>
      </c>
      <c r="I142" s="6">
        <f t="shared" ca="1" si="22"/>
        <v>-2.876411122968193</v>
      </c>
      <c r="J142" s="6">
        <f t="shared" ca="1" si="20"/>
        <v>3.5656706480660136</v>
      </c>
      <c r="K142" s="6">
        <f t="shared" si="23"/>
        <v>3.0566581968270672</v>
      </c>
      <c r="L142" s="242"/>
      <c r="M142" s="56">
        <v>1.4233279999999999</v>
      </c>
      <c r="N142" s="47">
        <f t="shared" si="24"/>
        <v>2.9798691969999989</v>
      </c>
      <c r="O142" s="56">
        <v>2.8860000000000001</v>
      </c>
      <c r="P142" s="47">
        <f t="shared" si="25"/>
        <v>0.59139200000000003</v>
      </c>
    </row>
    <row r="143" spans="4:16" x14ac:dyDescent="0.15">
      <c r="D143" s="44">
        <v>2008</v>
      </c>
      <c r="E143" s="21">
        <f t="shared" si="19"/>
        <v>4.00075</v>
      </c>
      <c r="F143" s="47">
        <f>F142+E143/1000</f>
        <v>3.5752619469999973</v>
      </c>
      <c r="G143" s="8">
        <f t="shared" si="21"/>
        <v>1.8551312826098016</v>
      </c>
      <c r="H143" s="55">
        <v>3.7027748257999673</v>
      </c>
      <c r="I143" s="6">
        <f t="shared" ca="1" si="22"/>
        <v>-3.4666336588602462</v>
      </c>
      <c r="J143" s="6">
        <f t="shared" ca="1" si="20"/>
        <v>3.5731295498890194</v>
      </c>
      <c r="K143" s="6">
        <f t="shared" si="23"/>
        <v>3.0818786906913034</v>
      </c>
      <c r="L143" s="242"/>
      <c r="M143" s="56">
        <v>1.2277500000000001</v>
      </c>
      <c r="N143" s="47">
        <f t="shared" si="24"/>
        <v>2.9810969469999988</v>
      </c>
      <c r="O143" s="56">
        <v>2.7730000000000001</v>
      </c>
      <c r="P143" s="47">
        <f t="shared" si="25"/>
        <v>0.59416500000000005</v>
      </c>
    </row>
    <row r="144" spans="4:16" x14ac:dyDescent="0.15">
      <c r="D144" s="44">
        <v>2009</v>
      </c>
      <c r="E144" s="21">
        <f t="shared" si="19"/>
        <v>3.799671</v>
      </c>
      <c r="F144" s="47">
        <f>F143+E144/1000</f>
        <v>3.5790616179999972</v>
      </c>
      <c r="G144" s="8">
        <f t="shared" si="21"/>
        <v>1.8697429988661665</v>
      </c>
      <c r="H144" s="6">
        <v>3.6926465303903417</v>
      </c>
      <c r="I144" s="6">
        <f t="shared" ca="1" si="22"/>
        <v>-4.0666259521633492</v>
      </c>
      <c r="J144" s="6">
        <f t="shared" ca="1" si="20"/>
        <v>3.58016411796824</v>
      </c>
      <c r="K144" s="6">
        <f t="shared" si="23"/>
        <v>3.1063810802111558</v>
      </c>
      <c r="L144" s="242"/>
      <c r="M144" s="56">
        <v>1.2806710000000001</v>
      </c>
      <c r="N144" s="47">
        <f t="shared" si="24"/>
        <v>2.9823776179999988</v>
      </c>
      <c r="O144" s="56">
        <v>2.5190000000000001</v>
      </c>
      <c r="P144" s="47">
        <f t="shared" si="25"/>
        <v>0.5966840000000001</v>
      </c>
    </row>
    <row r="145" spans="4:16" x14ac:dyDescent="0.15">
      <c r="D145" s="44">
        <v>2010</v>
      </c>
      <c r="E145" s="21"/>
      <c r="F145" s="47"/>
      <c r="H145" s="56"/>
      <c r="I145" s="56"/>
      <c r="J145" s="6">
        <f t="shared" ca="1" si="20"/>
        <v>3.5867969087395695</v>
      </c>
      <c r="K145" s="6"/>
      <c r="L145" s="6"/>
      <c r="M145" s="56"/>
      <c r="N145" s="47"/>
      <c r="O145" s="56"/>
      <c r="P145" s="47"/>
    </row>
    <row r="146" spans="4:16" x14ac:dyDescent="0.15">
      <c r="D146" s="44">
        <v>2011</v>
      </c>
      <c r="E146" s="21"/>
      <c r="F146" s="47"/>
      <c r="H146" s="56"/>
      <c r="I146" s="56"/>
      <c r="J146" s="6">
        <f t="shared" ca="1" si="20"/>
        <v>3.5930494619263342</v>
      </c>
      <c r="K146" s="6"/>
      <c r="L146" s="6"/>
      <c r="M146" s="56"/>
      <c r="N146" s="47"/>
      <c r="O146" s="56"/>
      <c r="P146" s="47"/>
    </row>
    <row r="147" spans="4:16" x14ac:dyDescent="0.15">
      <c r="D147" s="44">
        <v>2012</v>
      </c>
      <c r="E147" s="21"/>
      <c r="F147" s="47"/>
      <c r="H147" s="56"/>
      <c r="I147" s="56"/>
      <c r="J147" s="6">
        <f t="shared" ca="1" si="20"/>
        <v>3.5989423247484624</v>
      </c>
      <c r="K147" s="6"/>
      <c r="L147" s="6"/>
      <c r="M147" s="56"/>
      <c r="N147" s="47"/>
      <c r="O147" s="56"/>
      <c r="P147" s="47"/>
    </row>
    <row r="148" spans="4:16" x14ac:dyDescent="0.15">
      <c r="D148" s="44">
        <v>2013</v>
      </c>
      <c r="E148" s="21"/>
      <c r="F148" s="47"/>
      <c r="H148" s="56"/>
      <c r="I148" s="56"/>
      <c r="J148" s="6">
        <f t="shared" ca="1" si="20"/>
        <v>3.6044950784359728</v>
      </c>
      <c r="K148" s="6"/>
      <c r="L148" s="6"/>
      <c r="M148" s="56"/>
      <c r="N148" s="47"/>
      <c r="O148" s="56"/>
      <c r="P148" s="47"/>
    </row>
    <row r="149" spans="4:16" x14ac:dyDescent="0.15">
      <c r="D149" s="44">
        <v>2014</v>
      </c>
      <c r="E149" s="21"/>
      <c r="F149" s="47"/>
      <c r="H149" s="56"/>
      <c r="I149" s="56"/>
      <c r="J149" s="6">
        <f t="shared" ca="1" si="20"/>
        <v>3.6097263665635269</v>
      </c>
      <c r="K149" s="6"/>
      <c r="L149" s="6"/>
      <c r="M149" s="56"/>
      <c r="N149" s="47"/>
      <c r="O149" s="56"/>
      <c r="P149" s="47"/>
    </row>
    <row r="150" spans="4:16" x14ac:dyDescent="0.15">
      <c r="D150" s="44">
        <v>2015</v>
      </c>
      <c r="E150" s="21"/>
      <c r="F150" s="47"/>
      <c r="H150" s="56"/>
      <c r="I150" s="56"/>
      <c r="J150" s="6">
        <f t="shared" ca="1" si="20"/>
        <v>3.6146539247771243</v>
      </c>
      <c r="K150" s="6"/>
      <c r="L150" s="6"/>
      <c r="M150" s="56"/>
      <c r="N150" s="47"/>
      <c r="O150" s="56"/>
      <c r="P150" s="47"/>
    </row>
    <row r="151" spans="4:16" x14ac:dyDescent="0.15">
      <c r="D151" s="44">
        <v>2016</v>
      </c>
      <c r="E151" s="21"/>
      <c r="F151" s="47"/>
      <c r="H151" s="56"/>
      <c r="I151" s="56"/>
      <c r="J151" s="6">
        <f t="shared" ca="1" si="20"/>
        <v>3.6192946115344227</v>
      </c>
      <c r="K151" s="6"/>
      <c r="L151" s="6"/>
      <c r="M151" s="56"/>
      <c r="N151" s="47"/>
      <c r="O151" s="56"/>
      <c r="P151" s="47"/>
    </row>
    <row r="152" spans="4:16" x14ac:dyDescent="0.15">
      <c r="D152" s="44">
        <v>2017</v>
      </c>
      <c r="E152" s="21"/>
      <c r="F152" s="47"/>
      <c r="H152" s="56"/>
      <c r="I152" s="56"/>
      <c r="J152" s="6">
        <f t="shared" ca="1" si="20"/>
        <v>3.6236644395265492</v>
      </c>
      <c r="K152" s="6"/>
      <c r="L152" s="6"/>
      <c r="M152" s="56"/>
      <c r="N152" s="47"/>
      <c r="O152" s="56"/>
      <c r="P152" s="47"/>
    </row>
    <row r="153" spans="4:16" x14ac:dyDescent="0.15">
      <c r="D153" s="44">
        <v>2018</v>
      </c>
      <c r="E153" s="21"/>
      <c r="F153" s="47"/>
      <c r="H153" s="56"/>
      <c r="I153" s="56"/>
      <c r="J153" s="6">
        <f t="shared" ca="1" si="20"/>
        <v>3.6277786074917486</v>
      </c>
      <c r="K153" s="6"/>
      <c r="L153" s="6"/>
      <c r="M153" s="56"/>
      <c r="N153" s="47"/>
      <c r="O153" s="56"/>
      <c r="P153" s="47"/>
    </row>
    <row r="154" spans="4:16" x14ac:dyDescent="0.15">
      <c r="D154" s="44">
        <v>2019</v>
      </c>
      <c r="E154" s="21"/>
      <c r="F154" s="47"/>
      <c r="H154" s="56"/>
      <c r="I154" s="56"/>
      <c r="J154" s="6">
        <f t="shared" ca="1" si="20"/>
        <v>3.6316515321699359</v>
      </c>
      <c r="K154" s="6"/>
      <c r="L154" s="6"/>
      <c r="M154" s="56"/>
      <c r="N154" s="47"/>
      <c r="O154" s="56"/>
      <c r="P154" s="47"/>
    </row>
    <row r="155" spans="4:16" x14ac:dyDescent="0.15">
      <c r="D155" s="44">
        <v>2020</v>
      </c>
      <c r="E155" s="21"/>
      <c r="F155" s="47"/>
      <c r="H155" s="56"/>
      <c r="I155" s="56"/>
      <c r="J155" s="6">
        <f t="shared" ca="1" si="20"/>
        <v>3.6352968801823264</v>
      </c>
      <c r="K155" s="6"/>
      <c r="L155" s="6"/>
      <c r="M155" s="56"/>
      <c r="N155" s="47"/>
      <c r="O155" s="56"/>
      <c r="P155" s="47"/>
    </row>
    <row r="156" spans="4:16" x14ac:dyDescent="0.15">
      <c r="D156" s="44">
        <v>2021</v>
      </c>
      <c r="E156" s="21"/>
      <c r="F156" s="47"/>
      <c r="H156" s="56"/>
      <c r="I156" s="56"/>
      <c r="J156" s="6">
        <f t="shared" ca="1" si="20"/>
        <v>3.6387275996520234</v>
      </c>
      <c r="K156" s="6"/>
      <c r="L156" s="6"/>
      <c r="M156" s="56"/>
      <c r="N156" s="47"/>
      <c r="O156" s="56"/>
      <c r="P156" s="47"/>
    </row>
    <row r="157" spans="4:16" x14ac:dyDescent="0.15">
      <c r="D157" s="44">
        <v>2022</v>
      </c>
      <c r="E157" s="21"/>
      <c r="F157" s="47"/>
      <c r="H157" s="56"/>
      <c r="I157" s="56"/>
      <c r="J157" s="6">
        <f t="shared" ca="1" si="20"/>
        <v>3.6419559514098734</v>
      </c>
      <c r="K157" s="6"/>
      <c r="L157" s="6"/>
      <c r="M157" s="56"/>
      <c r="N157" s="47"/>
      <c r="O157" s="56"/>
      <c r="P157" s="47"/>
    </row>
    <row r="158" spans="4:16" x14ac:dyDescent="0.15">
      <c r="D158" s="44">
        <v>2023</v>
      </c>
      <c r="E158" s="21"/>
      <c r="F158" s="47"/>
      <c r="H158" s="56"/>
      <c r="I158" s="56"/>
      <c r="J158" s="6">
        <f t="shared" ca="1" si="20"/>
        <v>3.6449935396554305</v>
      </c>
      <c r="K158" s="6"/>
      <c r="L158" s="6"/>
      <c r="M158" s="56"/>
      <c r="N158" s="47"/>
      <c r="O158" s="56"/>
      <c r="P158" s="47"/>
    </row>
    <row r="159" spans="4:16" x14ac:dyDescent="0.15">
      <c r="D159" s="44">
        <v>2024</v>
      </c>
      <c r="E159" s="21"/>
      <c r="F159" s="47"/>
      <c r="H159" s="56"/>
      <c r="I159" s="56"/>
      <c r="J159" s="6">
        <f t="shared" ca="1" si="20"/>
        <v>3.6478513419655023</v>
      </c>
      <c r="K159" s="6"/>
      <c r="L159" s="6"/>
      <c r="M159" s="56"/>
      <c r="N159" s="47"/>
      <c r="O159" s="56"/>
      <c r="P159" s="47"/>
    </row>
    <row r="160" spans="4:16" x14ac:dyDescent="0.15">
      <c r="D160" s="44">
        <v>2025</v>
      </c>
      <c r="E160" s="21"/>
      <c r="F160" s="47"/>
      <c r="H160" s="56"/>
      <c r="I160" s="56"/>
      <c r="J160" s="6">
        <f t="shared" ca="1" si="20"/>
        <v>3.6505397385629319</v>
      </c>
      <c r="K160" s="6"/>
      <c r="L160" s="6"/>
      <c r="M160" s="56"/>
      <c r="N160" s="47"/>
      <c r="O160" s="56"/>
      <c r="P160" s="47"/>
    </row>
    <row r="161" spans="4:16" x14ac:dyDescent="0.15">
      <c r="D161" s="44">
        <v>2026</v>
      </c>
      <c r="E161" s="21"/>
      <c r="F161" s="47"/>
      <c r="H161" s="56"/>
      <c r="I161" s="56"/>
      <c r="J161" s="6">
        <f t="shared" ca="1" si="20"/>
        <v>3.6530685407759749</v>
      </c>
      <c r="K161" s="6"/>
      <c r="L161" s="6"/>
      <c r="M161" s="56"/>
      <c r="N161" s="47"/>
      <c r="O161" s="56"/>
      <c r="P161" s="47"/>
    </row>
    <row r="162" spans="4:16" x14ac:dyDescent="0.15">
      <c r="D162" s="44">
        <v>2027</v>
      </c>
      <c r="E162" s="21"/>
      <c r="F162" s="47"/>
      <c r="H162" s="56"/>
      <c r="I162" s="56"/>
      <c r="J162" s="6">
        <f t="shared" ca="1" si="20"/>
        <v>3.6554470186343164</v>
      </c>
      <c r="K162" s="6"/>
      <c r="L162" s="6"/>
      <c r="M162" s="56"/>
      <c r="N162" s="47"/>
      <c r="O162" s="56"/>
      <c r="P162" s="47"/>
    </row>
    <row r="163" spans="4:16" x14ac:dyDescent="0.15">
      <c r="D163" s="44">
        <v>2028</v>
      </c>
      <c r="E163" s="21"/>
      <c r="F163" s="47"/>
      <c r="H163" s="56"/>
      <c r="I163" s="56"/>
      <c r="J163" s="6">
        <f t="shared" ca="1" si="20"/>
        <v>3.6576839275613624</v>
      </c>
      <c r="K163" s="6"/>
      <c r="L163" s="6"/>
      <c r="M163" s="56"/>
      <c r="N163" s="47"/>
      <c r="O163" s="56"/>
      <c r="P163" s="47"/>
    </row>
    <row r="164" spans="4:16" x14ac:dyDescent="0.15">
      <c r="D164" s="44">
        <v>2029</v>
      </c>
      <c r="E164" s="21"/>
      <c r="F164" s="47"/>
      <c r="H164" s="56"/>
      <c r="I164" s="56"/>
      <c r="J164" s="6">
        <f t="shared" ca="1" si="20"/>
        <v>3.6597875341344057</v>
      </c>
      <c r="K164" s="6"/>
      <c r="L164" s="6"/>
      <c r="M164" s="56"/>
      <c r="N164" s="47"/>
      <c r="O164" s="56"/>
      <c r="P164" s="47"/>
    </row>
    <row r="165" spans="4:16" x14ac:dyDescent="0.15">
      <c r="D165" s="44">
        <v>2030</v>
      </c>
      <c r="E165" s="21"/>
      <c r="F165" s="47"/>
      <c r="H165" s="56"/>
      <c r="I165" s="56"/>
      <c r="J165" s="6">
        <f t="shared" ca="1" si="20"/>
        <v>3.6617656408944961</v>
      </c>
      <c r="K165" s="6"/>
      <c r="L165" s="6"/>
      <c r="M165" s="56"/>
      <c r="N165" s="47"/>
      <c r="O165" s="56"/>
      <c r="P165" s="47"/>
    </row>
    <row r="166" spans="4:16" x14ac:dyDescent="0.15">
      <c r="D166" s="44">
        <v>2031</v>
      </c>
      <c r="E166" s="21"/>
      <c r="F166" s="47"/>
      <c r="H166" s="56"/>
      <c r="I166" s="56"/>
      <c r="J166" s="6">
        <f t="shared" ca="1" si="20"/>
        <v>3.6636256101967564</v>
      </c>
      <c r="K166" s="6"/>
      <c r="L166" s="6"/>
      <c r="M166" s="56"/>
      <c r="N166" s="47"/>
      <c r="O166" s="56"/>
      <c r="P166" s="47"/>
    </row>
    <row r="167" spans="4:16" x14ac:dyDescent="0.15">
      <c r="D167" s="44">
        <v>2032</v>
      </c>
      <c r="E167" s="21"/>
      <c r="F167" s="47"/>
      <c r="H167" s="56"/>
      <c r="I167" s="56"/>
      <c r="J167" s="6">
        <f t="shared" ca="1" si="20"/>
        <v>3.6653743870994342</v>
      </c>
      <c r="K167" s="6"/>
      <c r="L167" s="6"/>
      <c r="M167" s="56"/>
      <c r="N167" s="47"/>
      <c r="P167" s="47"/>
    </row>
    <row r="168" spans="4:16" x14ac:dyDescent="0.15">
      <c r="D168" s="44">
        <v>2033</v>
      </c>
      <c r="E168" s="16"/>
      <c r="F168" s="47"/>
      <c r="H168" s="56"/>
      <c r="I168" s="56"/>
      <c r="J168" s="6">
        <f t="shared" ca="1" si="20"/>
        <v>3.6670185212964257</v>
      </c>
      <c r="K168" s="6"/>
      <c r="L168" s="6"/>
      <c r="M168" s="56"/>
      <c r="N168" s="47"/>
      <c r="P168" s="47"/>
    </row>
    <row r="169" spans="4:16" x14ac:dyDescent="0.15">
      <c r="D169" s="44">
        <v>2034</v>
      </c>
      <c r="E169" s="16"/>
      <c r="F169" s="47"/>
      <c r="H169" s="56"/>
      <c r="I169" s="56"/>
      <c r="J169" s="6">
        <f t="shared" ca="1" si="20"/>
        <v>3.6685641881034328</v>
      </c>
      <c r="K169" s="6"/>
      <c r="L169" s="6"/>
      <c r="M169" s="56"/>
      <c r="N169" s="47"/>
      <c r="P169" s="47"/>
    </row>
    <row r="170" spans="4:16" x14ac:dyDescent="0.15">
      <c r="D170" s="44">
        <v>2035</v>
      </c>
      <c r="E170" s="16"/>
      <c r="F170" s="47"/>
      <c r="H170" s="56"/>
      <c r="I170" s="56"/>
      <c r="J170" s="6">
        <f t="shared" ca="1" si="20"/>
        <v>3.6700172085124101</v>
      </c>
      <c r="K170" s="6"/>
      <c r="L170" s="6"/>
      <c r="M170" s="56"/>
      <c r="N170" s="47"/>
      <c r="P170" s="47"/>
    </row>
    <row r="171" spans="4:16" x14ac:dyDescent="0.15">
      <c r="D171" s="44">
        <v>2036</v>
      </c>
      <c r="E171" s="16"/>
      <c r="F171" s="47"/>
      <c r="H171" s="56"/>
      <c r="I171" s="56"/>
      <c r="J171" s="6">
        <f t="shared" ca="1" si="20"/>
        <v>3.6713830683326987</v>
      </c>
      <c r="K171" s="6"/>
      <c r="L171" s="6"/>
      <c r="M171" s="56"/>
      <c r="N171" s="47"/>
      <c r="P171" s="47"/>
    </row>
    <row r="172" spans="4:16" x14ac:dyDescent="0.15">
      <c r="D172" s="44">
        <v>2037</v>
      </c>
      <c r="E172" s="16"/>
      <c r="F172" s="47"/>
      <c r="H172" s="56"/>
      <c r="I172" s="56"/>
      <c r="J172" s="6">
        <f t="shared" ca="1" si="20"/>
        <v>3.6726669364402569</v>
      </c>
      <c r="K172" s="6"/>
      <c r="L172" s="6"/>
      <c r="M172" s="56"/>
      <c r="N172" s="47"/>
      <c r="P172" s="47"/>
    </row>
    <row r="173" spans="4:16" x14ac:dyDescent="0.15">
      <c r="D173" s="44">
        <v>2038</v>
      </c>
      <c r="E173" s="16"/>
      <c r="F173" s="47"/>
      <c r="H173" s="56"/>
      <c r="I173" s="56"/>
      <c r="J173" s="6">
        <f t="shared" ca="1" si="20"/>
        <v>3.6738736821588156</v>
      </c>
      <c r="K173" s="6"/>
      <c r="L173" s="6"/>
      <c r="M173" s="56"/>
      <c r="N173" s="47"/>
      <c r="P173" s="47"/>
    </row>
    <row r="174" spans="4:16" x14ac:dyDescent="0.15">
      <c r="D174" s="44">
        <v>2039</v>
      </c>
      <c r="E174" s="16"/>
      <c r="F174" s="47"/>
      <c r="H174" s="56"/>
      <c r="I174" s="56"/>
      <c r="J174" s="6">
        <f t="shared" ca="1" si="20"/>
        <v>3.6750078917986508</v>
      </c>
      <c r="K174" s="6"/>
      <c r="L174" s="6"/>
      <c r="M174" s="56"/>
      <c r="N174" s="47"/>
      <c r="P174" s="47"/>
    </row>
    <row r="175" spans="4:16" x14ac:dyDescent="0.15">
      <c r="D175" s="44">
        <v>2040</v>
      </c>
      <c r="E175" s="16"/>
      <c r="F175" s="47"/>
      <c r="H175" s="56"/>
      <c r="I175" s="56"/>
      <c r="J175" s="6">
        <f t="shared" ca="1" si="20"/>
        <v>3.676073884380096</v>
      </c>
      <c r="K175" s="6"/>
      <c r="L175" s="6"/>
      <c r="M175" s="56"/>
      <c r="N175" s="47"/>
      <c r="P175" s="47"/>
    </row>
    <row r="176" spans="4:16" x14ac:dyDescent="0.15">
      <c r="D176" s="44">
        <v>2041</v>
      </c>
      <c r="E176" s="16"/>
      <c r="F176" s="47"/>
      <c r="H176" s="56"/>
      <c r="I176" s="56"/>
      <c r="J176" s="6">
        <f t="shared" ca="1" si="20"/>
        <v>3.6770757265699041</v>
      </c>
      <c r="K176" s="6"/>
      <c r="L176" s="6"/>
      <c r="M176" s="56"/>
      <c r="N176" s="47"/>
      <c r="P176" s="47"/>
    </row>
    <row r="177" spans="4:16" x14ac:dyDescent="0.15">
      <c r="D177" s="44">
        <v>2042</v>
      </c>
      <c r="E177" s="16"/>
      <c r="F177" s="47"/>
      <c r="H177" s="56"/>
      <c r="I177" s="56"/>
      <c r="J177" s="6">
        <f t="shared" ca="1" si="20"/>
        <v>3.6780172468592576</v>
      </c>
      <c r="K177" s="6"/>
      <c r="L177" s="6"/>
      <c r="M177" s="56"/>
      <c r="N177" s="47"/>
      <c r="P177" s="47"/>
    </row>
    <row r="178" spans="4:16" x14ac:dyDescent="0.15">
      <c r="D178" s="44">
        <v>2043</v>
      </c>
      <c r="E178" s="16"/>
      <c r="F178" s="47"/>
      <c r="H178" s="56"/>
      <c r="I178" s="56"/>
      <c r="J178" s="6">
        <f t="shared" ca="1" si="20"/>
        <v>3.6789020490125801</v>
      </c>
      <c r="K178" s="6"/>
      <c r="L178" s="6"/>
      <c r="M178" s="56"/>
      <c r="N178" s="47"/>
      <c r="P178" s="47"/>
    </row>
    <row r="179" spans="4:16" x14ac:dyDescent="0.15">
      <c r="D179" s="44">
        <v>2044</v>
      </c>
      <c r="E179" s="16"/>
      <c r="F179" s="47"/>
      <c r="H179" s="56"/>
      <c r="I179" s="56"/>
      <c r="J179" s="6">
        <f t="shared" ca="1" si="20"/>
        <v>3.6797335248164309</v>
      </c>
      <c r="K179" s="6"/>
      <c r="L179" s="6"/>
      <c r="M179" s="56"/>
      <c r="N179" s="47"/>
      <c r="P179" s="47"/>
    </row>
    <row r="180" spans="4:16" x14ac:dyDescent="0.15">
      <c r="D180" s="44">
        <v>2045</v>
      </c>
      <c r="E180" s="16"/>
      <c r="F180" s="47"/>
      <c r="H180" s="56"/>
      <c r="I180" s="56"/>
      <c r="J180" s="6">
        <f t="shared" ca="1" si="20"/>
        <v>3.6805148661576488</v>
      </c>
      <c r="K180" s="6"/>
      <c r="L180" s="6"/>
      <c r="M180" s="56"/>
      <c r="N180" s="47"/>
      <c r="P180" s="47"/>
    </row>
    <row r="181" spans="4:16" x14ac:dyDescent="0.15">
      <c r="D181" s="44">
        <v>2046</v>
      </c>
      <c r="E181" s="16"/>
      <c r="F181" s="47"/>
      <c r="H181" s="56"/>
      <c r="I181" s="56"/>
      <c r="J181" s="6">
        <f t="shared" ca="1" si="20"/>
        <v>3.681249076459673</v>
      </c>
      <c r="K181" s="6"/>
      <c r="L181" s="6"/>
      <c r="M181" s="56"/>
      <c r="N181" s="47"/>
      <c r="P181" s="47"/>
    </row>
    <row r="182" spans="4:16" x14ac:dyDescent="0.15">
      <c r="D182" s="44">
        <v>2047</v>
      </c>
      <c r="E182" s="16"/>
      <c r="F182" s="47"/>
      <c r="H182" s="56"/>
      <c r="I182" s="56"/>
      <c r="J182" s="6">
        <f t="shared" ca="1" si="20"/>
        <v>3.6819389815055099</v>
      </c>
      <c r="K182" s="6"/>
      <c r="L182" s="6"/>
      <c r="M182" s="56"/>
      <c r="N182" s="47"/>
      <c r="P182" s="47"/>
    </row>
    <row r="183" spans="4:16" x14ac:dyDescent="0.15">
      <c r="D183" s="44">
        <v>2048</v>
      </c>
      <c r="E183" s="16"/>
      <c r="H183" s="56"/>
      <c r="I183" s="56"/>
      <c r="J183" s="6">
        <f t="shared" ca="1" si="20"/>
        <v>3.6825872396752946</v>
      </c>
      <c r="K183" s="6"/>
      <c r="L183" s="6"/>
      <c r="N183" s="47"/>
      <c r="P183" s="47"/>
    </row>
    <row r="184" spans="4:16" x14ac:dyDescent="0.15">
      <c r="D184" s="44">
        <v>2049</v>
      </c>
      <c r="E184" s="16"/>
      <c r="H184" s="56"/>
      <c r="I184" s="56"/>
      <c r="J184" s="6">
        <f t="shared" ca="1" si="20"/>
        <v>3.6831963516257495</v>
      </c>
      <c r="K184" s="6"/>
      <c r="L184" s="6"/>
      <c r="N184" s="47"/>
      <c r="P184" s="47"/>
    </row>
    <row r="185" spans="4:16" x14ac:dyDescent="0.15">
      <c r="D185" s="44">
        <v>2050</v>
      </c>
      <c r="E185" s="16"/>
      <c r="H185" s="56"/>
      <c r="I185" s="56"/>
      <c r="J185" s="6">
        <f t="shared" ca="1" si="20"/>
        <v>3.6837686694381153</v>
      </c>
      <c r="K185" s="6"/>
      <c r="L185" s="6"/>
      <c r="N185" s="47"/>
      <c r="P185" s="47"/>
    </row>
    <row r="186" spans="4:16" x14ac:dyDescent="0.15">
      <c r="D186" s="44">
        <v>2051</v>
      </c>
      <c r="E186" s="16"/>
      <c r="H186" s="56"/>
      <c r="I186" s="56"/>
      <c r="J186" s="6">
        <f t="shared" ca="1" si="20"/>
        <v>3.6843064052603585</v>
      </c>
      <c r="K186" s="6"/>
      <c r="L186" s="6"/>
      <c r="N186" s="47"/>
      <c r="P186" s="47"/>
    </row>
    <row r="187" spans="4:16" x14ac:dyDescent="0.15">
      <c r="D187" s="44">
        <v>2052</v>
      </c>
      <c r="E187" s="16"/>
      <c r="H187" s="50"/>
      <c r="I187" s="56"/>
      <c r="J187" s="6">
        <f t="shared" ca="1" si="20"/>
        <v>3.6848116394686183</v>
      </c>
      <c r="K187" s="6"/>
      <c r="L187" s="6"/>
      <c r="N187" s="47"/>
      <c r="P187" s="47"/>
    </row>
    <row r="188" spans="4:16" x14ac:dyDescent="0.15">
      <c r="D188" s="44">
        <v>2053</v>
      </c>
      <c r="E188" s="16"/>
      <c r="H188" s="50"/>
      <c r="I188" s="56"/>
      <c r="J188" s="6">
        <f t="shared" ca="1" si="20"/>
        <v>3.6852863283720114</v>
      </c>
      <c r="K188" s="6"/>
      <c r="L188" s="6"/>
      <c r="N188" s="47"/>
      <c r="P188" s="47"/>
    </row>
    <row r="189" spans="4:16" x14ac:dyDescent="0.15">
      <c r="D189" s="44">
        <v>2054</v>
      </c>
      <c r="E189" s="16"/>
      <c r="H189" s="50"/>
      <c r="I189" s="56"/>
      <c r="J189" s="6">
        <f t="shared" ca="1" si="20"/>
        <v>3.6857323114840255</v>
      </c>
      <c r="K189" s="6"/>
      <c r="L189" s="6"/>
      <c r="N189" s="47"/>
      <c r="P189" s="47"/>
    </row>
    <row r="190" spans="4:16" x14ac:dyDescent="0.15">
      <c r="D190" s="44">
        <v>2055</v>
      </c>
      <c r="E190" s="16"/>
      <c r="H190" s="50"/>
      <c r="I190" s="56"/>
      <c r="J190" s="6">
        <f t="shared" ca="1" si="20"/>
        <v>3.6861513183828203</v>
      </c>
      <c r="K190" s="6"/>
      <c r="L190" s="6"/>
      <c r="N190" s="47"/>
      <c r="P190" s="47"/>
    </row>
    <row r="191" spans="4:16" x14ac:dyDescent="0.15">
      <c r="D191" s="44">
        <v>2056</v>
      </c>
      <c r="E191" s="16"/>
      <c r="H191" s="50"/>
      <c r="I191" s="56"/>
      <c r="J191" s="6">
        <f t="shared" ca="1" si="20"/>
        <v>3.6865449751818975</v>
      </c>
      <c r="K191" s="6"/>
      <c r="L191" s="6"/>
      <c r="N191" s="47"/>
      <c r="P191" s="47"/>
    </row>
    <row r="192" spans="4:16" x14ac:dyDescent="0.15">
      <c r="D192" s="44">
        <v>2057</v>
      </c>
      <c r="E192" s="16"/>
      <c r="H192" s="50"/>
      <c r="I192" s="56"/>
      <c r="J192" s="6">
        <f t="shared" ca="1" si="20"/>
        <v>3.6869148106316514</v>
      </c>
      <c r="K192" s="6"/>
      <c r="L192" s="6"/>
      <c r="N192" s="47"/>
      <c r="P192" s="47"/>
    </row>
    <row r="193" spans="4:16" x14ac:dyDescent="0.15">
      <c r="D193" s="44">
        <v>2058</v>
      </c>
      <c r="E193" s="16"/>
      <c r="H193" s="50"/>
      <c r="I193" s="56"/>
      <c r="J193" s="6">
        <f t="shared" ca="1" si="20"/>
        <v>3.6872622618714792</v>
      </c>
      <c r="K193" s="6"/>
      <c r="L193" s="6"/>
      <c r="N193" s="47"/>
      <c r="P193" s="47"/>
    </row>
    <row r="194" spans="4:16" x14ac:dyDescent="0.15">
      <c r="D194" s="44">
        <v>2059</v>
      </c>
      <c r="E194" s="16"/>
      <c r="H194" s="50"/>
      <c r="I194" s="56"/>
      <c r="J194" s="6">
        <f t="shared" ca="1" si="20"/>
        <v>3.6875886798512054</v>
      </c>
      <c r="K194" s="6"/>
      <c r="L194" s="6"/>
      <c r="N194" s="47"/>
      <c r="P194" s="47"/>
    </row>
    <row r="195" spans="4:16" x14ac:dyDescent="0.15">
      <c r="D195" s="44">
        <v>2060</v>
      </c>
      <c r="E195" s="16"/>
      <c r="H195" s="50"/>
      <c r="I195" s="56"/>
      <c r="J195" s="6">
        <f t="shared" ca="1" si="20"/>
        <v>3.6878953344397609</v>
      </c>
      <c r="K195" s="6"/>
      <c r="L195" s="6"/>
      <c r="N195" s="47"/>
      <c r="P195" s="47"/>
    </row>
    <row r="196" spans="4:16" x14ac:dyDescent="0.15">
      <c r="D196" s="44">
        <v>2061</v>
      </c>
      <c r="E196" s="16"/>
      <c r="H196" s="50"/>
      <c r="I196" s="56"/>
      <c r="J196" s="6">
        <f t="shared" ca="1" si="20"/>
        <v>3.6881834192381744</v>
      </c>
      <c r="K196" s="6"/>
      <c r="L196" s="6"/>
      <c r="N196" s="47"/>
      <c r="P196" s="47"/>
    </row>
    <row r="197" spans="4:16" x14ac:dyDescent="0.15">
      <c r="D197" s="44">
        <v>2062</v>
      </c>
      <c r="E197" s="16"/>
      <c r="H197" s="50"/>
      <c r="I197" s="56"/>
      <c r="J197" s="6">
        <f t="shared" ca="1" si="20"/>
        <v>3.688454056113164</v>
      </c>
      <c r="K197" s="6"/>
      <c r="L197" s="6"/>
      <c r="N197" s="47"/>
      <c r="P197" s="47"/>
    </row>
    <row r="198" spans="4:16" x14ac:dyDescent="0.15">
      <c r="D198" s="44">
        <v>2063</v>
      </c>
      <c r="E198" s="16"/>
      <c r="H198" s="50"/>
      <c r="I198" s="56"/>
      <c r="J198" s="6">
        <f t="shared" ca="1" si="20"/>
        <v>3.6887082994667839</v>
      </c>
      <c r="K198" s="6"/>
      <c r="L198" s="6"/>
      <c r="N198" s="47"/>
      <c r="P198" s="47"/>
    </row>
    <row r="199" spans="4:16" x14ac:dyDescent="0.15">
      <c r="D199" s="44">
        <v>2064</v>
      </c>
      <c r="E199" s="16"/>
      <c r="H199" s="50"/>
      <c r="I199" s="56"/>
      <c r="J199" s="6">
        <f t="shared" ca="1" si="20"/>
        <v>3.6889471402568446</v>
      </c>
      <c r="K199" s="6"/>
      <c r="L199" s="6"/>
      <c r="N199" s="47"/>
      <c r="P199" s="47"/>
    </row>
    <row r="200" spans="4:16" x14ac:dyDescent="0.15">
      <c r="D200" s="44">
        <v>2065</v>
      </c>
      <c r="E200" s="16"/>
      <c r="H200" s="50"/>
      <c r="I200" s="56"/>
      <c r="J200" s="6">
        <f t="shared" ca="1" si="20"/>
        <v>3.689171509782065</v>
      </c>
      <c r="K200" s="6"/>
      <c r="L200" s="6"/>
      <c r="N200" s="47"/>
      <c r="P200" s="47"/>
    </row>
    <row r="201" spans="4:16" x14ac:dyDescent="0.15">
      <c r="D201" s="44">
        <v>2066</v>
      </c>
      <c r="E201" s="16"/>
      <c r="H201" s="50"/>
      <c r="I201" s="56"/>
      <c r="J201" s="6">
        <f t="shared" ref="J201:J264" ca="1" si="26">F$1/(1+EXP((AVERAGE(E$2:F$2)-D201)*LN(81)/(F$2-E$2)))</f>
        <v>3.6893822832452128</v>
      </c>
      <c r="K201" s="6"/>
      <c r="L201" s="6"/>
      <c r="N201" s="47"/>
      <c r="P201" s="47"/>
    </row>
    <row r="202" spans="4:16" x14ac:dyDescent="0.15">
      <c r="D202" s="44">
        <v>2067</v>
      </c>
      <c r="E202" s="16"/>
      <c r="H202" s="50"/>
      <c r="I202" s="56"/>
      <c r="J202" s="6">
        <f t="shared" ca="1" si="26"/>
        <v>3.6895802831068059</v>
      </c>
      <c r="K202" s="6"/>
      <c r="L202" s="6"/>
      <c r="N202" s="47"/>
      <c r="P202" s="47"/>
    </row>
    <row r="203" spans="4:16" x14ac:dyDescent="0.15">
      <c r="D203" s="44">
        <v>2068</v>
      </c>
      <c r="E203" s="16"/>
      <c r="H203" s="50"/>
      <c r="I203" s="56"/>
      <c r="J203" s="6">
        <f t="shared" ca="1" si="26"/>
        <v>3.689766282241282</v>
      </c>
      <c r="K203" s="6"/>
      <c r="L203" s="6"/>
      <c r="N203" s="47"/>
      <c r="P203" s="47"/>
    </row>
    <row r="204" spans="4:16" x14ac:dyDescent="0.15">
      <c r="D204" s="44">
        <v>2069</v>
      </c>
      <c r="E204" s="16"/>
      <c r="H204" s="50"/>
      <c r="I204" s="56"/>
      <c r="J204" s="6">
        <f t="shared" ca="1" si="26"/>
        <v>3.6899410069069214</v>
      </c>
      <c r="K204" s="6"/>
      <c r="L204" s="6"/>
      <c r="N204" s="47"/>
      <c r="P204" s="47"/>
    </row>
    <row r="205" spans="4:16" x14ac:dyDescent="0.15">
      <c r="D205" s="44">
        <v>2070</v>
      </c>
      <c r="E205" s="16"/>
      <c r="H205" s="50"/>
      <c r="I205" s="56"/>
      <c r="J205" s="6">
        <f t="shared" ca="1" si="26"/>
        <v>3.6901051395402007</v>
      </c>
      <c r="K205" s="6"/>
      <c r="L205" s="6"/>
      <c r="N205" s="47"/>
      <c r="P205" s="47"/>
    </row>
    <row r="206" spans="4:16" x14ac:dyDescent="0.15">
      <c r="D206" s="44">
        <v>2071</v>
      </c>
      <c r="E206" s="16"/>
      <c r="H206" s="50"/>
      <c r="I206" s="56"/>
      <c r="J206" s="6">
        <f t="shared" ca="1" si="26"/>
        <v>3.6902593213846813</v>
      </c>
      <c r="K206" s="6"/>
      <c r="L206" s="6"/>
      <c r="N206" s="47"/>
    </row>
    <row r="207" spans="4:16" x14ac:dyDescent="0.15">
      <c r="D207" s="44">
        <v>2072</v>
      </c>
      <c r="E207" s="16"/>
      <c r="H207" s="50"/>
      <c r="I207" s="56"/>
      <c r="J207" s="6">
        <f t="shared" ca="1" si="26"/>
        <v>3.6904041549639981</v>
      </c>
      <c r="K207" s="6"/>
      <c r="L207" s="6"/>
      <c r="N207" s="47"/>
    </row>
    <row r="208" spans="4:16" x14ac:dyDescent="0.15">
      <c r="D208" s="44">
        <v>2073</v>
      </c>
      <c r="E208" s="16"/>
      <c r="H208" s="50"/>
      <c r="I208" s="56"/>
      <c r="J208" s="6">
        <f t="shared" ca="1" si="26"/>
        <v>3.6905402064079667</v>
      </c>
      <c r="K208" s="6"/>
      <c r="L208" s="6"/>
      <c r="N208" s="47"/>
    </row>
    <row r="209" spans="4:14" x14ac:dyDescent="0.15">
      <c r="D209" s="44">
        <v>2074</v>
      </c>
      <c r="E209" s="16"/>
      <c r="H209" s="50"/>
      <c r="I209" s="56"/>
      <c r="J209" s="6">
        <f t="shared" ca="1" si="26"/>
        <v>3.6906680076403555</v>
      </c>
      <c r="K209" s="6"/>
      <c r="L209" s="6"/>
      <c r="N209" s="47"/>
    </row>
    <row r="210" spans="4:14" x14ac:dyDescent="0.15">
      <c r="D210" s="44">
        <v>2075</v>
      </c>
      <c r="E210" s="16"/>
      <c r="H210" s="50"/>
      <c r="I210" s="56"/>
      <c r="J210" s="6">
        <f t="shared" ca="1" si="26"/>
        <v>3.6907880584363753</v>
      </c>
      <c r="K210" s="6"/>
      <c r="L210" s="6"/>
      <c r="N210" s="47"/>
    </row>
    <row r="211" spans="4:14" x14ac:dyDescent="0.15">
      <c r="D211" s="44">
        <v>2076</v>
      </c>
      <c r="E211" s="16"/>
      <c r="H211" s="50"/>
      <c r="I211" s="56"/>
      <c r="J211" s="6">
        <f t="shared" ca="1" si="26"/>
        <v>3.6909008283575138</v>
      </c>
      <c r="K211" s="6"/>
      <c r="L211" s="6"/>
      <c r="N211" s="47"/>
    </row>
    <row r="212" spans="4:14" x14ac:dyDescent="0.15">
      <c r="D212" s="44">
        <v>2077</v>
      </c>
      <c r="E212" s="16"/>
      <c r="H212" s="50"/>
      <c r="I212" s="56"/>
      <c r="J212" s="6">
        <f t="shared" ca="1" si="26"/>
        <v>3.6910067585708717</v>
      </c>
      <c r="K212" s="6"/>
      <c r="L212" s="6"/>
      <c r="N212" s="47"/>
    </row>
    <row r="213" spans="4:14" x14ac:dyDescent="0.15">
      <c r="D213" s="44">
        <v>2078</v>
      </c>
      <c r="E213" s="16"/>
      <c r="H213" s="50"/>
      <c r="I213" s="56"/>
      <c r="J213" s="6">
        <f t="shared" ca="1" si="26"/>
        <v>3.6911062635598126</v>
      </c>
      <c r="K213" s="6"/>
      <c r="L213" s="6"/>
      <c r="N213" s="47"/>
    </row>
    <row r="214" spans="4:14" x14ac:dyDescent="0.15">
      <c r="D214" s="44">
        <v>2079</v>
      </c>
      <c r="E214" s="16"/>
      <c r="H214" s="50"/>
      <c r="I214" s="56"/>
      <c r="J214" s="6">
        <f t="shared" ca="1" si="26"/>
        <v>3.6911997327322901</v>
      </c>
      <c r="K214" s="6"/>
      <c r="L214" s="6"/>
      <c r="N214" s="47"/>
    </row>
    <row r="215" spans="4:14" x14ac:dyDescent="0.15">
      <c r="D215" s="44">
        <v>2080</v>
      </c>
      <c r="E215" s="16"/>
      <c r="H215" s="50"/>
      <c r="I215" s="56"/>
      <c r="J215" s="6">
        <f t="shared" ca="1" si="26"/>
        <v>3.6912875319329066</v>
      </c>
      <c r="K215" s="6"/>
      <c r="L215" s="6"/>
      <c r="N215" s="47"/>
    </row>
    <row r="216" spans="4:14" x14ac:dyDescent="0.15">
      <c r="D216" s="44">
        <v>2081</v>
      </c>
      <c r="E216" s="16"/>
      <c r="H216" s="50"/>
      <c r="I216" s="56"/>
      <c r="J216" s="6">
        <f t="shared" ca="1" si="26"/>
        <v>3.6913700048643716</v>
      </c>
      <c r="K216" s="6"/>
      <c r="L216" s="6"/>
      <c r="N216" s="47"/>
    </row>
    <row r="217" spans="4:14" x14ac:dyDescent="0.15">
      <c r="D217" s="44">
        <v>2082</v>
      </c>
      <c r="E217" s="16"/>
      <c r="H217" s="50"/>
      <c r="I217" s="56"/>
      <c r="J217" s="6">
        <f t="shared" ca="1" si="26"/>
        <v>3.6914474744237324</v>
      </c>
      <c r="K217" s="6"/>
      <c r="L217" s="6"/>
    </row>
    <row r="218" spans="4:14" x14ac:dyDescent="0.15">
      <c r="D218" s="44">
        <v>2083</v>
      </c>
      <c r="E218" s="16"/>
      <c r="H218" s="50"/>
      <c r="I218" s="56"/>
      <c r="J218" s="6">
        <f t="shared" ca="1" si="26"/>
        <v>3.6915202439584101</v>
      </c>
      <c r="K218" s="6"/>
      <c r="L218" s="6"/>
    </row>
    <row r="219" spans="4:14" x14ac:dyDescent="0.15">
      <c r="D219" s="44">
        <v>2084</v>
      </c>
      <c r="E219" s="16"/>
      <c r="H219" s="50"/>
      <c r="I219" s="56"/>
      <c r="J219" s="6">
        <f t="shared" ca="1" si="26"/>
        <v>3.6915885984468231</v>
      </c>
      <c r="K219" s="6"/>
      <c r="L219" s="6"/>
    </row>
    <row r="220" spans="4:14" x14ac:dyDescent="0.15">
      <c r="D220" s="44">
        <v>2085</v>
      </c>
      <c r="E220" s="16"/>
      <c r="H220" s="50"/>
      <c r="I220" s="56"/>
      <c r="J220" s="6">
        <f t="shared" ca="1" si="26"/>
        <v>3.6916528056080535</v>
      </c>
      <c r="K220" s="6"/>
      <c r="L220" s="6"/>
    </row>
    <row r="221" spans="4:14" x14ac:dyDescent="0.15">
      <c r="D221" s="44">
        <v>2086</v>
      </c>
      <c r="E221" s="16"/>
      <c r="H221" s="50"/>
      <c r="I221" s="56"/>
      <c r="J221" s="6">
        <f t="shared" ca="1" si="26"/>
        <v>3.6917131169447988</v>
      </c>
      <c r="K221" s="6"/>
      <c r="L221" s="6"/>
    </row>
    <row r="222" spans="4:14" x14ac:dyDescent="0.15">
      <c r="D222" s="44">
        <v>2087</v>
      </c>
      <c r="E222" s="16"/>
      <c r="H222" s="50"/>
      <c r="I222" s="56"/>
      <c r="J222" s="6">
        <f t="shared" ca="1" si="26"/>
        <v>3.6917697687235713</v>
      </c>
      <c r="K222" s="6"/>
      <c r="L222" s="6"/>
    </row>
    <row r="223" spans="4:14" x14ac:dyDescent="0.15">
      <c r="D223" s="44">
        <v>2088</v>
      </c>
      <c r="E223" s="16"/>
      <c r="H223" s="50"/>
      <c r="I223" s="56"/>
      <c r="J223" s="6">
        <f t="shared" ca="1" si="26"/>
        <v>3.6918229828958955</v>
      </c>
      <c r="K223" s="6"/>
      <c r="L223" s="6"/>
    </row>
    <row r="224" spans="4:14" x14ac:dyDescent="0.15">
      <c r="D224" s="44">
        <v>2089</v>
      </c>
      <c r="E224" s="16"/>
      <c r="H224" s="50"/>
      <c r="I224" s="56"/>
      <c r="J224" s="6">
        <f t="shared" ca="1" si="26"/>
        <v>3.6918729679640196</v>
      </c>
      <c r="K224" s="6"/>
      <c r="L224" s="6"/>
    </row>
    <row r="225" spans="4:12" x14ac:dyDescent="0.15">
      <c r="D225" s="44">
        <v>2090</v>
      </c>
      <c r="E225" s="16"/>
      <c r="H225" s="50"/>
      <c r="I225" s="56"/>
      <c r="J225" s="6">
        <f t="shared" ca="1" si="26"/>
        <v>3.6919199197944672</v>
      </c>
      <c r="K225" s="6"/>
      <c r="L225" s="6"/>
    </row>
    <row r="226" spans="4:12" x14ac:dyDescent="0.15">
      <c r="D226" s="44">
        <v>2091</v>
      </c>
      <c r="E226" s="16"/>
      <c r="H226" s="50"/>
      <c r="I226" s="56"/>
      <c r="J226" s="6">
        <f t="shared" ca="1" si="26"/>
        <v>3.6919640223825385</v>
      </c>
      <c r="K226" s="6"/>
      <c r="L226" s="6"/>
    </row>
    <row r="227" spans="4:12" x14ac:dyDescent="0.15">
      <c r="D227" s="44">
        <v>2092</v>
      </c>
      <c r="E227" s="16"/>
      <c r="I227" s="56"/>
      <c r="J227" s="6">
        <f t="shared" ca="1" si="26"/>
        <v>3.6920054485707046</v>
      </c>
      <c r="K227" s="6"/>
      <c r="L227" s="6"/>
    </row>
    <row r="228" spans="4:12" x14ac:dyDescent="0.15">
      <c r="D228" s="44">
        <v>2093</v>
      </c>
      <c r="E228" s="16"/>
      <c r="I228" s="56"/>
      <c r="J228" s="6">
        <f t="shared" ca="1" si="26"/>
        <v>3.6920443607236644</v>
      </c>
      <c r="K228" s="6"/>
      <c r="L228" s="6"/>
    </row>
    <row r="229" spans="4:12" x14ac:dyDescent="0.15">
      <c r="D229" s="44">
        <v>2094</v>
      </c>
      <c r="E229" s="16"/>
      <c r="I229" s="56"/>
      <c r="J229" s="6">
        <f t="shared" ca="1" si="26"/>
        <v>3.6920809113626465</v>
      </c>
      <c r="K229" s="6"/>
      <c r="L229" s="6"/>
    </row>
    <row r="230" spans="4:12" x14ac:dyDescent="0.15">
      <c r="D230" s="44">
        <v>2095</v>
      </c>
      <c r="E230" s="16"/>
      <c r="I230" s="56"/>
      <c r="J230" s="6">
        <f t="shared" ca="1" si="26"/>
        <v>3.6921152437614206</v>
      </c>
      <c r="K230" s="6"/>
      <c r="L230" s="6"/>
    </row>
    <row r="231" spans="4:12" x14ac:dyDescent="0.15">
      <c r="D231" s="44">
        <v>2096</v>
      </c>
      <c r="E231" s="16"/>
      <c r="I231" s="56"/>
      <c r="J231" s="6">
        <f t="shared" ca="1" si="26"/>
        <v>3.6921474925063089</v>
      </c>
      <c r="K231" s="6"/>
      <c r="L231" s="6"/>
    </row>
    <row r="232" spans="4:12" x14ac:dyDescent="0.15">
      <c r="D232" s="44">
        <v>2097</v>
      </c>
      <c r="E232" s="16"/>
      <c r="I232" s="56"/>
      <c r="J232" s="6">
        <f t="shared" ca="1" si="26"/>
        <v>3.6921777840223573</v>
      </c>
      <c r="K232" s="6"/>
      <c r="L232" s="6"/>
    </row>
    <row r="233" spans="4:12" x14ac:dyDescent="0.15">
      <c r="D233" s="44">
        <v>2098</v>
      </c>
      <c r="E233" s="16"/>
      <c r="I233" s="56"/>
      <c r="J233" s="6">
        <f t="shared" ca="1" si="26"/>
        <v>3.6922062370677171</v>
      </c>
      <c r="K233" s="6"/>
      <c r="L233" s="6"/>
    </row>
    <row r="234" spans="4:12" x14ac:dyDescent="0.15">
      <c r="D234" s="44">
        <v>2099</v>
      </c>
      <c r="E234" s="16"/>
      <c r="I234" s="56"/>
      <c r="J234" s="6">
        <f t="shared" ca="1" si="26"/>
        <v>3.6922329631981317</v>
      </c>
      <c r="K234" s="6"/>
      <c r="L234" s="6"/>
    </row>
    <row r="235" spans="4:12" x14ac:dyDescent="0.15">
      <c r="D235" s="44">
        <v>2100</v>
      </c>
      <c r="E235" s="16"/>
      <c r="I235" s="56"/>
      <c r="J235" s="6">
        <f t="shared" ca="1" si="26"/>
        <v>3.6922580672033427</v>
      </c>
      <c r="K235" s="6"/>
      <c r="L235" s="6"/>
    </row>
    <row r="236" spans="4:12" x14ac:dyDescent="0.15">
      <c r="D236" s="44">
        <v>2101</v>
      </c>
      <c r="E236" s="16"/>
      <c r="I236" s="56"/>
      <c r="J236" s="6">
        <f t="shared" ca="1" si="26"/>
        <v>3.6922816475170972</v>
      </c>
      <c r="K236" s="6"/>
      <c r="L236" s="6"/>
    </row>
    <row r="237" spans="4:12" x14ac:dyDescent="0.15">
      <c r="D237" s="44">
        <v>2102</v>
      </c>
      <c r="E237" s="16"/>
      <c r="I237" s="56"/>
      <c r="J237" s="6">
        <f t="shared" ca="1" si="26"/>
        <v>3.6923037966023551</v>
      </c>
      <c r="K237" s="6"/>
      <c r="L237" s="6"/>
    </row>
    <row r="238" spans="4:12" x14ac:dyDescent="0.15">
      <c r="D238" s="44">
        <v>2103</v>
      </c>
      <c r="E238" s="16"/>
      <c r="I238" s="56"/>
      <c r="J238" s="6">
        <f t="shared" ca="1" si="26"/>
        <v>3.6923246013131852</v>
      </c>
      <c r="K238" s="6"/>
      <c r="L238" s="6"/>
    </row>
    <row r="239" spans="4:12" x14ac:dyDescent="0.15">
      <c r="D239" s="44">
        <v>2104</v>
      </c>
      <c r="E239" s="16"/>
      <c r="I239" s="56"/>
      <c r="J239" s="6">
        <f t="shared" ca="1" si="26"/>
        <v>3.692344143234759</v>
      </c>
      <c r="K239" s="6"/>
      <c r="L239" s="6"/>
    </row>
    <row r="240" spans="4:12" x14ac:dyDescent="0.15">
      <c r="D240" s="44">
        <v>2105</v>
      </c>
      <c r="E240" s="16"/>
      <c r="I240" s="56"/>
      <c r="J240" s="6">
        <f t="shared" ca="1" si="26"/>
        <v>3.6923624990027695</v>
      </c>
      <c r="K240" s="6"/>
      <c r="L240" s="6"/>
    </row>
    <row r="241" spans="4:12" x14ac:dyDescent="0.15">
      <c r="D241" s="44">
        <v>2106</v>
      </c>
      <c r="E241" s="16"/>
      <c r="I241" s="56"/>
      <c r="J241" s="6">
        <f t="shared" ca="1" si="26"/>
        <v>3.6923797406035015</v>
      </c>
      <c r="K241" s="6"/>
      <c r="L241" s="6"/>
    </row>
    <row r="242" spans="4:12" x14ac:dyDescent="0.15">
      <c r="D242" s="44">
        <v>2107</v>
      </c>
      <c r="E242" s="16"/>
      <c r="I242" s="56"/>
      <c r="J242" s="6">
        <f t="shared" ca="1" si="26"/>
        <v>3.6923959356557416</v>
      </c>
      <c r="K242" s="6"/>
      <c r="L242" s="6"/>
    </row>
    <row r="243" spans="4:12" x14ac:dyDescent="0.15">
      <c r="D243" s="44">
        <v>2108</v>
      </c>
      <c r="E243" s="16"/>
      <c r="I243" s="56"/>
      <c r="J243" s="6">
        <f t="shared" ca="1" si="26"/>
        <v>3.692411147675609</v>
      </c>
      <c r="K243" s="6"/>
      <c r="L243" s="6"/>
    </row>
    <row r="244" spans="4:12" x14ac:dyDescent="0.15">
      <c r="D244" s="44">
        <v>2109</v>
      </c>
      <c r="E244" s="16"/>
      <c r="I244" s="56"/>
      <c r="J244" s="6">
        <f t="shared" ca="1" si="26"/>
        <v>3.6924254363253475</v>
      </c>
      <c r="K244" s="6"/>
      <c r="L244" s="6"/>
    </row>
    <row r="245" spans="4:12" x14ac:dyDescent="0.15">
      <c r="D245" s="44">
        <v>2110</v>
      </c>
      <c r="E245" s="16"/>
      <c r="I245" s="56"/>
      <c r="J245" s="6">
        <f t="shared" ca="1" si="26"/>
        <v>3.6924388576470464</v>
      </c>
      <c r="K245" s="6"/>
      <c r="L245" s="6"/>
    </row>
    <row r="246" spans="4:12" x14ac:dyDescent="0.15">
      <c r="D246" s="44">
        <v>2111</v>
      </c>
      <c r="E246" s="16"/>
      <c r="I246" s="56"/>
      <c r="J246" s="6">
        <f t="shared" ca="1" si="26"/>
        <v>3.6924514642822008</v>
      </c>
      <c r="K246" s="6"/>
      <c r="L246" s="6"/>
    </row>
    <row r="247" spans="4:12" x14ac:dyDescent="0.15">
      <c r="D247" s="44">
        <v>2112</v>
      </c>
      <c r="E247" s="16"/>
      <c r="I247" s="56"/>
      <c r="J247" s="6">
        <f t="shared" ca="1" si="26"/>
        <v>3.6924633056779634</v>
      </c>
      <c r="K247" s="6"/>
      <c r="L247" s="6"/>
    </row>
    <row r="248" spans="4:12" x14ac:dyDescent="0.15">
      <c r="D248" s="44">
        <v>2113</v>
      </c>
      <c r="E248" s="16"/>
      <c r="I248" s="56"/>
      <c r="J248" s="6">
        <f t="shared" ca="1" si="26"/>
        <v>3.6924744282809052</v>
      </c>
      <c r="K248" s="6"/>
      <c r="L248" s="6"/>
    </row>
    <row r="249" spans="4:12" x14ac:dyDescent="0.15">
      <c r="D249" s="44">
        <v>2114</v>
      </c>
      <c r="E249" s="16"/>
      <c r="I249" s="56"/>
      <c r="J249" s="6">
        <f t="shared" ca="1" si="26"/>
        <v>3.6924848757190265</v>
      </c>
      <c r="K249" s="6"/>
      <c r="L249" s="6"/>
    </row>
    <row r="250" spans="4:12" x14ac:dyDescent="0.15">
      <c r="D250" s="44">
        <v>2115</v>
      </c>
      <c r="E250" s="16"/>
      <c r="I250" s="56"/>
      <c r="J250" s="6">
        <f t="shared" ca="1" si="26"/>
        <v>3.6924946889727361</v>
      </c>
      <c r="K250" s="6"/>
      <c r="L250" s="6"/>
    </row>
    <row r="251" spans="4:12" x14ac:dyDescent="0.15">
      <c r="D251" s="44">
        <v>2116</v>
      </c>
      <c r="E251" s="16"/>
      <c r="I251" s="56"/>
      <c r="J251" s="6">
        <f t="shared" ca="1" si="26"/>
        <v>3.692503906535471</v>
      </c>
      <c r="K251" s="6"/>
      <c r="L251" s="6"/>
    </row>
    <row r="252" spans="4:12" x14ac:dyDescent="0.15">
      <c r="D252" s="44">
        <v>2117</v>
      </c>
      <c r="E252" s="16"/>
      <c r="I252" s="56"/>
      <c r="J252" s="6">
        <f t="shared" ca="1" si="26"/>
        <v>3.6925125645645718</v>
      </c>
      <c r="K252" s="6"/>
      <c r="L252" s="6"/>
    </row>
    <row r="253" spans="4:12" x14ac:dyDescent="0.15">
      <c r="D253" s="44">
        <v>2118</v>
      </c>
      <c r="E253" s="16"/>
      <c r="I253" s="56"/>
      <c r="J253" s="6">
        <f t="shared" ca="1" si="26"/>
        <v>3.6925206970230136</v>
      </c>
      <c r="K253" s="6"/>
      <c r="L253" s="6"/>
    </row>
    <row r="254" spans="4:12" x14ac:dyDescent="0.15">
      <c r="D254" s="44">
        <v>2119</v>
      </c>
      <c r="E254" s="16"/>
      <c r="I254" s="56"/>
      <c r="J254" s="6">
        <f t="shared" ca="1" si="26"/>
        <v>3.6925283358125438</v>
      </c>
      <c r="K254" s="6"/>
      <c r="L254" s="6"/>
    </row>
    <row r="255" spans="4:12" x14ac:dyDescent="0.15">
      <c r="D255" s="44">
        <v>2120</v>
      </c>
      <c r="E255" s="16"/>
      <c r="I255" s="56"/>
      <c r="J255" s="6">
        <f t="shared" ca="1" si="26"/>
        <v>3.6925355108987481</v>
      </c>
      <c r="K255" s="6"/>
      <c r="L255" s="6"/>
    </row>
    <row r="256" spans="4:12" x14ac:dyDescent="0.15">
      <c r="D256" s="44">
        <v>2121</v>
      </c>
      <c r="E256" s="16"/>
      <c r="I256" s="56"/>
      <c r="J256" s="6">
        <f t="shared" ca="1" si="26"/>
        <v>3.6925422504285237</v>
      </c>
      <c r="K256" s="6"/>
      <c r="L256" s="6"/>
    </row>
    <row r="257" spans="4:12" x14ac:dyDescent="0.15">
      <c r="D257" s="44">
        <v>2122</v>
      </c>
      <c r="E257" s="16"/>
      <c r="I257" s="56"/>
      <c r="J257" s="6">
        <f t="shared" ca="1" si="26"/>
        <v>3.6925485808404392</v>
      </c>
      <c r="K257" s="6"/>
      <c r="L257" s="6"/>
    </row>
    <row r="258" spans="4:12" x14ac:dyDescent="0.15">
      <c r="D258" s="44">
        <v>2123</v>
      </c>
      <c r="E258" s="16"/>
      <c r="I258" s="56"/>
      <c r="J258" s="6">
        <f t="shared" ca="1" si="26"/>
        <v>3.6925545269683968</v>
      </c>
      <c r="K258" s="6"/>
      <c r="L258" s="6"/>
    </row>
    <row r="259" spans="4:12" x14ac:dyDescent="0.15">
      <c r="D259" s="44">
        <v>2124</v>
      </c>
      <c r="E259" s="16"/>
      <c r="I259" s="56"/>
      <c r="J259" s="6">
        <f t="shared" ca="1" si="26"/>
        <v>3.6925601121390024</v>
      </c>
      <c r="K259" s="6"/>
      <c r="L259" s="6"/>
    </row>
    <row r="260" spans="4:12" x14ac:dyDescent="0.15">
      <c r="D260" s="44">
        <v>2125</v>
      </c>
      <c r="E260" s="16"/>
      <c r="I260" s="56"/>
      <c r="J260" s="6">
        <f t="shared" ca="1" si="26"/>
        <v>3.6925653582630336</v>
      </c>
      <c r="K260" s="6"/>
      <c r="L260" s="6"/>
    </row>
    <row r="261" spans="4:12" x14ac:dyDescent="0.15">
      <c r="D261" s="44">
        <v>2126</v>
      </c>
      <c r="E261" s="16"/>
      <c r="I261" s="56"/>
      <c r="J261" s="6">
        <f t="shared" ca="1" si="26"/>
        <v>3.6925702859213629</v>
      </c>
      <c r="K261" s="6"/>
      <c r="L261" s="6"/>
    </row>
    <row r="262" spans="4:12" x14ac:dyDescent="0.15">
      <c r="D262" s="44">
        <v>2127</v>
      </c>
      <c r="E262" s="16"/>
      <c r="J262" s="6">
        <f t="shared" ca="1" si="26"/>
        <v>3.692574914445661</v>
      </c>
      <c r="K262" s="6"/>
      <c r="L262" s="6"/>
    </row>
    <row r="263" spans="4:12" x14ac:dyDescent="0.15">
      <c r="D263" s="44">
        <v>2128</v>
      </c>
      <c r="E263" s="16"/>
      <c r="J263" s="6">
        <f t="shared" ca="1" si="26"/>
        <v>3.6925792619942079</v>
      </c>
      <c r="K263" s="6"/>
      <c r="L263" s="6"/>
    </row>
    <row r="264" spans="4:12" x14ac:dyDescent="0.15">
      <c r="D264" s="44">
        <v>2129</v>
      </c>
      <c r="E264" s="16"/>
      <c r="J264" s="6">
        <f t="shared" ca="1" si="26"/>
        <v>3.692583345623107</v>
      </c>
      <c r="K264" s="6"/>
      <c r="L264" s="6"/>
    </row>
    <row r="265" spans="4:12" x14ac:dyDescent="0.15">
      <c r="D265" s="44">
        <v>2130</v>
      </c>
      <c r="E265" s="16"/>
      <c r="J265" s="6">
        <f t="shared" ref="J265:J285" ca="1" si="27">F$1/(1+EXP((AVERAGE(E$2:F$2)-D265)*LN(81)/(F$2-E$2)))</f>
        <v>3.6925871813531717</v>
      </c>
      <c r="K265" s="6"/>
      <c r="L265" s="6"/>
    </row>
    <row r="266" spans="4:12" x14ac:dyDescent="0.15">
      <c r="D266" s="44">
        <v>2131</v>
      </c>
      <c r="E266" s="16"/>
      <c r="J266" s="6">
        <f t="shared" ca="1" si="27"/>
        <v>3.6925907842327632</v>
      </c>
      <c r="K266" s="6"/>
      <c r="L266" s="6"/>
    </row>
    <row r="267" spans="4:12" x14ac:dyDescent="0.15">
      <c r="D267" s="44">
        <v>2132</v>
      </c>
      <c r="E267" s="16"/>
      <c r="J267" s="6">
        <f t="shared" ca="1" si="27"/>
        <v>3.6925941683968038</v>
      </c>
      <c r="K267" s="6"/>
      <c r="L267" s="6"/>
    </row>
    <row r="268" spans="4:12" x14ac:dyDescent="0.15">
      <c r="D268" s="44">
        <v>2133</v>
      </c>
      <c r="E268" s="16"/>
      <c r="J268" s="6">
        <f t="shared" ca="1" si="27"/>
        <v>3.6925973471222244</v>
      </c>
      <c r="K268" s="6"/>
      <c r="L268" s="6"/>
    </row>
    <row r="269" spans="4:12" x14ac:dyDescent="0.15">
      <c r="D269" s="44">
        <v>2134</v>
      </c>
      <c r="E269" s="16"/>
      <c r="J269" s="6">
        <f t="shared" ca="1" si="27"/>
        <v>3.6926003328800325</v>
      </c>
      <c r="K269" s="6"/>
      <c r="L269" s="6"/>
    </row>
    <row r="270" spans="4:12" x14ac:dyDescent="0.15">
      <c r="D270" s="44">
        <v>2135</v>
      </c>
      <c r="E270" s="16"/>
      <c r="J270" s="6">
        <f t="shared" ca="1" si="27"/>
        <v>3.6926031373842303</v>
      </c>
      <c r="K270" s="6"/>
      <c r="L270" s="6"/>
    </row>
    <row r="271" spans="4:12" x14ac:dyDescent="0.15">
      <c r="D271" s="44">
        <v>2136</v>
      </c>
      <c r="E271" s="16"/>
      <c r="J271" s="6">
        <f t="shared" ca="1" si="27"/>
        <v>3.6926057716377598</v>
      </c>
      <c r="K271" s="6"/>
      <c r="L271" s="6"/>
    </row>
    <row r="272" spans="4:12" x14ac:dyDescent="0.15">
      <c r="D272" s="44">
        <v>2137</v>
      </c>
      <c r="E272" s="16"/>
      <c r="J272" s="6">
        <f t="shared" ca="1" si="27"/>
        <v>3.6926082459756642</v>
      </c>
      <c r="K272" s="6"/>
      <c r="L272" s="6"/>
    </row>
    <row r="273" spans="4:12" x14ac:dyDescent="0.15">
      <c r="D273" s="44">
        <v>2138</v>
      </c>
      <c r="E273" s="16"/>
      <c r="J273" s="6">
        <f t="shared" ca="1" si="27"/>
        <v>3.6926105701056238</v>
      </c>
      <c r="K273" s="6"/>
      <c r="L273" s="6"/>
    </row>
    <row r="274" spans="4:12" x14ac:dyDescent="0.15">
      <c r="D274" s="44">
        <v>2139</v>
      </c>
      <c r="E274" s="16"/>
      <c r="J274" s="6">
        <f t="shared" ca="1" si="27"/>
        <v>3.6926127531460384</v>
      </c>
      <c r="K274" s="6"/>
      <c r="L274" s="6"/>
    </row>
    <row r="275" spans="4:12" x14ac:dyDescent="0.15">
      <c r="D275" s="44">
        <v>2140</v>
      </c>
      <c r="E275" s="16"/>
      <c r="J275" s="6">
        <f t="shared" ca="1" si="27"/>
        <v>3.6926148036617934</v>
      </c>
      <c r="K275" s="6"/>
      <c r="L275" s="6"/>
    </row>
    <row r="276" spans="4:12" x14ac:dyDescent="0.15">
      <c r="D276" s="44">
        <v>2141</v>
      </c>
      <c r="E276" s="16"/>
      <c r="J276" s="6">
        <f t="shared" ca="1" si="27"/>
        <v>3.6926167296978565</v>
      </c>
      <c r="K276" s="6"/>
      <c r="L276" s="6"/>
    </row>
    <row r="277" spans="4:12" x14ac:dyDescent="0.15">
      <c r="D277" s="44">
        <v>2142</v>
      </c>
      <c r="E277" s="16"/>
      <c r="J277" s="6">
        <f t="shared" ca="1" si="27"/>
        <v>3.6926185388108412</v>
      </c>
      <c r="K277" s="6"/>
      <c r="L277" s="6"/>
    </row>
    <row r="278" spans="4:12" x14ac:dyDescent="0.15">
      <c r="D278" s="44">
        <v>2143</v>
      </c>
      <c r="E278" s="16"/>
      <c r="J278" s="6">
        <f t="shared" ca="1" si="27"/>
        <v>3.6926202380986428</v>
      </c>
      <c r="K278" s="6"/>
      <c r="L278" s="6"/>
    </row>
    <row r="279" spans="4:12" x14ac:dyDescent="0.15">
      <c r="D279" s="44">
        <v>2144</v>
      </c>
      <c r="E279" s="16"/>
      <c r="J279" s="6">
        <f t="shared" ca="1" si="27"/>
        <v>3.692621834228289</v>
      </c>
      <c r="K279" s="6"/>
      <c r="L279" s="6"/>
    </row>
    <row r="280" spans="4:12" x14ac:dyDescent="0.15">
      <c r="D280" s="44">
        <v>2145</v>
      </c>
      <c r="E280" s="16"/>
      <c r="J280" s="6">
        <f t="shared" ca="1" si="27"/>
        <v>3.6926233334620897</v>
      </c>
      <c r="K280" s="6"/>
      <c r="L280" s="6"/>
    </row>
    <row r="281" spans="4:12" x14ac:dyDescent="0.15">
      <c r="D281" s="44">
        <v>2146</v>
      </c>
      <c r="E281" s="16"/>
      <c r="J281" s="6">
        <f t="shared" ca="1" si="27"/>
        <v>3.6926247416822049</v>
      </c>
      <c r="K281" s="6"/>
      <c r="L281" s="6"/>
    </row>
    <row r="282" spans="4:12" x14ac:dyDescent="0.15">
      <c r="D282" s="44">
        <v>2147</v>
      </c>
      <c r="E282" s="16"/>
      <c r="J282" s="6">
        <f t="shared" ca="1" si="27"/>
        <v>3.6926260644137199</v>
      </c>
      <c r="K282" s="6"/>
      <c r="L282" s="6"/>
    </row>
    <row r="283" spans="4:12" x14ac:dyDescent="0.15">
      <c r="D283" s="44">
        <v>2148</v>
      </c>
      <c r="E283" s="16"/>
      <c r="J283" s="6">
        <f t="shared" ca="1" si="27"/>
        <v>3.6926273068463233</v>
      </c>
      <c r="K283" s="6"/>
      <c r="L283" s="6"/>
    </row>
    <row r="284" spans="4:12" x14ac:dyDescent="0.15">
      <c r="D284" s="44">
        <v>2149</v>
      </c>
      <c r="E284" s="16"/>
      <c r="J284" s="6">
        <f t="shared" ca="1" si="27"/>
        <v>3.6926284738546635</v>
      </c>
      <c r="K284" s="6"/>
      <c r="L284" s="6"/>
    </row>
    <row r="285" spans="4:12" x14ac:dyDescent="0.15">
      <c r="D285" s="44">
        <v>2150</v>
      </c>
      <c r="E285" s="16"/>
      <c r="J285" s="6">
        <f t="shared" ca="1" si="27"/>
        <v>3.6926295700174707</v>
      </c>
      <c r="K285" s="6"/>
      <c r="L285" s="6"/>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008000"/>
  </sheetPr>
  <dimension ref="B1:AA334"/>
  <sheetViews>
    <sheetView topLeftCell="A66" zoomScaleNormal="100" workbookViewId="0">
      <selection activeCell="C87" sqref="C87"/>
    </sheetView>
  </sheetViews>
  <sheetFormatPr baseColWidth="10" defaultColWidth="9.1640625" defaultRowHeight="11" x14ac:dyDescent="0.15"/>
  <cols>
    <col min="1" max="1" width="9.1640625" style="42"/>
    <col min="2" max="2" width="90.6640625" style="42" customWidth="1"/>
    <col min="3" max="3" width="9.1640625" style="42"/>
    <col min="4" max="4" width="5.6640625" style="42" bestFit="1" customWidth="1"/>
    <col min="5" max="5" width="10.83203125" style="42" bestFit="1" customWidth="1"/>
    <col min="6" max="6" width="4.83203125" style="42" bestFit="1" customWidth="1"/>
    <col min="7" max="7" width="7.1640625" style="42" bestFit="1" customWidth="1"/>
    <col min="8" max="8" width="8.6640625" style="42" bestFit="1" customWidth="1"/>
    <col min="9" max="9" width="6.5" style="42" bestFit="1" customWidth="1"/>
    <col min="10" max="10" width="4" style="42" bestFit="1" customWidth="1"/>
    <col min="11" max="11" width="5.1640625" style="42" customWidth="1"/>
    <col min="12" max="12" width="7" style="42" customWidth="1"/>
    <col min="13" max="13" width="10.5" style="42" bestFit="1" customWidth="1"/>
    <col min="14" max="14" width="10.1640625" style="42" bestFit="1" customWidth="1"/>
    <col min="15" max="15" width="13.1640625" style="42" bestFit="1" customWidth="1"/>
    <col min="16" max="16" width="12.6640625" style="42" bestFit="1" customWidth="1"/>
    <col min="17" max="17" width="6" style="42" customWidth="1"/>
    <col min="18" max="18" width="6.1640625" style="42" bestFit="1" customWidth="1"/>
    <col min="19" max="19" width="12" style="42" customWidth="1"/>
    <col min="20" max="20" width="8.1640625" style="42" bestFit="1" customWidth="1"/>
    <col min="21" max="21" width="17.5" style="42" bestFit="1" customWidth="1"/>
    <col min="22" max="22" width="8.33203125" style="42" bestFit="1" customWidth="1"/>
    <col min="23" max="23" width="20.1640625" style="42" bestFit="1" customWidth="1"/>
    <col min="24" max="24" width="10.83203125" style="42" bestFit="1" customWidth="1"/>
    <col min="25" max="25" width="11.1640625" style="42" bestFit="1" customWidth="1"/>
    <col min="26" max="26" width="7" style="42" customWidth="1"/>
    <col min="27" max="16384" width="9.1640625" style="42"/>
  </cols>
  <sheetData>
    <row r="1" spans="2:27" x14ac:dyDescent="0.15">
      <c r="B1" s="269"/>
      <c r="C1" s="6"/>
      <c r="D1" s="6"/>
      <c r="E1" s="97">
        <f ca="1">RSQ(OFFSET(G57,E3-D57,0):OFFSET(G57,E4-D57,0),OFFSET(D57,E3-D57,0):OFFSET(D57,E4-D57,0))</f>
        <v>0.99996919287820529</v>
      </c>
      <c r="F1" s="6">
        <v>49.986283305111655</v>
      </c>
      <c r="G1" s="116" t="s">
        <v>72</v>
      </c>
      <c r="H1" s="50"/>
      <c r="U1" s="177"/>
    </row>
    <row r="2" spans="2:27" x14ac:dyDescent="0.15">
      <c r="E2" s="12">
        <f ca="1" xml:space="preserve"> (- INTERCEPT(OFFSET(G57,E3-D57,0):OFFSET(G57,E4-D57,0),OFFSET(D57,E3-D57,0):OFFSET(D57,E4-D57,0)) - LN(9))/SLOPE(OFFSET(G57,E3-D57,0):OFFSET(G57,E4-D57,0),OFFSET(D57,E3-D57,0):OFFSET(D57,E4-D57,0))</f>
        <v>1992.4653607332241</v>
      </c>
      <c r="F2" s="12">
        <f ca="1" xml:space="preserve"> (- INTERCEPT(OFFSET(G57,E3-D57,0):OFFSET(G57,E4-D57,0),OFFSET(D57,E3-D57,0):OFFSET(D57,E4-D57,0)) + LN(9))/SLOPE(OFFSET(G57,E3-D57,0):OFFSET(G57,E4-D57,0),OFFSET(D57,E3-D57,0):OFFSET(D57,E4-D57,0))</f>
        <v>2075.8567319169533</v>
      </c>
      <c r="G2" s="116" t="s">
        <v>152</v>
      </c>
      <c r="H2" s="6"/>
      <c r="I2" s="100"/>
    </row>
    <row r="3" spans="2:27" x14ac:dyDescent="0.15">
      <c r="E3" s="3">
        <v>1983</v>
      </c>
      <c r="F3" s="8">
        <f ca="1">(E3-AVERAGE(E$2:F$2))/(F$2-E$2)*LN(81)</f>
        <v>-2.6960177484083547</v>
      </c>
      <c r="G3" s="116" t="s">
        <v>74</v>
      </c>
      <c r="H3" s="8"/>
      <c r="I3" s="6"/>
    </row>
    <row r="4" spans="2:27" x14ac:dyDescent="0.15">
      <c r="E4" s="3">
        <f ca="1">OFFSET(D58,COUNT(E59:E350),0)</f>
        <v>2009</v>
      </c>
      <c r="F4" s="8">
        <f ca="1">(E4-AVERAGE(E$2:F$2))/(F$2-E$2)*LN(81)</f>
        <v>-1.3259038337474072</v>
      </c>
      <c r="G4" s="10"/>
      <c r="H4" s="12"/>
      <c r="I4" s="6"/>
    </row>
    <row r="5" spans="2:27" x14ac:dyDescent="0.15">
      <c r="E5" s="97">
        <f ca="1">RSQ(OFFSET(K57,E3-D57,0):OFFSET(K57,E4-D57,0),OFFSET(D57,E3-D57,0):OFFSET(D57,E4-D57,0))</f>
        <v>0.99996835692296449</v>
      </c>
      <c r="F5" s="6">
        <v>421.44596390876501</v>
      </c>
      <c r="G5" s="61" t="s">
        <v>3</v>
      </c>
      <c r="H5" s="3"/>
      <c r="I5" s="3"/>
    </row>
    <row r="7" spans="2:27" x14ac:dyDescent="0.15">
      <c r="D7" s="43"/>
      <c r="E7" s="29" t="s">
        <v>0</v>
      </c>
      <c r="F7" s="48" t="s">
        <v>1</v>
      </c>
      <c r="G7" s="48" t="s">
        <v>2</v>
      </c>
      <c r="H7" s="209" t="s">
        <v>217</v>
      </c>
      <c r="I7" s="164" t="s">
        <v>20</v>
      </c>
      <c r="J7" s="77" t="s">
        <v>41</v>
      </c>
      <c r="K7" s="59" t="s">
        <v>3</v>
      </c>
      <c r="M7" s="172" t="s">
        <v>119</v>
      </c>
      <c r="N7" s="172" t="s">
        <v>120</v>
      </c>
      <c r="O7" s="172" t="s">
        <v>121</v>
      </c>
      <c r="P7" s="172" t="s">
        <v>122</v>
      </c>
      <c r="S7" s="198" t="s">
        <v>166</v>
      </c>
      <c r="T7" s="171" t="s">
        <v>67</v>
      </c>
      <c r="U7" s="179" t="s">
        <v>128</v>
      </c>
      <c r="V7" s="180" t="s">
        <v>127</v>
      </c>
      <c r="W7" s="179" t="s">
        <v>129</v>
      </c>
      <c r="X7" s="170" t="s">
        <v>110</v>
      </c>
      <c r="Z7" s="165"/>
    </row>
    <row r="8" spans="2:27" x14ac:dyDescent="0.15">
      <c r="D8" s="44">
        <v>1828</v>
      </c>
      <c r="E8" s="29"/>
      <c r="F8" s="49">
        <v>0</v>
      </c>
      <c r="G8" s="48"/>
      <c r="H8" s="209"/>
      <c r="I8" s="164"/>
      <c r="J8" s="77"/>
      <c r="K8" s="59"/>
      <c r="M8" s="172"/>
      <c r="N8" s="171">
        <v>0</v>
      </c>
      <c r="O8" s="172"/>
      <c r="P8" s="172"/>
      <c r="R8" s="169" t="s">
        <v>7</v>
      </c>
      <c r="S8" s="42">
        <v>1913</v>
      </c>
      <c r="T8" s="47">
        <f t="shared" ref="T8:T29" si="0">LOOKUP(U8,D$58:D$248,N$58:N$248) + V8 + LOOKUP(W8,D$58:D$248,P$58:P$248) + X8</f>
        <v>170.21515273679924</v>
      </c>
      <c r="U8" s="42">
        <v>1913</v>
      </c>
      <c r="V8" s="56">
        <v>166.572</v>
      </c>
      <c r="W8" s="42">
        <v>1913</v>
      </c>
      <c r="X8" s="56">
        <v>3.3860000000000001</v>
      </c>
      <c r="Z8" s="56"/>
      <c r="AA8" s="56"/>
    </row>
    <row r="9" spans="2:27" x14ac:dyDescent="0.15">
      <c r="D9" s="44">
        <v>1829</v>
      </c>
      <c r="E9" s="21">
        <f>SUM(M9,O9)</f>
        <v>7.9251658980000002E-4</v>
      </c>
      <c r="F9" s="47">
        <f>F8+E9/1000</f>
        <v>7.9251658980000003E-7</v>
      </c>
      <c r="G9" s="48"/>
      <c r="H9" s="209"/>
      <c r="I9" s="164"/>
      <c r="J9" s="77"/>
      <c r="K9" s="59"/>
      <c r="M9" s="332">
        <v>7.9251658980000002E-4</v>
      </c>
      <c r="N9" s="47">
        <f>N8+M9/1000</f>
        <v>7.9251658980000003E-7</v>
      </c>
      <c r="O9" s="172"/>
      <c r="P9" s="174">
        <v>0</v>
      </c>
      <c r="R9" s="168" t="s">
        <v>99</v>
      </c>
      <c r="S9" s="42">
        <v>1936</v>
      </c>
      <c r="T9" s="47">
        <f t="shared" si="0"/>
        <v>152.49966373679919</v>
      </c>
      <c r="U9" s="46">
        <v>1927</v>
      </c>
      <c r="V9" s="56">
        <v>150.02099999999999</v>
      </c>
      <c r="W9" s="46">
        <v>1934</v>
      </c>
      <c r="X9" s="56">
        <v>2</v>
      </c>
      <c r="Z9" s="56"/>
      <c r="AA9" s="56"/>
    </row>
    <row r="10" spans="2:27" x14ac:dyDescent="0.15">
      <c r="D10" s="44">
        <v>1830</v>
      </c>
      <c r="E10" s="21">
        <f t="shared" ref="E10:E57" si="1">SUM(M10,O10)</f>
        <v>4.0641876400000004E-3</v>
      </c>
      <c r="F10" s="47">
        <f t="shared" ref="F10:F57" si="2">F9+E10/1000</f>
        <v>4.8567042298000002E-6</v>
      </c>
      <c r="G10" s="48"/>
      <c r="H10" s="209"/>
      <c r="I10" s="164"/>
      <c r="J10" s="77"/>
      <c r="K10" s="59"/>
      <c r="M10" s="332">
        <v>4.0641876400000004E-3</v>
      </c>
      <c r="N10" s="47">
        <f t="shared" ref="N10:N57" si="3">N9+M10/1000</f>
        <v>4.8567042298000002E-6</v>
      </c>
      <c r="O10" s="172"/>
      <c r="P10" s="174">
        <v>0</v>
      </c>
      <c r="R10" s="168" t="s">
        <v>100</v>
      </c>
      <c r="S10" s="42">
        <v>1937</v>
      </c>
      <c r="T10" s="47">
        <f t="shared" si="0"/>
        <v>151.1570237367992</v>
      </c>
      <c r="U10" s="46">
        <v>1927</v>
      </c>
      <c r="V10" s="56">
        <v>150.02099999999999</v>
      </c>
      <c r="W10" s="46">
        <v>1927</v>
      </c>
      <c r="X10" s="56">
        <v>0.67300000000000004</v>
      </c>
      <c r="Z10" s="56"/>
      <c r="AA10" s="56"/>
    </row>
    <row r="11" spans="2:27" x14ac:dyDescent="0.15">
      <c r="D11" s="44">
        <v>1831</v>
      </c>
      <c r="E11" s="21">
        <f t="shared" si="1"/>
        <v>5.0802345499999998E-3</v>
      </c>
      <c r="F11" s="47">
        <f t="shared" si="2"/>
        <v>9.9369387798000004E-6</v>
      </c>
      <c r="G11" s="48"/>
      <c r="H11" s="209"/>
      <c r="I11" s="164"/>
      <c r="J11" s="77"/>
      <c r="K11" s="59"/>
      <c r="M11" s="332">
        <v>5.0802345499999998E-3</v>
      </c>
      <c r="N11" s="47">
        <f t="shared" si="3"/>
        <v>9.9369387798000004E-6</v>
      </c>
      <c r="O11" s="172"/>
      <c r="P11" s="174">
        <v>0</v>
      </c>
      <c r="R11" s="168" t="s">
        <v>101</v>
      </c>
      <c r="S11" s="42">
        <v>1938</v>
      </c>
      <c r="T11" s="47">
        <f t="shared" si="0"/>
        <v>59.164514736799227</v>
      </c>
      <c r="U11" s="46">
        <v>1930</v>
      </c>
      <c r="V11" s="56">
        <v>57.991</v>
      </c>
      <c r="W11" s="46">
        <v>1927</v>
      </c>
      <c r="X11" s="56">
        <v>0.67300000000000004</v>
      </c>
      <c r="Z11" s="56"/>
      <c r="AA11" s="56"/>
    </row>
    <row r="12" spans="2:27" x14ac:dyDescent="0.15">
      <c r="D12" s="44">
        <v>1832</v>
      </c>
      <c r="E12" s="21">
        <f t="shared" si="1"/>
        <v>7.2576230781300002E-3</v>
      </c>
      <c r="F12" s="47">
        <f t="shared" si="2"/>
        <v>1.7194561857929999E-5</v>
      </c>
      <c r="G12" s="48"/>
      <c r="H12" s="209"/>
      <c r="I12" s="164"/>
      <c r="J12" s="77"/>
      <c r="K12" s="59"/>
      <c r="M12" s="332">
        <v>7.2576230781300002E-3</v>
      </c>
      <c r="N12" s="47">
        <f t="shared" si="3"/>
        <v>1.7194561857929999E-5</v>
      </c>
      <c r="O12" s="172"/>
      <c r="P12" s="174">
        <v>0</v>
      </c>
      <c r="R12" s="168" t="s">
        <v>102</v>
      </c>
      <c r="S12" s="42">
        <v>1948</v>
      </c>
      <c r="T12" s="47">
        <f t="shared" si="0"/>
        <v>54.429298736799225</v>
      </c>
      <c r="U12" s="46">
        <v>1945</v>
      </c>
      <c r="V12" s="56">
        <v>53.1</v>
      </c>
      <c r="W12" s="46">
        <v>1946</v>
      </c>
      <c r="X12" s="56">
        <v>0.54600000000000004</v>
      </c>
      <c r="Z12" s="56"/>
      <c r="AA12" s="56"/>
    </row>
    <row r="13" spans="2:27" x14ac:dyDescent="0.15">
      <c r="D13" s="44">
        <v>1833</v>
      </c>
      <c r="E13" s="21">
        <f t="shared" si="1"/>
        <v>6.92131155092E-3</v>
      </c>
      <c r="F13" s="47">
        <f t="shared" si="2"/>
        <v>2.411587340885E-5</v>
      </c>
      <c r="G13" s="48"/>
      <c r="H13" s="209"/>
      <c r="I13" s="164"/>
      <c r="J13" s="77"/>
      <c r="K13" s="59"/>
      <c r="M13" s="332">
        <v>6.92131155092E-3</v>
      </c>
      <c r="N13" s="47">
        <f t="shared" si="3"/>
        <v>2.411587340885E-5</v>
      </c>
      <c r="O13" s="172"/>
      <c r="P13" s="174">
        <v>0</v>
      </c>
      <c r="R13" s="168" t="s">
        <v>104</v>
      </c>
      <c r="S13" s="42">
        <v>1952</v>
      </c>
      <c r="T13" s="47">
        <f t="shared" si="0"/>
        <v>55.422443736799224</v>
      </c>
      <c r="U13" s="46">
        <v>1950</v>
      </c>
      <c r="V13" s="56">
        <v>53.6</v>
      </c>
      <c r="W13" s="46">
        <v>1950</v>
      </c>
      <c r="X13" s="56">
        <v>0.91900000000000004</v>
      </c>
      <c r="Z13" s="56"/>
      <c r="AA13" s="56"/>
    </row>
    <row r="14" spans="2:27" x14ac:dyDescent="0.15">
      <c r="D14" s="44">
        <v>1834</v>
      </c>
      <c r="E14" s="21">
        <f t="shared" si="1"/>
        <v>8.6262382658999995E-3</v>
      </c>
      <c r="F14" s="47">
        <f t="shared" si="2"/>
        <v>3.2742111674749999E-5</v>
      </c>
      <c r="G14" s="48"/>
      <c r="H14" s="209"/>
      <c r="I14" s="164"/>
      <c r="J14" s="77"/>
      <c r="K14" s="59"/>
      <c r="M14" s="332">
        <v>8.6262382658999995E-3</v>
      </c>
      <c r="N14" s="47">
        <f t="shared" si="3"/>
        <v>3.2742111674749999E-5</v>
      </c>
      <c r="O14" s="172"/>
      <c r="P14" s="174">
        <v>0</v>
      </c>
      <c r="R14" s="168" t="s">
        <v>105</v>
      </c>
      <c r="S14" s="42">
        <v>1954</v>
      </c>
      <c r="T14" s="47">
        <f t="shared" si="0"/>
        <v>59.80860973679922</v>
      </c>
      <c r="U14" s="46">
        <v>1953</v>
      </c>
      <c r="V14" s="56">
        <v>57.8</v>
      </c>
      <c r="W14" s="46">
        <v>1952</v>
      </c>
      <c r="X14" s="56">
        <v>1.0189999999999999</v>
      </c>
      <c r="Z14" s="56"/>
      <c r="AA14" s="56"/>
    </row>
    <row r="15" spans="2:27" x14ac:dyDescent="0.15">
      <c r="D15" s="44">
        <v>1835</v>
      </c>
      <c r="E15" s="21">
        <f t="shared" si="1"/>
        <v>1.2590853308720002E-2</v>
      </c>
      <c r="F15" s="47">
        <f t="shared" si="2"/>
        <v>4.5332964983470002E-5</v>
      </c>
      <c r="G15" s="48"/>
      <c r="H15" s="209"/>
      <c r="I15" s="164"/>
      <c r="J15" s="77"/>
      <c r="K15" s="59"/>
      <c r="M15" s="332">
        <v>1.2590853308720002E-2</v>
      </c>
      <c r="N15" s="47">
        <f t="shared" si="3"/>
        <v>4.5332964983470002E-5</v>
      </c>
      <c r="O15" s="172"/>
      <c r="P15" s="174">
        <v>0</v>
      </c>
      <c r="R15" s="168" t="s">
        <v>106</v>
      </c>
      <c r="S15" s="42">
        <v>1956</v>
      </c>
      <c r="T15" s="47">
        <f t="shared" si="0"/>
        <v>59.694464736799219</v>
      </c>
      <c r="U15" s="46">
        <v>1954</v>
      </c>
      <c r="V15" s="56">
        <v>57.8</v>
      </c>
      <c r="W15" s="46">
        <v>1954</v>
      </c>
      <c r="X15" s="56">
        <v>0.87009999999999998</v>
      </c>
      <c r="Z15" s="56"/>
      <c r="AA15" s="56"/>
    </row>
    <row r="16" spans="2:27" x14ac:dyDescent="0.15">
      <c r="D16" s="44">
        <v>1836</v>
      </c>
      <c r="E16" s="21">
        <f t="shared" si="1"/>
        <v>1.284892922386E-2</v>
      </c>
      <c r="F16" s="47">
        <f t="shared" si="2"/>
        <v>5.8181894207329999E-5</v>
      </c>
      <c r="G16" s="48"/>
      <c r="H16" s="209"/>
      <c r="I16" s="164"/>
      <c r="J16" s="77"/>
      <c r="K16" s="59"/>
      <c r="M16" s="332">
        <v>1.284892922386E-2</v>
      </c>
      <c r="N16" s="47">
        <f t="shared" si="3"/>
        <v>5.8181894207329999E-5</v>
      </c>
      <c r="O16" s="172"/>
      <c r="P16" s="174">
        <v>0</v>
      </c>
      <c r="R16" s="168" t="s">
        <v>107</v>
      </c>
      <c r="S16" s="42">
        <v>1960</v>
      </c>
      <c r="T16" s="47">
        <f t="shared" si="0"/>
        <v>66.123284736799221</v>
      </c>
      <c r="U16" s="46">
        <v>1958</v>
      </c>
      <c r="V16" s="56">
        <v>64.602999999999994</v>
      </c>
      <c r="W16" s="46">
        <v>1955</v>
      </c>
      <c r="X16" s="56">
        <v>0.36939999999999995</v>
      </c>
      <c r="Z16" s="56"/>
      <c r="AA16" s="56"/>
    </row>
    <row r="17" spans="4:27" x14ac:dyDescent="0.15">
      <c r="D17" s="44">
        <v>1837</v>
      </c>
      <c r="E17" s="21">
        <f t="shared" si="1"/>
        <v>1.6341082453529998E-2</v>
      </c>
      <c r="F17" s="47">
        <f t="shared" si="2"/>
        <v>7.4522976660860004E-5</v>
      </c>
      <c r="G17" s="48"/>
      <c r="H17" s="209"/>
      <c r="I17" s="164"/>
      <c r="J17" s="77"/>
      <c r="K17" s="59"/>
      <c r="M17" s="332">
        <v>1.6341082453529998E-2</v>
      </c>
      <c r="N17" s="47">
        <f t="shared" si="3"/>
        <v>7.4522976660860004E-5</v>
      </c>
      <c r="O17" s="172"/>
      <c r="P17" s="174">
        <v>0</v>
      </c>
      <c r="R17" s="168" t="s">
        <v>108</v>
      </c>
      <c r="S17" s="42">
        <v>1962</v>
      </c>
      <c r="T17" s="47">
        <f t="shared" si="0"/>
        <v>112.32351973679923</v>
      </c>
      <c r="U17" s="46">
        <v>1961</v>
      </c>
      <c r="V17" s="56">
        <v>109.834</v>
      </c>
      <c r="W17" s="46">
        <v>1959</v>
      </c>
      <c r="X17" s="56">
        <v>1.2170000000000001</v>
      </c>
      <c r="Z17" s="56"/>
      <c r="AA17" s="56"/>
    </row>
    <row r="18" spans="4:27" x14ac:dyDescent="0.15">
      <c r="D18" s="44">
        <v>1838</v>
      </c>
      <c r="E18" s="21">
        <f t="shared" si="1"/>
        <v>1.7496327790200002E-2</v>
      </c>
      <c r="F18" s="47">
        <f t="shared" si="2"/>
        <v>9.2019304451059999E-5</v>
      </c>
      <c r="G18" s="48"/>
      <c r="H18" s="209"/>
      <c r="I18" s="164"/>
      <c r="J18" s="77"/>
      <c r="K18" s="59"/>
      <c r="M18" s="332">
        <v>1.7496327790200002E-2</v>
      </c>
      <c r="N18" s="47">
        <f t="shared" si="3"/>
        <v>9.2019304451059999E-5</v>
      </c>
      <c r="O18" s="172"/>
      <c r="P18" s="174">
        <v>0</v>
      </c>
      <c r="R18" s="168" t="s">
        <v>109</v>
      </c>
      <c r="S18" s="42">
        <v>1968</v>
      </c>
      <c r="T18" s="47">
        <f t="shared" si="0"/>
        <v>114.34453673679921</v>
      </c>
      <c r="U18" s="46">
        <v>1966</v>
      </c>
      <c r="V18" s="56">
        <v>111.6</v>
      </c>
      <c r="W18" s="46">
        <v>1967</v>
      </c>
      <c r="X18" s="56">
        <v>1.216</v>
      </c>
      <c r="Z18" s="56"/>
      <c r="AA18" s="56"/>
    </row>
    <row r="19" spans="4:27" x14ac:dyDescent="0.15">
      <c r="D19" s="44">
        <v>1839</v>
      </c>
      <c r="E19" s="21">
        <f t="shared" si="1"/>
        <v>2.1624526385529998E-2</v>
      </c>
      <c r="F19" s="47">
        <f t="shared" si="2"/>
        <v>1.1364383083658999E-4</v>
      </c>
      <c r="G19" s="48"/>
      <c r="H19" s="209"/>
      <c r="I19" s="164"/>
      <c r="J19" s="77"/>
      <c r="K19" s="59"/>
      <c r="M19" s="332">
        <v>2.1624526385529998E-2</v>
      </c>
      <c r="N19" s="47">
        <f t="shared" si="3"/>
        <v>1.1364383083658999E-4</v>
      </c>
      <c r="O19" s="172"/>
      <c r="P19" s="174">
        <v>0</v>
      </c>
      <c r="R19" s="146" t="s">
        <v>8</v>
      </c>
      <c r="S19" s="42">
        <v>1974</v>
      </c>
      <c r="T19" s="47">
        <f t="shared" si="0"/>
        <v>26.548409236799223</v>
      </c>
      <c r="U19" s="46">
        <v>1973</v>
      </c>
      <c r="V19" s="56">
        <v>24.324999999999999</v>
      </c>
      <c r="W19" s="46">
        <v>1969</v>
      </c>
      <c r="X19" s="56">
        <v>0.19</v>
      </c>
      <c r="Z19" s="56"/>
      <c r="AA19" s="56"/>
    </row>
    <row r="20" spans="4:27" x14ac:dyDescent="0.15">
      <c r="D20" s="44">
        <v>1840</v>
      </c>
      <c r="E20" s="21">
        <f t="shared" si="1"/>
        <v>3.074151530896E-2</v>
      </c>
      <c r="F20" s="47">
        <f t="shared" si="2"/>
        <v>1.4438534614554999E-4</v>
      </c>
      <c r="G20" s="48"/>
      <c r="H20" s="209"/>
      <c r="I20" s="164"/>
      <c r="J20" s="77"/>
      <c r="K20" s="59"/>
      <c r="M20" s="332">
        <v>3.074151530896E-2</v>
      </c>
      <c r="N20" s="47">
        <f t="shared" si="3"/>
        <v>1.4438534614554999E-4</v>
      </c>
      <c r="O20" s="172"/>
      <c r="P20" s="174">
        <v>0</v>
      </c>
      <c r="R20" s="168" t="s">
        <v>9</v>
      </c>
      <c r="S20" s="42">
        <v>1980</v>
      </c>
      <c r="T20" s="47">
        <f t="shared" si="0"/>
        <v>62.398569236799226</v>
      </c>
      <c r="U20" s="46">
        <v>1979</v>
      </c>
      <c r="V20" s="56">
        <v>59.54</v>
      </c>
      <c r="W20" s="46">
        <v>1979</v>
      </c>
      <c r="X20" s="56">
        <v>0.21099999999999999</v>
      </c>
      <c r="Z20" s="56"/>
      <c r="AA20" s="56"/>
    </row>
    <row r="21" spans="4:27" x14ac:dyDescent="0.15">
      <c r="D21" s="44">
        <v>1841</v>
      </c>
      <c r="E21" s="21">
        <f t="shared" si="1"/>
        <v>3.540009039131E-2</v>
      </c>
      <c r="F21" s="47">
        <f t="shared" si="2"/>
        <v>1.7978543653686001E-4</v>
      </c>
      <c r="G21" s="48"/>
      <c r="H21" s="209"/>
      <c r="I21" s="164"/>
      <c r="J21" s="77"/>
      <c r="K21" s="59"/>
      <c r="M21" s="332">
        <v>3.540009039131E-2</v>
      </c>
      <c r="N21" s="47">
        <f t="shared" si="3"/>
        <v>1.7978543653686001E-4</v>
      </c>
      <c r="O21" s="172"/>
      <c r="P21" s="174">
        <v>0</v>
      </c>
      <c r="R21" s="168" t="s">
        <v>10</v>
      </c>
      <c r="S21" s="42">
        <v>1986</v>
      </c>
      <c r="T21" s="47">
        <f t="shared" si="0"/>
        <v>69.209950736799229</v>
      </c>
      <c r="U21" s="3">
        <v>1984</v>
      </c>
      <c r="V21" s="56">
        <v>65.701999999999998</v>
      </c>
      <c r="W21" s="3">
        <v>1984</v>
      </c>
      <c r="X21" s="56">
        <v>0.2</v>
      </c>
      <c r="Z21" s="56"/>
      <c r="AA21" s="56"/>
    </row>
    <row r="22" spans="4:27" x14ac:dyDescent="0.15">
      <c r="D22" s="44">
        <v>1842</v>
      </c>
      <c r="E22" s="21">
        <f t="shared" si="1"/>
        <v>4.0540271709E-2</v>
      </c>
      <c r="F22" s="47">
        <f t="shared" si="2"/>
        <v>2.2032570824586002E-4</v>
      </c>
      <c r="G22" s="48"/>
      <c r="H22" s="209"/>
      <c r="I22" s="164"/>
      <c r="J22" s="77"/>
      <c r="K22" s="59"/>
      <c r="M22" s="332">
        <v>4.0540271709E-2</v>
      </c>
      <c r="N22" s="47">
        <f t="shared" si="3"/>
        <v>2.2032570824586002E-4</v>
      </c>
      <c r="O22" s="172"/>
      <c r="P22" s="174">
        <v>0</v>
      </c>
      <c r="R22" s="168" t="s">
        <v>11</v>
      </c>
      <c r="S22" s="42">
        <v>1989</v>
      </c>
      <c r="T22" s="47">
        <f t="shared" si="0"/>
        <v>94.904499236799225</v>
      </c>
      <c r="U22" s="3">
        <v>1987</v>
      </c>
      <c r="V22" s="56">
        <v>90.94</v>
      </c>
      <c r="W22" s="3">
        <v>1987</v>
      </c>
      <c r="X22" s="56">
        <v>0.11700000000000001</v>
      </c>
      <c r="Z22" s="56"/>
      <c r="AA22" s="56"/>
    </row>
    <row r="23" spans="4:27" x14ac:dyDescent="0.15">
      <c r="D23" s="44">
        <v>1843</v>
      </c>
      <c r="E23" s="21">
        <f t="shared" si="1"/>
        <v>2.627700518642E-2</v>
      </c>
      <c r="F23" s="47">
        <f t="shared" si="2"/>
        <v>2.4660271343228E-4</v>
      </c>
      <c r="G23" s="48"/>
      <c r="H23" s="209"/>
      <c r="I23" s="164"/>
      <c r="J23" s="77"/>
      <c r="K23" s="59"/>
      <c r="M23" s="332">
        <v>2.627700518642E-2</v>
      </c>
      <c r="N23" s="47">
        <f t="shared" si="3"/>
        <v>2.4660271343228E-4</v>
      </c>
      <c r="O23" s="172"/>
      <c r="P23" s="174">
        <v>0</v>
      </c>
      <c r="R23" s="168" t="s">
        <v>12</v>
      </c>
      <c r="S23" s="42">
        <v>1992</v>
      </c>
      <c r="T23" s="47">
        <f t="shared" si="0"/>
        <v>95.511209736799231</v>
      </c>
      <c r="U23" s="3">
        <v>1990</v>
      </c>
      <c r="V23" s="56">
        <v>90.94</v>
      </c>
      <c r="W23" s="3">
        <v>1990</v>
      </c>
      <c r="X23" s="56">
        <v>0.11700000000000001</v>
      </c>
      <c r="Z23" s="56"/>
      <c r="AA23" s="56"/>
    </row>
    <row r="24" spans="4:27" x14ac:dyDescent="0.15">
      <c r="D24" s="44">
        <v>1844</v>
      </c>
      <c r="E24" s="21">
        <f t="shared" si="1"/>
        <v>2.3488972465379999E-2</v>
      </c>
      <c r="F24" s="47">
        <f t="shared" si="2"/>
        <v>2.7009168589765998E-4</v>
      </c>
      <c r="G24" s="48"/>
      <c r="H24" s="209"/>
      <c r="I24" s="164"/>
      <c r="J24" s="77"/>
      <c r="K24" s="59"/>
      <c r="M24" s="332">
        <v>2.3488972465379999E-2</v>
      </c>
      <c r="N24" s="47">
        <f t="shared" si="3"/>
        <v>2.7009168589765998E-4</v>
      </c>
      <c r="O24" s="172"/>
      <c r="P24" s="174">
        <v>0</v>
      </c>
      <c r="R24" s="168" t="s">
        <v>13</v>
      </c>
      <c r="S24" s="42">
        <v>1995</v>
      </c>
      <c r="T24" s="47">
        <f t="shared" si="0"/>
        <v>96.195459736799236</v>
      </c>
      <c r="U24" s="3">
        <v>1993</v>
      </c>
      <c r="V24" s="56">
        <v>90.94</v>
      </c>
      <c r="W24" s="3">
        <v>1993</v>
      </c>
      <c r="X24" s="56">
        <v>0.11700000000000001</v>
      </c>
      <c r="Z24" s="56"/>
      <c r="AA24" s="56"/>
    </row>
    <row r="25" spans="4:27" x14ac:dyDescent="0.15">
      <c r="D25" s="44">
        <v>1845</v>
      </c>
      <c r="E25" s="21">
        <f t="shared" si="1"/>
        <v>2.2682231218839999E-2</v>
      </c>
      <c r="F25" s="47">
        <f t="shared" si="2"/>
        <v>2.9277391711650001E-4</v>
      </c>
      <c r="G25" s="48"/>
      <c r="H25" s="209"/>
      <c r="I25" s="164"/>
      <c r="J25" s="77"/>
      <c r="K25" s="59"/>
      <c r="M25" s="332">
        <v>2.2682231218839999E-2</v>
      </c>
      <c r="N25" s="47">
        <f t="shared" si="3"/>
        <v>2.9277391711650001E-4</v>
      </c>
      <c r="O25" s="172"/>
      <c r="P25" s="174">
        <v>0</v>
      </c>
      <c r="R25" s="168" t="s">
        <v>14</v>
      </c>
      <c r="S25" s="42">
        <v>1998</v>
      </c>
      <c r="T25" s="47">
        <f t="shared" si="0"/>
        <v>96.852896736799224</v>
      </c>
      <c r="U25" s="3">
        <v>1996</v>
      </c>
      <c r="V25" s="56">
        <v>90.4</v>
      </c>
      <c r="W25" s="3">
        <v>1996</v>
      </c>
      <c r="X25" s="56">
        <v>0.57099999999999995</v>
      </c>
      <c r="Z25" s="56"/>
      <c r="AA25" s="56"/>
    </row>
    <row r="26" spans="4:27" x14ac:dyDescent="0.15">
      <c r="D26" s="44">
        <v>1846</v>
      </c>
      <c r="E26" s="21">
        <f t="shared" si="1"/>
        <v>3.9590267848150007E-2</v>
      </c>
      <c r="F26" s="47">
        <f t="shared" si="2"/>
        <v>3.3236418496465002E-4</v>
      </c>
      <c r="G26" s="48"/>
      <c r="H26" s="209"/>
      <c r="I26" s="164"/>
      <c r="J26" s="77"/>
      <c r="K26" s="59"/>
      <c r="M26" s="332">
        <v>3.9590267848150007E-2</v>
      </c>
      <c r="N26" s="47">
        <f t="shared" si="3"/>
        <v>3.3236418496465002E-4</v>
      </c>
      <c r="O26" s="172"/>
      <c r="P26" s="174">
        <v>0</v>
      </c>
      <c r="R26" s="168" t="s">
        <v>15</v>
      </c>
      <c r="S26" s="42">
        <v>2001</v>
      </c>
      <c r="T26" s="47">
        <f t="shared" si="0"/>
        <v>89.422878736799234</v>
      </c>
      <c r="U26" s="3">
        <v>1999</v>
      </c>
      <c r="V26" s="56">
        <v>82.09</v>
      </c>
      <c r="W26" s="3">
        <v>1999</v>
      </c>
      <c r="X26" s="56">
        <v>0.57199999999999995</v>
      </c>
      <c r="Z26" s="56"/>
      <c r="AA26" s="56"/>
    </row>
    <row r="27" spans="4:27" x14ac:dyDescent="0.15">
      <c r="D27" s="44">
        <v>1847</v>
      </c>
      <c r="E27" s="21">
        <f t="shared" si="1"/>
        <v>4.138562273812E-2</v>
      </c>
      <c r="F27" s="47">
        <f t="shared" si="2"/>
        <v>3.7374980770277E-4</v>
      </c>
      <c r="G27" s="48"/>
      <c r="H27" s="209"/>
      <c r="I27" s="164"/>
      <c r="J27" s="77"/>
      <c r="K27" s="59"/>
      <c r="M27" s="332">
        <v>4.138562273812E-2</v>
      </c>
      <c r="N27" s="47">
        <f t="shared" si="3"/>
        <v>3.7374980770277E-4</v>
      </c>
      <c r="O27" s="172"/>
      <c r="P27" s="174">
        <v>0</v>
      </c>
      <c r="R27" s="168" t="s">
        <v>16</v>
      </c>
      <c r="S27" s="42">
        <v>2004</v>
      </c>
      <c r="T27" s="47">
        <f t="shared" si="0"/>
        <v>86.831224736799228</v>
      </c>
      <c r="U27" s="3">
        <v>2002</v>
      </c>
      <c r="V27" s="56">
        <v>78.5</v>
      </c>
      <c r="W27" s="3">
        <v>2002</v>
      </c>
      <c r="X27" s="56">
        <v>0.57099999999999995</v>
      </c>
      <c r="Z27" s="56"/>
      <c r="AA27" s="56"/>
    </row>
    <row r="28" spans="4:27" x14ac:dyDescent="0.15">
      <c r="D28" s="44">
        <v>1848</v>
      </c>
      <c r="E28" s="21">
        <f t="shared" si="1"/>
        <v>4.6176283918770003E-2</v>
      </c>
      <c r="F28" s="47">
        <f t="shared" si="2"/>
        <v>4.1992609162153999E-4</v>
      </c>
      <c r="G28" s="48"/>
      <c r="H28" s="209"/>
      <c r="I28" s="164"/>
      <c r="J28" s="77"/>
      <c r="K28" s="59"/>
      <c r="M28" s="332">
        <v>4.6176283918770003E-2</v>
      </c>
      <c r="N28" s="47">
        <f t="shared" si="3"/>
        <v>4.1992609162153999E-4</v>
      </c>
      <c r="O28" s="172"/>
      <c r="P28" s="174">
        <v>0</v>
      </c>
      <c r="R28" s="168" t="s">
        <v>17</v>
      </c>
      <c r="S28" s="42">
        <v>2007</v>
      </c>
      <c r="T28" s="47">
        <f t="shared" si="0"/>
        <v>86.036842398799209</v>
      </c>
      <c r="U28" s="3">
        <v>2005</v>
      </c>
      <c r="V28" s="56">
        <v>76.599999999999994</v>
      </c>
      <c r="W28" s="3">
        <v>2005</v>
      </c>
      <c r="X28" s="56">
        <v>0.57099999999999995</v>
      </c>
      <c r="Z28" s="56"/>
      <c r="AA28" s="56"/>
    </row>
    <row r="29" spans="4:27" x14ac:dyDescent="0.15">
      <c r="D29" s="44">
        <v>1849</v>
      </c>
      <c r="E29" s="21">
        <f t="shared" si="1"/>
        <v>4.9294531885559996E-2</v>
      </c>
      <c r="F29" s="47">
        <f t="shared" si="2"/>
        <v>4.6922062350709996E-4</v>
      </c>
      <c r="G29" s="48"/>
      <c r="H29" s="209"/>
      <c r="I29" s="164"/>
      <c r="J29" s="77"/>
      <c r="K29" s="59"/>
      <c r="M29" s="332">
        <v>4.9294531885559996E-2</v>
      </c>
      <c r="N29" s="47">
        <f t="shared" si="3"/>
        <v>4.6922062350709996E-4</v>
      </c>
      <c r="O29" s="172"/>
      <c r="P29" s="174">
        <v>0</v>
      </c>
      <c r="R29" s="341" t="s">
        <v>297</v>
      </c>
      <c r="S29" s="42">
        <v>2010</v>
      </c>
      <c r="T29" s="56">
        <f t="shared" si="0"/>
        <v>87.024848034799234</v>
      </c>
      <c r="U29" s="42">
        <v>2008</v>
      </c>
      <c r="V29" s="47">
        <v>76.400000000000006</v>
      </c>
      <c r="W29" s="42">
        <v>2008</v>
      </c>
      <c r="X29" s="47">
        <v>0.57099999999999995</v>
      </c>
      <c r="AA29" s="56"/>
    </row>
    <row r="30" spans="4:27" x14ac:dyDescent="0.15">
      <c r="D30" s="44">
        <v>1850</v>
      </c>
      <c r="E30" s="21">
        <f t="shared" si="1"/>
        <v>7.2358796742560003E-2</v>
      </c>
      <c r="F30" s="47">
        <f t="shared" si="2"/>
        <v>5.4157942024965998E-4</v>
      </c>
      <c r="G30" s="48"/>
      <c r="H30" s="209"/>
      <c r="I30" s="164"/>
      <c r="J30" s="77"/>
      <c r="K30" s="59"/>
      <c r="M30" s="332">
        <v>7.2358796742560003E-2</v>
      </c>
      <c r="N30" s="47">
        <f t="shared" si="3"/>
        <v>5.4157942024965998E-4</v>
      </c>
      <c r="O30" s="172"/>
      <c r="P30" s="174">
        <v>0</v>
      </c>
      <c r="V30" s="65"/>
      <c r="X30" s="65"/>
    </row>
    <row r="31" spans="4:27" x14ac:dyDescent="0.15">
      <c r="D31" s="44">
        <v>1851</v>
      </c>
      <c r="E31" s="21">
        <f t="shared" si="1"/>
        <v>6.8694931585099997E-2</v>
      </c>
      <c r="F31" s="47">
        <f t="shared" si="2"/>
        <v>6.1027435183475995E-4</v>
      </c>
      <c r="G31" s="48"/>
      <c r="H31" s="209"/>
      <c r="I31" s="164"/>
      <c r="J31" s="77"/>
      <c r="K31" s="59"/>
      <c r="M31" s="332">
        <v>6.8694931585099997E-2</v>
      </c>
      <c r="N31" s="47">
        <f t="shared" si="3"/>
        <v>6.1027435183475995E-4</v>
      </c>
      <c r="O31" s="172"/>
      <c r="P31" s="174">
        <v>0</v>
      </c>
      <c r="V31" s="65"/>
      <c r="X31" s="65"/>
    </row>
    <row r="32" spans="4:27" x14ac:dyDescent="0.15">
      <c r="D32" s="44">
        <v>1852</v>
      </c>
      <c r="E32" s="21">
        <f t="shared" si="1"/>
        <v>6.8485625921640009E-2</v>
      </c>
      <c r="F32" s="47">
        <f t="shared" si="2"/>
        <v>6.7875997775639996E-4</v>
      </c>
      <c r="G32" s="48"/>
      <c r="H32" s="209"/>
      <c r="I32" s="164"/>
      <c r="J32" s="77"/>
      <c r="K32" s="59"/>
      <c r="M32" s="332">
        <v>6.8485625921640009E-2</v>
      </c>
      <c r="N32" s="47">
        <f t="shared" si="3"/>
        <v>6.7875997775639996E-4</v>
      </c>
      <c r="O32" s="172"/>
      <c r="P32" s="174">
        <v>0</v>
      </c>
      <c r="V32" s="65"/>
      <c r="X32" s="65"/>
    </row>
    <row r="33" spans="4:24" x14ac:dyDescent="0.15">
      <c r="D33" s="44">
        <v>1853</v>
      </c>
      <c r="E33" s="21">
        <f t="shared" si="1"/>
        <v>9.8362485310190012E-2</v>
      </c>
      <c r="F33" s="47">
        <f t="shared" si="2"/>
        <v>7.7712246306658995E-4</v>
      </c>
      <c r="G33" s="48"/>
      <c r="H33" s="209"/>
      <c r="I33" s="164"/>
      <c r="J33" s="77"/>
      <c r="K33" s="59"/>
      <c r="M33" s="332">
        <v>9.8362485310190012E-2</v>
      </c>
      <c r="N33" s="47">
        <f t="shared" si="3"/>
        <v>7.7712246306658995E-4</v>
      </c>
      <c r="O33" s="172"/>
      <c r="P33" s="174">
        <v>0</v>
      </c>
      <c r="V33" s="65"/>
      <c r="X33" s="65"/>
    </row>
    <row r="34" spans="4:24" x14ac:dyDescent="0.15">
      <c r="D34" s="44">
        <v>1854</v>
      </c>
      <c r="E34" s="21">
        <f t="shared" si="1"/>
        <v>0.11851374367622002</v>
      </c>
      <c r="F34" s="47">
        <f t="shared" si="2"/>
        <v>8.9563620674280994E-4</v>
      </c>
      <c r="G34" s="48"/>
      <c r="H34" s="209"/>
      <c r="I34" s="164"/>
      <c r="J34" s="77"/>
      <c r="K34" s="59"/>
      <c r="M34" s="332">
        <v>0.11851374367622002</v>
      </c>
      <c r="N34" s="47">
        <f t="shared" si="3"/>
        <v>8.9563620674280994E-4</v>
      </c>
      <c r="O34" s="172"/>
      <c r="P34" s="174">
        <v>0</v>
      </c>
      <c r="V34" s="65"/>
      <c r="X34" s="65"/>
    </row>
    <row r="35" spans="4:24" x14ac:dyDescent="0.15">
      <c r="D35" s="44">
        <v>1855</v>
      </c>
      <c r="E35" s="21">
        <f t="shared" si="1"/>
        <v>0.13927564623516001</v>
      </c>
      <c r="F35" s="47">
        <f t="shared" si="2"/>
        <v>1.0349118529779698E-3</v>
      </c>
      <c r="G35" s="48"/>
      <c r="H35" s="209"/>
      <c r="I35" s="164"/>
      <c r="J35" s="77"/>
      <c r="K35" s="59"/>
      <c r="M35" s="332">
        <v>0.13927564623516001</v>
      </c>
      <c r="N35" s="47">
        <f t="shared" si="3"/>
        <v>1.0349118529779698E-3</v>
      </c>
      <c r="O35" s="172"/>
      <c r="P35" s="174">
        <v>0</v>
      </c>
      <c r="V35" s="65"/>
      <c r="X35" s="65"/>
    </row>
    <row r="36" spans="4:24" x14ac:dyDescent="0.15">
      <c r="D36" s="44">
        <v>1856</v>
      </c>
      <c r="E36" s="21">
        <f t="shared" si="1"/>
        <v>0.19300827102360002</v>
      </c>
      <c r="F36" s="47">
        <f t="shared" si="2"/>
        <v>1.2279201240015698E-3</v>
      </c>
      <c r="G36" s="48"/>
      <c r="H36" s="209"/>
      <c r="I36" s="164"/>
      <c r="J36" s="77"/>
      <c r="K36" s="59"/>
      <c r="M36" s="332">
        <v>0.19300827102360002</v>
      </c>
      <c r="N36" s="47">
        <f t="shared" si="3"/>
        <v>1.2279201240015698E-3</v>
      </c>
      <c r="O36" s="172"/>
      <c r="P36" s="174">
        <v>0</v>
      </c>
    </row>
    <row r="37" spans="4:24" x14ac:dyDescent="0.15">
      <c r="D37" s="44">
        <v>1857</v>
      </c>
      <c r="E37" s="21">
        <f t="shared" si="1"/>
        <v>0.21381081545893998</v>
      </c>
      <c r="F37" s="47">
        <f t="shared" si="2"/>
        <v>1.4417309394605098E-3</v>
      </c>
      <c r="G37" s="48"/>
      <c r="H37" s="209"/>
      <c r="I37" s="164"/>
      <c r="J37" s="77"/>
      <c r="K37" s="59"/>
      <c r="M37" s="332">
        <v>0.21381081545893998</v>
      </c>
      <c r="N37" s="47">
        <f t="shared" si="3"/>
        <v>1.4417309394605098E-3</v>
      </c>
      <c r="O37" s="172"/>
      <c r="P37" s="174">
        <v>0</v>
      </c>
    </row>
    <row r="38" spans="4:24" x14ac:dyDescent="0.15">
      <c r="D38" s="44">
        <v>1858</v>
      </c>
      <c r="E38" s="21">
        <f t="shared" si="1"/>
        <v>0.21986950318327003</v>
      </c>
      <c r="F38" s="47">
        <f t="shared" si="2"/>
        <v>1.6616004426437798E-3</v>
      </c>
      <c r="G38" s="48"/>
      <c r="H38" s="209"/>
      <c r="I38" s="164"/>
      <c r="J38" s="77"/>
      <c r="K38" s="59"/>
      <c r="M38" s="332">
        <v>0.21986950318327003</v>
      </c>
      <c r="N38" s="47">
        <f t="shared" si="3"/>
        <v>1.6616004426437798E-3</v>
      </c>
      <c r="O38" s="172"/>
      <c r="P38" s="174">
        <v>0</v>
      </c>
    </row>
    <row r="39" spans="4:24" x14ac:dyDescent="0.15">
      <c r="D39" s="44">
        <v>1859</v>
      </c>
      <c r="E39" s="21">
        <f t="shared" si="1"/>
        <v>0.31315886627182998</v>
      </c>
      <c r="F39" s="47">
        <f t="shared" si="2"/>
        <v>1.9747593089156096E-3</v>
      </c>
      <c r="G39" s="48"/>
      <c r="H39" s="209"/>
      <c r="I39" s="164"/>
      <c r="J39" s="77"/>
      <c r="K39" s="59"/>
      <c r="M39" s="332">
        <v>0.31315886627182998</v>
      </c>
      <c r="N39" s="47">
        <f t="shared" si="3"/>
        <v>1.9747593089156096E-3</v>
      </c>
      <c r="O39" s="172"/>
      <c r="P39" s="174">
        <v>0</v>
      </c>
    </row>
    <row r="40" spans="4:24" x14ac:dyDescent="0.15">
      <c r="D40" s="44">
        <v>1860</v>
      </c>
      <c r="E40" s="21">
        <f t="shared" si="1"/>
        <v>0.38730590557599004</v>
      </c>
      <c r="F40" s="47">
        <f t="shared" si="2"/>
        <v>2.3620652144915998E-3</v>
      </c>
      <c r="G40" s="48"/>
      <c r="H40" s="209"/>
      <c r="I40" s="164"/>
      <c r="J40" s="77"/>
      <c r="K40" s="59"/>
      <c r="M40" s="332">
        <v>0.38730590557599004</v>
      </c>
      <c r="N40" s="47">
        <f t="shared" si="3"/>
        <v>2.3620652144915998E-3</v>
      </c>
      <c r="O40" s="172"/>
      <c r="P40" s="174">
        <v>0</v>
      </c>
    </row>
    <row r="41" spans="4:24" x14ac:dyDescent="0.15">
      <c r="D41" s="44">
        <v>1861</v>
      </c>
      <c r="E41" s="21">
        <f t="shared" si="1"/>
        <v>0.36199617704789006</v>
      </c>
      <c r="F41" s="47">
        <f t="shared" si="2"/>
        <v>2.7240613915394899E-3</v>
      </c>
      <c r="G41" s="48"/>
      <c r="H41" s="209"/>
      <c r="I41" s="164"/>
      <c r="J41" s="77"/>
      <c r="K41" s="59"/>
      <c r="M41" s="332">
        <v>0.36199617704789006</v>
      </c>
      <c r="N41" s="47">
        <f t="shared" si="3"/>
        <v>2.7240613915394899E-3</v>
      </c>
      <c r="O41" s="172"/>
      <c r="P41" s="174">
        <v>0</v>
      </c>
    </row>
    <row r="42" spans="4:24" x14ac:dyDescent="0.15">
      <c r="D42" s="44">
        <v>1862</v>
      </c>
      <c r="E42" s="21">
        <f t="shared" si="1"/>
        <v>0.50862190662999007</v>
      </c>
      <c r="F42" s="47">
        <f t="shared" si="2"/>
        <v>3.2326832981694801E-3</v>
      </c>
      <c r="G42" s="48"/>
      <c r="H42" s="209"/>
      <c r="I42" s="164"/>
      <c r="J42" s="77"/>
      <c r="K42" s="59"/>
      <c r="M42" s="332">
        <v>0.50862190662999007</v>
      </c>
      <c r="N42" s="47">
        <f t="shared" si="3"/>
        <v>3.2326832981694801E-3</v>
      </c>
      <c r="O42" s="172"/>
      <c r="P42" s="174">
        <v>0</v>
      </c>
    </row>
    <row r="43" spans="4:24" x14ac:dyDescent="0.15">
      <c r="D43" s="44">
        <v>1863</v>
      </c>
      <c r="E43" s="21">
        <f t="shared" si="1"/>
        <v>0.46523670357299002</v>
      </c>
      <c r="F43" s="47">
        <f t="shared" si="2"/>
        <v>3.6979200017424703E-3</v>
      </c>
      <c r="G43" s="48"/>
      <c r="H43" s="209"/>
      <c r="I43" s="164"/>
      <c r="J43" s="77"/>
      <c r="K43" s="59"/>
      <c r="M43" s="332">
        <v>0.46523670357299002</v>
      </c>
      <c r="N43" s="47">
        <f t="shared" si="3"/>
        <v>3.6979200017424703E-3</v>
      </c>
      <c r="O43" s="172"/>
      <c r="P43" s="174">
        <v>0</v>
      </c>
    </row>
    <row r="44" spans="4:24" x14ac:dyDescent="0.15">
      <c r="D44" s="44">
        <v>1864</v>
      </c>
      <c r="E44" s="21">
        <f t="shared" si="1"/>
        <v>0.58322311890291989</v>
      </c>
      <c r="F44" s="47">
        <f t="shared" si="2"/>
        <v>4.2811431206453898E-3</v>
      </c>
      <c r="G44" s="48"/>
      <c r="H44" s="209"/>
      <c r="I44" s="164"/>
      <c r="J44" s="77"/>
      <c r="K44" s="59"/>
      <c r="M44" s="332">
        <v>0.58322311890291989</v>
      </c>
      <c r="N44" s="47">
        <f t="shared" si="3"/>
        <v>4.2811431206453898E-3</v>
      </c>
      <c r="O44" s="172"/>
      <c r="P44" s="174">
        <v>0</v>
      </c>
    </row>
    <row r="45" spans="4:24" x14ac:dyDescent="0.15">
      <c r="D45" s="44">
        <v>1865</v>
      </c>
      <c r="E45" s="21">
        <f t="shared" si="1"/>
        <v>0.6286505762490201</v>
      </c>
      <c r="F45" s="47">
        <f t="shared" si="2"/>
        <v>4.9097936968944102E-3</v>
      </c>
      <c r="G45" s="48"/>
      <c r="H45" s="209"/>
      <c r="I45" s="164"/>
      <c r="J45" s="77"/>
      <c r="K45" s="59"/>
      <c r="M45" s="332">
        <v>0.6286505762490201</v>
      </c>
      <c r="N45" s="47">
        <f t="shared" si="3"/>
        <v>4.9097936968944102E-3</v>
      </c>
      <c r="O45" s="172"/>
      <c r="P45" s="174">
        <v>0</v>
      </c>
    </row>
    <row r="46" spans="4:24" x14ac:dyDescent="0.15">
      <c r="D46" s="44">
        <v>1866</v>
      </c>
      <c r="E46" s="21">
        <f t="shared" si="1"/>
        <v>0.82660902781813994</v>
      </c>
      <c r="F46" s="47">
        <f t="shared" si="2"/>
        <v>5.7364027247125502E-3</v>
      </c>
      <c r="G46" s="48"/>
      <c r="H46" s="209"/>
      <c r="I46" s="164"/>
      <c r="J46" s="77"/>
      <c r="K46" s="59"/>
      <c r="M46" s="332">
        <v>0.82660902781813994</v>
      </c>
      <c r="N46" s="47">
        <f t="shared" si="3"/>
        <v>5.7364027247125502E-3</v>
      </c>
      <c r="O46" s="172"/>
      <c r="P46" s="174">
        <v>0</v>
      </c>
    </row>
    <row r="47" spans="4:24" x14ac:dyDescent="0.15">
      <c r="D47" s="44">
        <v>1867</v>
      </c>
      <c r="E47" s="21">
        <f t="shared" si="1"/>
        <v>0.80064496508000005</v>
      </c>
      <c r="F47" s="47">
        <f t="shared" si="2"/>
        <v>6.5370476897925502E-3</v>
      </c>
      <c r="G47" s="48"/>
      <c r="H47" s="209"/>
      <c r="I47" s="164"/>
      <c r="J47" s="77"/>
      <c r="K47" s="59"/>
      <c r="M47" s="332">
        <v>0.80064496508000005</v>
      </c>
      <c r="N47" s="47">
        <f t="shared" si="3"/>
        <v>6.5370476897925502E-3</v>
      </c>
      <c r="O47" s="172"/>
      <c r="P47" s="174">
        <v>0</v>
      </c>
    </row>
    <row r="48" spans="4:24" x14ac:dyDescent="0.15">
      <c r="D48" s="44">
        <v>1868</v>
      </c>
      <c r="E48" s="21">
        <f t="shared" si="1"/>
        <v>0.98946915492822007</v>
      </c>
      <c r="F48" s="47">
        <f t="shared" si="2"/>
        <v>7.5265168447207704E-3</v>
      </c>
      <c r="G48" s="48"/>
      <c r="H48" s="209"/>
      <c r="I48" s="164"/>
      <c r="J48" s="77"/>
      <c r="K48" s="59"/>
      <c r="M48" s="332">
        <v>0.98946915492822007</v>
      </c>
      <c r="N48" s="47">
        <f t="shared" si="3"/>
        <v>7.5265168447207704E-3</v>
      </c>
      <c r="O48" s="172"/>
      <c r="P48" s="174">
        <v>0</v>
      </c>
    </row>
    <row r="49" spans="4:16" x14ac:dyDescent="0.15">
      <c r="D49" s="44">
        <v>1869</v>
      </c>
      <c r="E49" s="21">
        <f t="shared" si="1"/>
        <v>0.94583197223754001</v>
      </c>
      <c r="F49" s="47">
        <f t="shared" si="2"/>
        <v>8.4723488169583111E-3</v>
      </c>
      <c r="G49" s="48"/>
      <c r="H49" s="209"/>
      <c r="I49" s="164"/>
      <c r="J49" s="77"/>
      <c r="K49" s="59"/>
      <c r="M49" s="332">
        <v>0.94583197223754001</v>
      </c>
      <c r="N49" s="47">
        <f t="shared" si="3"/>
        <v>8.4723488169583111E-3</v>
      </c>
      <c r="O49" s="172"/>
      <c r="P49" s="174">
        <v>0</v>
      </c>
    </row>
    <row r="50" spans="4:16" x14ac:dyDescent="0.15">
      <c r="D50" s="44">
        <v>1870</v>
      </c>
      <c r="E50" s="21">
        <f t="shared" si="1"/>
        <v>0.90560565902373014</v>
      </c>
      <c r="F50" s="47">
        <f t="shared" si="2"/>
        <v>9.3779544759820411E-3</v>
      </c>
      <c r="G50" s="48"/>
      <c r="H50" s="209"/>
      <c r="I50" s="164"/>
      <c r="J50" s="77"/>
      <c r="K50" s="59"/>
      <c r="M50" s="332">
        <v>0.90560565902373014</v>
      </c>
      <c r="N50" s="47">
        <f t="shared" si="3"/>
        <v>9.3779544759820411E-3</v>
      </c>
      <c r="O50" s="172"/>
      <c r="P50" s="174">
        <v>0</v>
      </c>
    </row>
    <row r="51" spans="4:16" x14ac:dyDescent="0.15">
      <c r="D51" s="44">
        <v>1871</v>
      </c>
      <c r="E51" s="21">
        <f t="shared" si="1"/>
        <v>0.93047950342744001</v>
      </c>
      <c r="F51" s="47">
        <f t="shared" si="2"/>
        <v>1.0308433979409481E-2</v>
      </c>
      <c r="G51" s="48"/>
      <c r="H51" s="209"/>
      <c r="I51" s="164"/>
      <c r="J51" s="77"/>
      <c r="K51" s="59"/>
      <c r="M51" s="332">
        <v>0.93047950342744001</v>
      </c>
      <c r="N51" s="47">
        <f t="shared" si="3"/>
        <v>1.0308433979409481E-2</v>
      </c>
      <c r="O51" s="172"/>
      <c r="P51" s="174">
        <v>0</v>
      </c>
    </row>
    <row r="52" spans="4:16" x14ac:dyDescent="0.15">
      <c r="D52" s="44">
        <v>1872</v>
      </c>
      <c r="E52" s="21">
        <f t="shared" si="1"/>
        <v>1.05685440204633</v>
      </c>
      <c r="F52" s="47">
        <f t="shared" si="2"/>
        <v>1.1365288381455811E-2</v>
      </c>
      <c r="G52" s="48"/>
      <c r="H52" s="209"/>
      <c r="I52" s="164"/>
      <c r="J52" s="77"/>
      <c r="K52" s="59"/>
      <c r="M52" s="332">
        <v>1.05685440204633</v>
      </c>
      <c r="N52" s="47">
        <f t="shared" si="3"/>
        <v>1.1365288381455811E-2</v>
      </c>
      <c r="O52" s="172"/>
      <c r="P52" s="174">
        <v>0</v>
      </c>
    </row>
    <row r="53" spans="4:16" x14ac:dyDescent="0.15">
      <c r="D53" s="44">
        <v>1873</v>
      </c>
      <c r="E53" s="21">
        <f t="shared" si="1"/>
        <v>1.2466682215848901</v>
      </c>
      <c r="F53" s="47">
        <f t="shared" si="2"/>
        <v>1.2611956603040701E-2</v>
      </c>
      <c r="G53" s="48"/>
      <c r="H53" s="209"/>
      <c r="I53" s="164"/>
      <c r="J53" s="77"/>
      <c r="K53" s="59"/>
      <c r="M53" s="332">
        <v>1.2466682215848901</v>
      </c>
      <c r="N53" s="47">
        <f t="shared" si="3"/>
        <v>1.2611956603040701E-2</v>
      </c>
      <c r="O53" s="172"/>
      <c r="P53" s="174">
        <v>0</v>
      </c>
    </row>
    <row r="54" spans="4:16" x14ac:dyDescent="0.15">
      <c r="D54" s="44">
        <v>1874</v>
      </c>
      <c r="E54" s="21">
        <f t="shared" si="1"/>
        <v>1.3726427977212399</v>
      </c>
      <c r="F54" s="47">
        <f t="shared" si="2"/>
        <v>1.3984599400761941E-2</v>
      </c>
      <c r="G54" s="48"/>
      <c r="H54" s="209"/>
      <c r="I54" s="164"/>
      <c r="J54" s="77"/>
      <c r="K54" s="59"/>
      <c r="M54" s="332">
        <v>1.3726427977212399</v>
      </c>
      <c r="N54" s="47">
        <f t="shared" si="3"/>
        <v>1.3984599400761941E-2</v>
      </c>
      <c r="O54" s="172"/>
      <c r="P54" s="174">
        <v>0</v>
      </c>
    </row>
    <row r="55" spans="4:16" x14ac:dyDescent="0.15">
      <c r="D55" s="44">
        <v>1875</v>
      </c>
      <c r="E55" s="21">
        <f t="shared" si="1"/>
        <v>1.38368925972676</v>
      </c>
      <c r="F55" s="47">
        <f t="shared" si="2"/>
        <v>1.5368288660488701E-2</v>
      </c>
      <c r="G55" s="48"/>
      <c r="H55" s="209"/>
      <c r="I55" s="164"/>
      <c r="J55" s="77"/>
      <c r="K55" s="59"/>
      <c r="M55" s="332">
        <v>1.38368925972676</v>
      </c>
      <c r="N55" s="47">
        <f t="shared" si="3"/>
        <v>1.5368288660488701E-2</v>
      </c>
      <c r="O55" s="172"/>
      <c r="P55" s="174">
        <v>0</v>
      </c>
    </row>
    <row r="56" spans="4:16" x14ac:dyDescent="0.15">
      <c r="D56" s="44">
        <v>1876</v>
      </c>
      <c r="E56" s="21">
        <f t="shared" si="1"/>
        <v>1.3936505836324</v>
      </c>
      <c r="F56" s="47">
        <f t="shared" si="2"/>
        <v>1.6761939244121102E-2</v>
      </c>
      <c r="G56" s="48"/>
      <c r="H56" s="209"/>
      <c r="I56" s="164"/>
      <c r="J56" s="77"/>
      <c r="K56" s="59"/>
      <c r="M56" s="332">
        <v>1.3936505836324</v>
      </c>
      <c r="N56" s="47">
        <f t="shared" si="3"/>
        <v>1.6761939244121102E-2</v>
      </c>
      <c r="O56" s="172"/>
      <c r="P56" s="174">
        <v>0</v>
      </c>
    </row>
    <row r="57" spans="4:16" x14ac:dyDescent="0.15">
      <c r="D57" s="44">
        <v>1877</v>
      </c>
      <c r="E57" s="21">
        <f t="shared" si="1"/>
        <v>1.53180146593819</v>
      </c>
      <c r="F57" s="47">
        <f t="shared" si="2"/>
        <v>1.8293740710059292E-2</v>
      </c>
      <c r="M57" s="333">
        <v>1.53180146593819</v>
      </c>
      <c r="N57" s="47">
        <f t="shared" si="3"/>
        <v>1.8293740710059292E-2</v>
      </c>
      <c r="O57" s="174"/>
      <c r="P57" s="174">
        <v>0</v>
      </c>
    </row>
    <row r="58" spans="4:16" x14ac:dyDescent="0.15">
      <c r="D58" s="44">
        <v>1878</v>
      </c>
      <c r="E58" s="21">
        <f>SUM(M58,O58)</f>
        <v>1.8192026050920704</v>
      </c>
      <c r="F58" s="47">
        <f>F57+E58/1000</f>
        <v>2.0112943315151361E-2</v>
      </c>
      <c r="G58" s="8">
        <f t="shared" ref="G58:G121" si="4" xml:space="preserve"> -LN(F$1/F58-1)</f>
        <v>-7.8177379088058512</v>
      </c>
      <c r="H58" s="3"/>
      <c r="I58" s="5">
        <f ca="1" xml:space="preserve"> (G58*(F$2-E$2)/LN(81) + AVERAGE(E$2:F$2) - D58)*12</f>
        <v>93.690634811588097</v>
      </c>
      <c r="J58" s="6"/>
      <c r="K58" s="6">
        <f t="shared" ref="K58:K121" si="5">NORMSINV(F58/F$5)</f>
        <v>-3.901882936689796</v>
      </c>
      <c r="M58" s="56">
        <v>1.6542026050920704</v>
      </c>
      <c r="N58" s="47">
        <f>N57+M58/1000</f>
        <v>1.9947943315151363E-2</v>
      </c>
      <c r="O58" s="56">
        <v>0.16500000000000001</v>
      </c>
      <c r="P58" s="47">
        <f>P57+O58/1000</f>
        <v>1.65E-4</v>
      </c>
    </row>
    <row r="59" spans="4:16" x14ac:dyDescent="0.15">
      <c r="D59" s="44">
        <v>1879</v>
      </c>
      <c r="E59" s="21">
        <f t="shared" ref="E59:E122" si="6">SUM(M59,O59)</f>
        <v>1.8996841450156303</v>
      </c>
      <c r="F59" s="47">
        <f t="shared" ref="F59:F122" si="7">F58+E59/1000</f>
        <v>2.2012627460166991E-2</v>
      </c>
      <c r="G59" s="8">
        <f t="shared" si="4"/>
        <v>-7.727447178365181</v>
      </c>
      <c r="I59" s="6">
        <f t="shared" ref="I59:I122" ca="1" si="8" xml:space="preserve"> (G59*(F$2-E$2)/LN(81) + AVERAGE(E$2:F$2) - D59)*12</f>
        <v>102.25148569854628</v>
      </c>
      <c r="J59" s="6"/>
      <c r="K59" s="6">
        <f t="shared" si="5"/>
        <v>-3.8799861908203486</v>
      </c>
      <c r="M59" s="56">
        <v>1.6646841450156302</v>
      </c>
      <c r="N59" s="47">
        <f t="shared" ref="N59:N122" si="9">N58+M59/1000</f>
        <v>2.1612627460166994E-2</v>
      </c>
      <c r="O59" s="56">
        <v>0.23499999999999999</v>
      </c>
      <c r="P59" s="47">
        <f t="shared" ref="P59:P122" si="10">P58+O59/1000</f>
        <v>3.9999999999999996E-4</v>
      </c>
    </row>
    <row r="60" spans="4:16" x14ac:dyDescent="0.15">
      <c r="D60" s="44">
        <v>1880</v>
      </c>
      <c r="E60" s="21">
        <f t="shared" si="6"/>
        <v>1.8661093390571399</v>
      </c>
      <c r="F60" s="47">
        <f t="shared" si="7"/>
        <v>2.3878736799224132E-2</v>
      </c>
      <c r="G60" s="8">
        <f t="shared" si="4"/>
        <v>-7.6460377036811291</v>
      </c>
      <c r="I60" s="6">
        <f t="shared" ca="1" si="8"/>
        <v>108.78991219698037</v>
      </c>
      <c r="J60" s="6"/>
      <c r="K60" s="6">
        <f t="shared" si="5"/>
        <v>-3.8601484922172684</v>
      </c>
      <c r="M60" s="56">
        <v>1.56110933905714</v>
      </c>
      <c r="N60" s="47">
        <f t="shared" si="9"/>
        <v>2.3173736799224135E-2</v>
      </c>
      <c r="O60" s="56">
        <v>0.30499999999999999</v>
      </c>
      <c r="P60" s="47">
        <f t="shared" si="10"/>
        <v>7.049999999999999E-4</v>
      </c>
    </row>
    <row r="61" spans="4:16" x14ac:dyDescent="0.15">
      <c r="D61" s="44">
        <v>1881</v>
      </c>
      <c r="E61" s="21">
        <f t="shared" si="6"/>
        <v>2.2189999999999999</v>
      </c>
      <c r="F61" s="47">
        <f t="shared" si="7"/>
        <v>2.6097736799224131E-2</v>
      </c>
      <c r="G61" s="8">
        <f t="shared" si="4"/>
        <v>-7.5571330806748529</v>
      </c>
      <c r="I61" s="6">
        <f t="shared" ca="1" si="8"/>
        <v>117.0351210669478</v>
      </c>
      <c r="J61" s="6"/>
      <c r="K61" s="6">
        <f t="shared" si="5"/>
        <v>-3.8383803168245438</v>
      </c>
      <c r="M61" s="56">
        <v>1.8759999999999999</v>
      </c>
      <c r="N61" s="47">
        <f t="shared" si="9"/>
        <v>2.5049736799224134E-2</v>
      </c>
      <c r="O61" s="56">
        <v>0.34300000000000003</v>
      </c>
      <c r="P61" s="47">
        <f t="shared" si="10"/>
        <v>1.0479999999999999E-3</v>
      </c>
    </row>
    <row r="62" spans="4:16" x14ac:dyDescent="0.15">
      <c r="D62" s="44">
        <v>1882</v>
      </c>
      <c r="E62" s="21">
        <f t="shared" si="6"/>
        <v>2.6120000000000001</v>
      </c>
      <c r="F62" s="47">
        <f t="shared" si="7"/>
        <v>2.8709736799224131E-2</v>
      </c>
      <c r="G62" s="8">
        <f t="shared" si="4"/>
        <v>-7.4616930690458512</v>
      </c>
      <c r="I62" s="6">
        <f t="shared" ca="1" si="8"/>
        <v>126.76855746928959</v>
      </c>
      <c r="J62" s="6"/>
      <c r="K62" s="6">
        <f t="shared" si="5"/>
        <v>-3.8148893358910607</v>
      </c>
      <c r="M62" s="56">
        <v>2.2280000000000002</v>
      </c>
      <c r="N62" s="47">
        <f t="shared" si="9"/>
        <v>2.7277736799224135E-2</v>
      </c>
      <c r="O62" s="56">
        <v>0.38400000000000001</v>
      </c>
      <c r="P62" s="47">
        <f t="shared" si="10"/>
        <v>1.4319999999999999E-3</v>
      </c>
    </row>
    <row r="63" spans="4:16" x14ac:dyDescent="0.15">
      <c r="D63" s="44">
        <v>1883</v>
      </c>
      <c r="E63" s="21">
        <f t="shared" si="6"/>
        <v>3.1069999999999998</v>
      </c>
      <c r="F63" s="47">
        <f t="shared" si="7"/>
        <v>3.181673679922413E-2</v>
      </c>
      <c r="G63" s="8">
        <f t="shared" si="4"/>
        <v>-7.3588747350936607</v>
      </c>
      <c r="I63" s="6">
        <f t="shared" ca="1" si="8"/>
        <v>138.18217282624482</v>
      </c>
      <c r="J63" s="6"/>
      <c r="K63" s="6">
        <f t="shared" si="5"/>
        <v>-3.78943806104926</v>
      </c>
      <c r="M63" s="56">
        <v>2.6779999999999999</v>
      </c>
      <c r="N63" s="47">
        <f t="shared" si="9"/>
        <v>2.9955736799224135E-2</v>
      </c>
      <c r="O63" s="56">
        <v>0.42899999999999999</v>
      </c>
      <c r="P63" s="47">
        <f t="shared" si="10"/>
        <v>1.8609999999999998E-3</v>
      </c>
    </row>
    <row r="64" spans="4:16" x14ac:dyDescent="0.15">
      <c r="D64" s="44">
        <v>1884</v>
      </c>
      <c r="E64" s="21">
        <f t="shared" si="6"/>
        <v>3.415</v>
      </c>
      <c r="F64" s="47">
        <f t="shared" si="7"/>
        <v>3.5231736799224131E-2</v>
      </c>
      <c r="G64" s="8">
        <f t="shared" si="4"/>
        <v>-7.2568515462648051</v>
      </c>
      <c r="I64" s="6">
        <f t="shared" ca="1" si="8"/>
        <v>149.41471909410666</v>
      </c>
      <c r="J64" s="6"/>
      <c r="K64" s="6">
        <f t="shared" si="5"/>
        <v>-3.7640333627458111</v>
      </c>
      <c r="M64" s="56">
        <v>2.9260000000000002</v>
      </c>
      <c r="N64" s="47">
        <f t="shared" si="9"/>
        <v>3.2881736799224133E-2</v>
      </c>
      <c r="O64" s="56">
        <v>0.48899999999999999</v>
      </c>
      <c r="P64" s="47">
        <f t="shared" si="10"/>
        <v>2.3499999999999997E-3</v>
      </c>
    </row>
    <row r="65" spans="4:16" x14ac:dyDescent="0.15">
      <c r="D65" s="44">
        <v>1885</v>
      </c>
      <c r="E65" s="21">
        <f t="shared" si="6"/>
        <v>3.665</v>
      </c>
      <c r="F65" s="47">
        <f t="shared" si="7"/>
        <v>3.8896736799224133E-2</v>
      </c>
      <c r="G65" s="8">
        <f t="shared" si="4"/>
        <v>-7.1578151015569125</v>
      </c>
      <c r="I65" s="6">
        <f t="shared" ca="1" si="8"/>
        <v>159.96712909317557</v>
      </c>
      <c r="J65" s="6"/>
      <c r="K65" s="6">
        <f t="shared" si="5"/>
        <v>-3.739226895187941</v>
      </c>
      <c r="M65" s="56">
        <v>3.1459999999999999</v>
      </c>
      <c r="N65" s="47">
        <f t="shared" si="9"/>
        <v>3.6027736799224136E-2</v>
      </c>
      <c r="O65" s="56">
        <v>0.51900000000000002</v>
      </c>
      <c r="P65" s="47">
        <f t="shared" si="10"/>
        <v>2.8689999999999996E-3</v>
      </c>
    </row>
    <row r="66" spans="4:16" x14ac:dyDescent="0.15">
      <c r="D66" s="44">
        <v>1886</v>
      </c>
      <c r="E66" s="21">
        <f t="shared" si="6"/>
        <v>3.6620000000000004</v>
      </c>
      <c r="F66" s="47">
        <f t="shared" si="7"/>
        <v>4.2558736799224131E-2</v>
      </c>
      <c r="G66" s="8">
        <f t="shared" si="4"/>
        <v>-7.067766977792477</v>
      </c>
      <c r="I66" s="6">
        <f t="shared" ca="1" si="8"/>
        <v>168.47273400228187</v>
      </c>
      <c r="J66" s="6"/>
      <c r="K66" s="6">
        <f t="shared" si="5"/>
        <v>-3.7165454404668465</v>
      </c>
      <c r="M66" s="56">
        <v>3.1190000000000002</v>
      </c>
      <c r="N66" s="47">
        <f t="shared" si="9"/>
        <v>3.9146736799224133E-2</v>
      </c>
      <c r="O66" s="56">
        <v>0.54300000000000004</v>
      </c>
      <c r="P66" s="47">
        <f t="shared" si="10"/>
        <v>3.4119999999999997E-3</v>
      </c>
    </row>
    <row r="67" spans="4:16" x14ac:dyDescent="0.15">
      <c r="D67" s="44">
        <v>1887</v>
      </c>
      <c r="E67" s="21">
        <f t="shared" si="6"/>
        <v>3.8109999999999999</v>
      </c>
      <c r="F67" s="47">
        <f t="shared" si="7"/>
        <v>4.6369736799224133E-2</v>
      </c>
      <c r="G67" s="8">
        <f t="shared" si="4"/>
        <v>-6.981928810834809</v>
      </c>
      <c r="H67" s="60"/>
      <c r="I67" s="6">
        <f t="shared" ca="1" si="8"/>
        <v>176.0196547394653</v>
      </c>
      <c r="J67" s="6"/>
      <c r="K67" s="6">
        <f t="shared" si="5"/>
        <v>-3.6948106780308629</v>
      </c>
      <c r="M67" s="56">
        <v>3.2429999999999999</v>
      </c>
      <c r="N67" s="47">
        <f t="shared" si="9"/>
        <v>4.2389736799224136E-2</v>
      </c>
      <c r="O67" s="56">
        <v>0.56799999999999995</v>
      </c>
      <c r="P67" s="47">
        <f t="shared" si="10"/>
        <v>3.9799999999999992E-3</v>
      </c>
    </row>
    <row r="68" spans="4:16" x14ac:dyDescent="0.15">
      <c r="D68" s="44">
        <v>1888</v>
      </c>
      <c r="E68" s="21">
        <f t="shared" si="6"/>
        <v>4.2459999999999996</v>
      </c>
      <c r="F68" s="47">
        <f t="shared" si="7"/>
        <v>5.0615736799224133E-2</v>
      </c>
      <c r="G68" s="8">
        <f t="shared" si="4"/>
        <v>-6.8942282754545356</v>
      </c>
      <c r="H68" s="60"/>
      <c r="I68" s="6">
        <f t="shared" ca="1" si="8"/>
        <v>183.99067083225327</v>
      </c>
      <c r="J68" s="6"/>
      <c r="K68" s="6">
        <f t="shared" si="5"/>
        <v>-3.672488075236966</v>
      </c>
      <c r="M68" s="56">
        <v>3.6219999999999999</v>
      </c>
      <c r="N68" s="47">
        <f t="shared" si="9"/>
        <v>4.6011736799224136E-2</v>
      </c>
      <c r="O68" s="56">
        <v>0.624</v>
      </c>
      <c r="P68" s="47">
        <f t="shared" si="10"/>
        <v>4.6039999999999987E-3</v>
      </c>
    </row>
    <row r="69" spans="4:16" x14ac:dyDescent="0.15">
      <c r="D69" s="44">
        <v>1889</v>
      </c>
      <c r="E69" s="21">
        <f t="shared" si="6"/>
        <v>4.633</v>
      </c>
      <c r="F69" s="47">
        <f t="shared" si="7"/>
        <v>5.5248736799224131E-2</v>
      </c>
      <c r="G69" s="8">
        <f t="shared" si="4"/>
        <v>-6.8065525468807317</v>
      </c>
      <c r="H69" s="66"/>
      <c r="I69" s="6">
        <f t="shared" ca="1" si="8"/>
        <v>191.95603796145042</v>
      </c>
      <c r="J69" s="6"/>
      <c r="K69" s="6">
        <f t="shared" si="5"/>
        <v>-3.65005263783307</v>
      </c>
      <c r="M69" s="56">
        <v>4.0369999999999999</v>
      </c>
      <c r="N69" s="47">
        <f t="shared" si="9"/>
        <v>5.0048736799224135E-2</v>
      </c>
      <c r="O69" s="56">
        <v>0.59599999999999997</v>
      </c>
      <c r="P69" s="47">
        <f t="shared" si="10"/>
        <v>5.1999999999999989E-3</v>
      </c>
    </row>
    <row r="70" spans="4:16" x14ac:dyDescent="0.15">
      <c r="D70" s="44">
        <v>1890</v>
      </c>
      <c r="E70" s="21">
        <f t="shared" si="6"/>
        <v>4.1779999999999999</v>
      </c>
      <c r="F70" s="47">
        <f t="shared" si="7"/>
        <v>5.9426736799224132E-2</v>
      </c>
      <c r="G70" s="8">
        <f t="shared" si="4"/>
        <v>-6.7335701051770362</v>
      </c>
      <c r="H70" s="62"/>
      <c r="I70" s="6">
        <f t="shared" ca="1" si="8"/>
        <v>196.575474905997</v>
      </c>
      <c r="J70" s="6"/>
      <c r="K70" s="6">
        <f t="shared" si="5"/>
        <v>-3.631284990575399</v>
      </c>
      <c r="M70" s="56">
        <v>3.53</v>
      </c>
      <c r="N70" s="47">
        <f t="shared" si="9"/>
        <v>5.3578736799224133E-2</v>
      </c>
      <c r="O70" s="56">
        <v>0.64800000000000002</v>
      </c>
      <c r="P70" s="47">
        <f t="shared" si="10"/>
        <v>5.847999999999999E-3</v>
      </c>
    </row>
    <row r="71" spans="4:16" x14ac:dyDescent="0.15">
      <c r="D71" s="44">
        <v>1891</v>
      </c>
      <c r="E71" s="21">
        <f t="shared" si="6"/>
        <v>5.1319999999999997</v>
      </c>
      <c r="F71" s="47">
        <f t="shared" si="7"/>
        <v>6.4558736799224137E-2</v>
      </c>
      <c r="G71" s="8">
        <f t="shared" si="4"/>
        <v>-6.6506360916241283</v>
      </c>
      <c r="H71" s="62"/>
      <c r="I71" s="6">
        <f t="shared" ca="1" si="8"/>
        <v>203.46106679118657</v>
      </c>
      <c r="J71" s="6"/>
      <c r="K71" s="6">
        <f t="shared" si="5"/>
        <v>-3.609855352540476</v>
      </c>
      <c r="M71" s="56">
        <v>4.452</v>
      </c>
      <c r="N71" s="47">
        <f t="shared" si="9"/>
        <v>5.8030736799224131E-2</v>
      </c>
      <c r="O71" s="56">
        <v>0.68</v>
      </c>
      <c r="P71" s="47">
        <f t="shared" si="10"/>
        <v>6.5279999999999991E-3</v>
      </c>
    </row>
    <row r="72" spans="4:16" x14ac:dyDescent="0.15">
      <c r="D72" s="44">
        <v>1892</v>
      </c>
      <c r="E72" s="21">
        <f t="shared" si="6"/>
        <v>4.8620000000000001</v>
      </c>
      <c r="F72" s="47">
        <f t="shared" si="7"/>
        <v>6.9420736799224142E-2</v>
      </c>
      <c r="G72" s="8">
        <f t="shared" si="4"/>
        <v>-6.5779285278536106</v>
      </c>
      <c r="H72" s="62"/>
      <c r="I72" s="6">
        <f t="shared" ca="1" si="8"/>
        <v>208.0179090023812</v>
      </c>
      <c r="J72" s="6"/>
      <c r="K72" s="6">
        <f t="shared" si="5"/>
        <v>-3.5909769703200949</v>
      </c>
      <c r="M72" s="56">
        <v>4.1779999999999999</v>
      </c>
      <c r="N72" s="47">
        <f t="shared" si="9"/>
        <v>6.2208736799224132E-2</v>
      </c>
      <c r="O72" s="56">
        <v>0.68400000000000005</v>
      </c>
      <c r="P72" s="47">
        <f t="shared" si="10"/>
        <v>7.2119999999999988E-3</v>
      </c>
    </row>
    <row r="73" spans="4:16" x14ac:dyDescent="0.15">
      <c r="D73" s="44">
        <v>1893</v>
      </c>
      <c r="E73" s="21">
        <f t="shared" si="6"/>
        <v>4.431</v>
      </c>
      <c r="F73" s="47">
        <f t="shared" si="7"/>
        <v>7.3851736799224146E-2</v>
      </c>
      <c r="G73" s="8">
        <f t="shared" si="4"/>
        <v>-6.5159658537053629</v>
      </c>
      <c r="H73" s="62"/>
      <c r="I73" s="6">
        <f t="shared" ca="1" si="8"/>
        <v>210.12794330492034</v>
      </c>
      <c r="J73" s="6"/>
      <c r="K73" s="6">
        <f t="shared" si="5"/>
        <v>-3.57482042808974</v>
      </c>
      <c r="M73" s="56">
        <v>3.7280000000000002</v>
      </c>
      <c r="N73" s="47">
        <f t="shared" si="9"/>
        <v>6.5936736799224127E-2</v>
      </c>
      <c r="O73" s="56">
        <v>0.70299999999999996</v>
      </c>
      <c r="P73" s="47">
        <f t="shared" si="10"/>
        <v>7.9149999999999984E-3</v>
      </c>
    </row>
    <row r="74" spans="4:16" x14ac:dyDescent="0.15">
      <c r="D74" s="44">
        <v>1894</v>
      </c>
      <c r="E74" s="21">
        <f t="shared" si="6"/>
        <v>4.9459999999999997</v>
      </c>
      <c r="F74" s="47">
        <f t="shared" si="7"/>
        <v>7.8797736799224152E-2</v>
      </c>
      <c r="G74" s="8">
        <f t="shared" si="4"/>
        <v>-6.4510420062486995</v>
      </c>
      <c r="H74" s="62"/>
      <c r="I74" s="6">
        <f t="shared" ca="1" si="8"/>
        <v>212.9122909345042</v>
      </c>
      <c r="J74" s="6"/>
      <c r="K74" s="6">
        <f t="shared" si="5"/>
        <v>-3.557823852504566</v>
      </c>
      <c r="M74" s="56">
        <v>4.2149999999999999</v>
      </c>
      <c r="N74" s="47">
        <f t="shared" si="9"/>
        <v>7.0151736799224124E-2</v>
      </c>
      <c r="O74" s="56">
        <v>0.73099999999999998</v>
      </c>
      <c r="P74" s="47">
        <f t="shared" si="10"/>
        <v>8.6459999999999992E-3</v>
      </c>
    </row>
    <row r="75" spans="4:16" x14ac:dyDescent="0.15">
      <c r="D75" s="44">
        <v>1895</v>
      </c>
      <c r="E75" s="21">
        <f t="shared" si="6"/>
        <v>5.0969999999999995</v>
      </c>
      <c r="F75" s="47">
        <f t="shared" si="7"/>
        <v>8.3894736799224157E-2</v>
      </c>
      <c r="G75" s="8">
        <f t="shared" si="4"/>
        <v>-6.3882612680218767</v>
      </c>
      <c r="H75" s="52"/>
      <c r="I75" s="6">
        <f t="shared" ca="1" si="8"/>
        <v>215.20861339146904</v>
      </c>
      <c r="J75" s="6"/>
      <c r="K75" s="6">
        <f t="shared" si="5"/>
        <v>-3.5413215380451812</v>
      </c>
      <c r="M75" s="56">
        <v>4.359</v>
      </c>
      <c r="N75" s="47">
        <f t="shared" si="9"/>
        <v>7.4510736799224125E-2</v>
      </c>
      <c r="O75" s="56">
        <v>0.73799999999999999</v>
      </c>
      <c r="P75" s="47">
        <f t="shared" si="10"/>
        <v>9.384E-3</v>
      </c>
    </row>
    <row r="76" spans="4:16" x14ac:dyDescent="0.15">
      <c r="D76" s="44">
        <v>1896</v>
      </c>
      <c r="E76" s="21">
        <f t="shared" si="6"/>
        <v>5.4340000000000002</v>
      </c>
      <c r="F76" s="47">
        <f t="shared" si="7"/>
        <v>8.9328736799224151E-2</v>
      </c>
      <c r="G76" s="8">
        <f t="shared" si="4"/>
        <v>-6.32539201240309</v>
      </c>
      <c r="H76" s="52"/>
      <c r="I76" s="6">
        <f t="shared" ca="1" si="8"/>
        <v>217.52509287771591</v>
      </c>
      <c r="J76" s="6"/>
      <c r="K76" s="6">
        <f t="shared" si="5"/>
        <v>-3.5247294599488113</v>
      </c>
      <c r="M76" s="56">
        <v>4.6280000000000001</v>
      </c>
      <c r="N76" s="47">
        <f t="shared" si="9"/>
        <v>7.9138736799224119E-2</v>
      </c>
      <c r="O76" s="56">
        <v>0.80600000000000005</v>
      </c>
      <c r="P76" s="47">
        <f t="shared" si="10"/>
        <v>1.0189999999999999E-2</v>
      </c>
    </row>
    <row r="77" spans="4:16" x14ac:dyDescent="0.15">
      <c r="D77" s="44">
        <v>1897</v>
      </c>
      <c r="E77" s="21">
        <f t="shared" si="6"/>
        <v>5.96</v>
      </c>
      <c r="F77" s="47">
        <f t="shared" si="7"/>
        <v>9.5288736799224144E-2</v>
      </c>
      <c r="G77" s="8">
        <f t="shared" si="4"/>
        <v>-6.2606841789913075</v>
      </c>
      <c r="H77" s="52"/>
      <c r="I77" s="6">
        <f t="shared" ca="1" si="8"/>
        <v>220.26025015802861</v>
      </c>
      <c r="J77" s="6"/>
      <c r="K77" s="6">
        <f t="shared" si="5"/>
        <v>-3.5075819378154209</v>
      </c>
      <c r="M77" s="56">
        <v>5.1059999999999999</v>
      </c>
      <c r="N77" s="47">
        <f t="shared" si="9"/>
        <v>8.4244736799224118E-2</v>
      </c>
      <c r="O77" s="56">
        <v>0.85399999999999998</v>
      </c>
      <c r="P77" s="47">
        <f t="shared" si="10"/>
        <v>1.1044E-2</v>
      </c>
    </row>
    <row r="78" spans="4:16" x14ac:dyDescent="0.15">
      <c r="D78" s="44">
        <v>1898</v>
      </c>
      <c r="E78" s="21">
        <f t="shared" si="6"/>
        <v>6.42</v>
      </c>
      <c r="F78" s="47">
        <f t="shared" si="7"/>
        <v>0.10170873679922414</v>
      </c>
      <c r="G78" s="8">
        <f t="shared" si="4"/>
        <v>-6.1953539001341884</v>
      </c>
      <c r="H78" s="52"/>
      <c r="I78" s="6">
        <f t="shared" ca="1" si="8"/>
        <v>223.13714965179497</v>
      </c>
      <c r="J78" s="6"/>
      <c r="K78" s="6">
        <f t="shared" si="5"/>
        <v>-3.4901964420009861</v>
      </c>
      <c r="M78" s="56">
        <v>5.4980000000000002</v>
      </c>
      <c r="N78" s="47">
        <f t="shared" si="9"/>
        <v>8.9742736799224121E-2</v>
      </c>
      <c r="O78" s="56">
        <v>0.92200000000000004</v>
      </c>
      <c r="P78" s="47">
        <f t="shared" si="10"/>
        <v>1.1966000000000001E-2</v>
      </c>
    </row>
    <row r="79" spans="4:16" x14ac:dyDescent="0.15">
      <c r="D79" s="44">
        <v>1899</v>
      </c>
      <c r="E79" s="21">
        <f t="shared" si="6"/>
        <v>6.5289999999999999</v>
      </c>
      <c r="F79" s="47">
        <f t="shared" si="7"/>
        <v>0.10823773679922413</v>
      </c>
      <c r="G79" s="8">
        <f t="shared" si="4"/>
        <v>-6.1330061418082895</v>
      </c>
      <c r="H79" s="52"/>
      <c r="I79" s="6">
        <f t="shared" ca="1" si="8"/>
        <v>225.33487466540737</v>
      </c>
      <c r="J79" s="6"/>
      <c r="K79" s="6">
        <f t="shared" si="5"/>
        <v>-3.4735354959769089</v>
      </c>
      <c r="M79" s="56">
        <v>5.5380000000000003</v>
      </c>
      <c r="N79" s="47">
        <f t="shared" si="9"/>
        <v>9.5280736799224122E-2</v>
      </c>
      <c r="O79" s="56">
        <v>0.99099999999999999</v>
      </c>
      <c r="P79" s="47">
        <f t="shared" si="10"/>
        <v>1.2957000000000002E-2</v>
      </c>
    </row>
    <row r="80" spans="4:16" x14ac:dyDescent="0.15">
      <c r="D80" s="44">
        <v>1900</v>
      </c>
      <c r="E80" s="21">
        <f t="shared" si="6"/>
        <v>7.5990000000000002</v>
      </c>
      <c r="F80" s="47">
        <f t="shared" si="7"/>
        <v>0.11583673679922413</v>
      </c>
      <c r="G80" s="8">
        <f t="shared" si="4"/>
        <v>-6.0650020948039831</v>
      </c>
      <c r="H80" s="52"/>
      <c r="I80" s="6">
        <f t="shared" ca="1" si="8"/>
        <v>228.82064007389454</v>
      </c>
      <c r="J80" s="6"/>
      <c r="K80" s="6">
        <f t="shared" si="5"/>
        <v>-3.4552852146080171</v>
      </c>
      <c r="M80" s="56">
        <v>6.4870000000000001</v>
      </c>
      <c r="N80" s="47">
        <f t="shared" si="9"/>
        <v>0.10176773679922413</v>
      </c>
      <c r="O80" s="56">
        <v>1.1120000000000001</v>
      </c>
      <c r="P80" s="47">
        <f t="shared" si="10"/>
        <v>1.4069000000000002E-2</v>
      </c>
    </row>
    <row r="81" spans="4:16" x14ac:dyDescent="0.15">
      <c r="D81" s="44">
        <v>1901</v>
      </c>
      <c r="E81" s="21">
        <f t="shared" si="6"/>
        <v>8.1950000000000003</v>
      </c>
      <c r="F81" s="47">
        <f t="shared" si="7"/>
        <v>0.12403173679922413</v>
      </c>
      <c r="G81" s="8">
        <f t="shared" si="4"/>
        <v>-5.9964820390793614</v>
      </c>
      <c r="H81" s="52"/>
      <c r="I81" s="6">
        <f t="shared" ca="1" si="8"/>
        <v>232.42391010664323</v>
      </c>
      <c r="J81" s="6"/>
      <c r="K81" s="6">
        <f t="shared" si="5"/>
        <v>-3.4368134277702711</v>
      </c>
      <c r="M81" s="56">
        <v>6.9480000000000004</v>
      </c>
      <c r="N81" s="47">
        <f t="shared" si="9"/>
        <v>0.10871573679922412</v>
      </c>
      <c r="O81" s="56">
        <v>1.2470000000000001</v>
      </c>
      <c r="P81" s="47">
        <f t="shared" si="10"/>
        <v>1.5316000000000001E-2</v>
      </c>
    </row>
    <row r="82" spans="4:16" x14ac:dyDescent="0.15">
      <c r="D82" s="44">
        <v>1902</v>
      </c>
      <c r="E82" s="21">
        <f t="shared" si="6"/>
        <v>8.3529999999999998</v>
      </c>
      <c r="F82" s="47">
        <f t="shared" si="7"/>
        <v>0.13238473679922413</v>
      </c>
      <c r="G82" s="8">
        <f t="shared" si="4"/>
        <v>-5.9311396224313384</v>
      </c>
      <c r="H82" s="52"/>
      <c r="I82" s="6">
        <f t="shared" ca="1" si="8"/>
        <v>235.30357359741902</v>
      </c>
      <c r="J82" s="6"/>
      <c r="K82" s="6">
        <f t="shared" si="5"/>
        <v>-3.419119791803654</v>
      </c>
      <c r="M82" s="56">
        <v>6.968</v>
      </c>
      <c r="N82" s="47">
        <f t="shared" si="9"/>
        <v>0.11568373679922413</v>
      </c>
      <c r="O82" s="56">
        <v>1.385</v>
      </c>
      <c r="P82" s="47">
        <f t="shared" si="10"/>
        <v>1.6701000000000001E-2</v>
      </c>
    </row>
    <row r="83" spans="4:16" x14ac:dyDescent="0.15">
      <c r="D83" s="44">
        <v>1903</v>
      </c>
      <c r="E83" s="21">
        <f t="shared" si="6"/>
        <v>8.6720000000000006</v>
      </c>
      <c r="F83" s="47">
        <f t="shared" si="7"/>
        <v>0.14105673679922415</v>
      </c>
      <c r="G83" s="8">
        <f t="shared" si="4"/>
        <v>-5.867515816815092</v>
      </c>
      <c r="H83" s="52"/>
      <c r="I83" s="6">
        <f t="shared" ca="1" si="8"/>
        <v>237.79187792004177</v>
      </c>
      <c r="J83" s="6"/>
      <c r="K83" s="6">
        <f t="shared" si="5"/>
        <v>-3.4018171130874646</v>
      </c>
      <c r="M83" s="56">
        <v>7.2290000000000001</v>
      </c>
      <c r="N83" s="47">
        <f t="shared" si="9"/>
        <v>0.12291273679922413</v>
      </c>
      <c r="O83" s="56">
        <v>1.4430000000000001</v>
      </c>
      <c r="P83" s="47">
        <f t="shared" si="10"/>
        <v>1.8144E-2</v>
      </c>
    </row>
    <row r="84" spans="4:16" x14ac:dyDescent="0.15">
      <c r="D84" s="44">
        <v>1904</v>
      </c>
      <c r="E84" s="21">
        <f t="shared" si="6"/>
        <v>8.5250000000000004</v>
      </c>
      <c r="F84" s="47">
        <f t="shared" si="7"/>
        <v>0.14958173679922415</v>
      </c>
      <c r="G84" s="8">
        <f t="shared" si="4"/>
        <v>-5.8086639929913577</v>
      </c>
      <c r="H84" s="52"/>
      <c r="I84" s="6">
        <f t="shared" ca="1" si="8"/>
        <v>239.19351470113452</v>
      </c>
      <c r="J84" s="6"/>
      <c r="K84" s="6">
        <f t="shared" si="5"/>
        <v>-3.3857461566226057</v>
      </c>
      <c r="M84" s="56">
        <v>6.9630000000000001</v>
      </c>
      <c r="N84" s="47">
        <f t="shared" si="9"/>
        <v>0.12987573679922412</v>
      </c>
      <c r="O84" s="56">
        <v>1.5620000000000001</v>
      </c>
      <c r="P84" s="47">
        <f t="shared" si="10"/>
        <v>1.9706000000000001E-2</v>
      </c>
    </row>
    <row r="85" spans="4:16" x14ac:dyDescent="0.15">
      <c r="D85" s="44">
        <v>1905</v>
      </c>
      <c r="E85" s="21">
        <f t="shared" si="6"/>
        <v>9.2319999999999993</v>
      </c>
      <c r="F85" s="47">
        <f t="shared" si="7"/>
        <v>0.15881373679922414</v>
      </c>
      <c r="G85" s="8">
        <f t="shared" si="4"/>
        <v>-5.7485896598506478</v>
      </c>
      <c r="H85" s="52"/>
      <c r="I85" s="6">
        <f t="shared" ca="1" si="8"/>
        <v>240.87353921540307</v>
      </c>
      <c r="J85" s="6"/>
      <c r="K85" s="6">
        <f t="shared" si="5"/>
        <v>-3.36927527052993</v>
      </c>
      <c r="M85" s="56">
        <v>7.6159999999999997</v>
      </c>
      <c r="N85" s="47">
        <f t="shared" si="9"/>
        <v>0.13749173679922413</v>
      </c>
      <c r="O85" s="56">
        <v>1.6160000000000001</v>
      </c>
      <c r="P85" s="47">
        <f t="shared" si="10"/>
        <v>2.1322000000000001E-2</v>
      </c>
    </row>
    <row r="86" spans="4:16" x14ac:dyDescent="0.15">
      <c r="D86" s="44">
        <v>1906</v>
      </c>
      <c r="E86" s="21">
        <f t="shared" si="6"/>
        <v>10.491</v>
      </c>
      <c r="F86" s="47">
        <f t="shared" si="7"/>
        <v>0.16930473679922414</v>
      </c>
      <c r="G86" s="8">
        <f t="shared" si="4"/>
        <v>-5.6844108725351719</v>
      </c>
      <c r="H86" s="52"/>
      <c r="I86" s="6">
        <f t="shared" ca="1" si="8"/>
        <v>243.48822302246663</v>
      </c>
      <c r="J86" s="6"/>
      <c r="K86" s="6">
        <f t="shared" si="5"/>
        <v>-3.3516045510907215</v>
      </c>
      <c r="M86" s="56">
        <v>8.734</v>
      </c>
      <c r="N86" s="47">
        <f t="shared" si="9"/>
        <v>0.14622573679922413</v>
      </c>
      <c r="O86" s="56">
        <v>1.7569999999999999</v>
      </c>
      <c r="P86" s="47">
        <f t="shared" si="10"/>
        <v>2.3079000000000002E-2</v>
      </c>
    </row>
    <row r="87" spans="4:16" x14ac:dyDescent="0.15">
      <c r="D87" s="44">
        <v>1907</v>
      </c>
      <c r="E87" s="21">
        <f t="shared" si="6"/>
        <v>11.709</v>
      </c>
      <c r="F87" s="47">
        <f t="shared" si="7"/>
        <v>0.18101373679922414</v>
      </c>
      <c r="G87" s="8">
        <f t="shared" si="4"/>
        <v>-5.6173031497351262</v>
      </c>
      <c r="H87" s="52"/>
      <c r="I87" s="6">
        <f t="shared" ca="1" si="8"/>
        <v>246.76987901440225</v>
      </c>
      <c r="J87" s="6"/>
      <c r="K87" s="6">
        <f t="shared" si="5"/>
        <v>-3.3330442499095065</v>
      </c>
      <c r="M87" s="56">
        <v>9.8490000000000002</v>
      </c>
      <c r="N87" s="47">
        <f t="shared" si="9"/>
        <v>0.15607473679922412</v>
      </c>
      <c r="O87" s="56">
        <v>1.86</v>
      </c>
      <c r="P87" s="47">
        <f t="shared" si="10"/>
        <v>2.4939000000000003E-2</v>
      </c>
    </row>
    <row r="88" spans="4:16" x14ac:dyDescent="0.15">
      <c r="D88" s="44">
        <v>1908</v>
      </c>
      <c r="E88" s="21">
        <f t="shared" si="6"/>
        <v>12.247999999999999</v>
      </c>
      <c r="F88" s="47">
        <f t="shared" si="7"/>
        <v>0.19326173679922415</v>
      </c>
      <c r="G88" s="8">
        <f t="shared" si="4"/>
        <v>-5.5515847046595344</v>
      </c>
      <c r="H88" s="52"/>
      <c r="I88" s="6">
        <f t="shared" ca="1" si="8"/>
        <v>249.73517105631072</v>
      </c>
      <c r="J88" s="6"/>
      <c r="K88" s="6">
        <f t="shared" si="5"/>
        <v>-3.3147849564175296</v>
      </c>
      <c r="M88" s="56">
        <v>10.356999999999999</v>
      </c>
      <c r="N88" s="47">
        <f t="shared" si="9"/>
        <v>0.16643173679922413</v>
      </c>
      <c r="O88" s="56">
        <v>1.891</v>
      </c>
      <c r="P88" s="47">
        <f t="shared" si="10"/>
        <v>2.6830000000000003E-2</v>
      </c>
    </row>
    <row r="89" spans="4:16" x14ac:dyDescent="0.15">
      <c r="D89" s="44">
        <v>1909</v>
      </c>
      <c r="E89" s="21">
        <f t="shared" si="6"/>
        <v>10.259</v>
      </c>
      <c r="F89" s="47">
        <f t="shared" si="7"/>
        <v>0.20352073679922414</v>
      </c>
      <c r="G89" s="8">
        <f t="shared" si="4"/>
        <v>-5.4996561695040054</v>
      </c>
      <c r="H89" s="52"/>
      <c r="I89" s="6">
        <f t="shared" ca="1" si="8"/>
        <v>249.56024836934284</v>
      </c>
      <c r="J89" s="6"/>
      <c r="K89" s="6">
        <f t="shared" si="5"/>
        <v>-3.3002982540180477</v>
      </c>
      <c r="M89" s="56">
        <v>8.3170000000000002</v>
      </c>
      <c r="N89" s="47">
        <f t="shared" si="9"/>
        <v>0.17474873679922412</v>
      </c>
      <c r="O89" s="56">
        <v>1.9419999999999999</v>
      </c>
      <c r="P89" s="47">
        <f t="shared" si="10"/>
        <v>2.8772000000000002E-2</v>
      </c>
    </row>
    <row r="90" spans="4:16" x14ac:dyDescent="0.15">
      <c r="D90" s="44">
        <v>1910</v>
      </c>
      <c r="E90" s="21">
        <f t="shared" si="6"/>
        <v>12.148</v>
      </c>
      <c r="F90" s="47">
        <f t="shared" si="7"/>
        <v>0.21566873679922413</v>
      </c>
      <c r="G90" s="8">
        <f t="shared" si="4"/>
        <v>-5.4414364153975328</v>
      </c>
      <c r="H90" s="52"/>
      <c r="I90" s="6">
        <f t="shared" ca="1" si="8"/>
        <v>250.81795131422223</v>
      </c>
      <c r="J90" s="6"/>
      <c r="K90" s="6">
        <f t="shared" si="5"/>
        <v>-3.2839941659098795</v>
      </c>
      <c r="L90" s="52"/>
      <c r="M90" s="56">
        <v>9.9149999999999991</v>
      </c>
      <c r="N90" s="47">
        <f t="shared" si="9"/>
        <v>0.18466373679922413</v>
      </c>
      <c r="O90" s="56">
        <v>2.2330000000000001</v>
      </c>
      <c r="P90" s="47">
        <f t="shared" si="10"/>
        <v>3.1005000000000001E-2</v>
      </c>
    </row>
    <row r="91" spans="4:16" x14ac:dyDescent="0.15">
      <c r="D91" s="44">
        <v>1911</v>
      </c>
      <c r="E91" s="21">
        <f t="shared" si="6"/>
        <v>12.818999999999999</v>
      </c>
      <c r="F91" s="47">
        <f t="shared" si="7"/>
        <v>0.22848773679922413</v>
      </c>
      <c r="G91" s="8">
        <f t="shared" si="4"/>
        <v>-5.3834398845324998</v>
      </c>
      <c r="H91" s="52"/>
      <c r="I91" s="6">
        <f t="shared" ca="1" si="8"/>
        <v>252.02482224390405</v>
      </c>
      <c r="J91" s="6"/>
      <c r="K91" s="6">
        <f t="shared" si="5"/>
        <v>-3.2676865440089733</v>
      </c>
      <c r="L91" s="52"/>
      <c r="M91" s="56">
        <v>10.718999999999999</v>
      </c>
      <c r="N91" s="47">
        <f t="shared" si="9"/>
        <v>0.19538273679922413</v>
      </c>
      <c r="O91" s="56">
        <v>2.1</v>
      </c>
      <c r="P91" s="47">
        <f t="shared" si="10"/>
        <v>3.3105000000000002E-2</v>
      </c>
    </row>
    <row r="92" spans="4:16" x14ac:dyDescent="0.15">
      <c r="D92" s="44">
        <v>1912</v>
      </c>
      <c r="E92" s="21">
        <f t="shared" si="6"/>
        <v>14.129999999999999</v>
      </c>
      <c r="F92" s="47">
        <f t="shared" si="7"/>
        <v>0.24261773679922413</v>
      </c>
      <c r="G92" s="8">
        <f t="shared" si="4"/>
        <v>-5.3231513040915752</v>
      </c>
      <c r="H92" s="52"/>
      <c r="I92" s="6">
        <f t="shared" ca="1" si="8"/>
        <v>253.75363478736563</v>
      </c>
      <c r="J92" s="6"/>
      <c r="K92" s="6">
        <f t="shared" si="5"/>
        <v>-3.2506639315659736</v>
      </c>
      <c r="L92" s="52"/>
      <c r="M92" s="56">
        <v>11.917</v>
      </c>
      <c r="N92" s="47">
        <f t="shared" si="9"/>
        <v>0.20729973679922414</v>
      </c>
      <c r="O92" s="56">
        <v>2.2130000000000001</v>
      </c>
      <c r="P92" s="47">
        <f t="shared" si="10"/>
        <v>3.5318000000000002E-2</v>
      </c>
    </row>
    <row r="93" spans="4:16" x14ac:dyDescent="0.15">
      <c r="D93" s="44">
        <v>1913</v>
      </c>
      <c r="E93" s="21">
        <f t="shared" si="6"/>
        <v>14.535</v>
      </c>
      <c r="F93" s="47">
        <f t="shared" si="7"/>
        <v>0.25715273679922412</v>
      </c>
      <c r="G93" s="8">
        <f t="shared" si="4"/>
        <v>-5.264675953537024</v>
      </c>
      <c r="H93" s="52"/>
      <c r="I93" s="6">
        <f t="shared" ca="1" si="8"/>
        <v>255.06954171875168</v>
      </c>
      <c r="J93" s="6"/>
      <c r="K93" s="6">
        <f t="shared" si="5"/>
        <v>-3.2340840163812259</v>
      </c>
      <c r="M93" s="56">
        <v>12.617000000000001</v>
      </c>
      <c r="N93" s="47">
        <f t="shared" si="9"/>
        <v>0.21991673679922413</v>
      </c>
      <c r="O93" s="56">
        <v>1.9179999999999999</v>
      </c>
      <c r="P93" s="47">
        <f t="shared" si="10"/>
        <v>3.7236000000000005E-2</v>
      </c>
    </row>
    <row r="94" spans="4:16" x14ac:dyDescent="0.15">
      <c r="D94" s="44">
        <v>1914</v>
      </c>
      <c r="E94" s="21">
        <f t="shared" si="6"/>
        <v>14.955</v>
      </c>
      <c r="F94" s="47">
        <f t="shared" si="7"/>
        <v>0.27210773679922412</v>
      </c>
      <c r="G94" s="8">
        <f t="shared" si="4"/>
        <v>-5.2078473150727067</v>
      </c>
      <c r="H94" s="52"/>
      <c r="I94" s="6">
        <f t="shared" ca="1" si="8"/>
        <v>256.01046218612282</v>
      </c>
      <c r="J94" s="6"/>
      <c r="K94" s="6">
        <f t="shared" si="5"/>
        <v>-3.2179050752697029</v>
      </c>
      <c r="M94" s="56">
        <v>12.643000000000001</v>
      </c>
      <c r="N94" s="47">
        <f t="shared" si="9"/>
        <v>0.23255973679922415</v>
      </c>
      <c r="O94" s="56">
        <v>2.3119999999999998</v>
      </c>
      <c r="P94" s="47">
        <f t="shared" si="10"/>
        <v>3.9548000000000007E-2</v>
      </c>
    </row>
    <row r="95" spans="4:16" x14ac:dyDescent="0.15">
      <c r="D95" s="44">
        <v>1915</v>
      </c>
      <c r="E95" s="21">
        <f t="shared" si="6"/>
        <v>13.842000000000001</v>
      </c>
      <c r="F95" s="47">
        <f t="shared" si="7"/>
        <v>0.28594973679922414</v>
      </c>
      <c r="G95" s="8">
        <f t="shared" si="4"/>
        <v>-5.1579508737807105</v>
      </c>
      <c r="H95" s="52"/>
      <c r="I95" s="6">
        <f t="shared" ca="1" si="8"/>
        <v>255.37279455609587</v>
      </c>
      <c r="J95" s="6"/>
      <c r="K95" s="6">
        <f t="shared" si="5"/>
        <v>-3.2036456966874409</v>
      </c>
      <c r="M95" s="56">
        <v>11.598000000000001</v>
      </c>
      <c r="N95" s="47">
        <f t="shared" si="9"/>
        <v>0.24415773679922415</v>
      </c>
      <c r="O95" s="56">
        <v>2.2440000000000002</v>
      </c>
      <c r="P95" s="47">
        <f t="shared" si="10"/>
        <v>4.179200000000001E-2</v>
      </c>
    </row>
    <row r="96" spans="4:16" x14ac:dyDescent="0.15">
      <c r="D96" s="44">
        <v>1916</v>
      </c>
      <c r="E96" s="21">
        <f t="shared" si="6"/>
        <v>12.262</v>
      </c>
      <c r="F96" s="47">
        <f t="shared" si="7"/>
        <v>0.29821173679922414</v>
      </c>
      <c r="G96" s="8">
        <f t="shared" si="4"/>
        <v>-5.1157164142190767</v>
      </c>
      <c r="H96" s="52"/>
      <c r="I96" s="6">
        <f t="shared" ca="1" si="8"/>
        <v>252.99035353584622</v>
      </c>
      <c r="J96" s="6"/>
      <c r="K96" s="6">
        <f t="shared" si="5"/>
        <v>-3.1915362048321168</v>
      </c>
      <c r="M96" s="56">
        <v>9.9689999999999994</v>
      </c>
      <c r="N96" s="47">
        <f t="shared" si="9"/>
        <v>0.25412673679922415</v>
      </c>
      <c r="O96" s="56">
        <v>2.2930000000000001</v>
      </c>
      <c r="P96" s="47">
        <f t="shared" si="10"/>
        <v>4.4085000000000013E-2</v>
      </c>
    </row>
    <row r="97" spans="4:16" x14ac:dyDescent="0.15">
      <c r="D97" s="44">
        <v>1917</v>
      </c>
      <c r="E97" s="21">
        <f t="shared" si="6"/>
        <v>12.501999999999999</v>
      </c>
      <c r="F97" s="47">
        <f t="shared" si="7"/>
        <v>0.31071373679922415</v>
      </c>
      <c r="G97" s="8">
        <f t="shared" si="4"/>
        <v>-5.0743965054061242</v>
      </c>
      <c r="H97" s="52"/>
      <c r="I97" s="6">
        <f t="shared" ca="1" si="8"/>
        <v>250.39965258149005</v>
      </c>
      <c r="J97" s="6"/>
      <c r="K97" s="6">
        <f t="shared" si="5"/>
        <v>-3.1796534406461472</v>
      </c>
      <c r="M97" s="56">
        <v>10.401</v>
      </c>
      <c r="N97" s="47">
        <f t="shared" si="9"/>
        <v>0.26452773679922414</v>
      </c>
      <c r="O97" s="56">
        <v>2.101</v>
      </c>
      <c r="P97" s="47">
        <f t="shared" si="10"/>
        <v>4.6186000000000012E-2</v>
      </c>
    </row>
    <row r="98" spans="4:16" x14ac:dyDescent="0.15">
      <c r="D98" s="44">
        <v>1918</v>
      </c>
      <c r="E98" s="21">
        <f t="shared" si="6"/>
        <v>13.138999999999999</v>
      </c>
      <c r="F98" s="47">
        <f t="shared" si="7"/>
        <v>0.32385273679922416</v>
      </c>
      <c r="G98" s="8">
        <f t="shared" si="4"/>
        <v>-5.0327151056343258</v>
      </c>
      <c r="H98" s="52"/>
      <c r="I98" s="6">
        <f t="shared" ca="1" si="8"/>
        <v>247.89126973072507</v>
      </c>
      <c r="J98" s="6"/>
      <c r="K98" s="6">
        <f t="shared" si="5"/>
        <v>-3.1676309439753334</v>
      </c>
      <c r="M98" s="56">
        <v>11.071999999999999</v>
      </c>
      <c r="N98" s="47">
        <f t="shared" si="9"/>
        <v>0.27559973679922412</v>
      </c>
      <c r="O98" s="56">
        <v>2.0670000000000002</v>
      </c>
      <c r="P98" s="47">
        <f t="shared" si="10"/>
        <v>4.8253000000000011E-2</v>
      </c>
    </row>
    <row r="99" spans="4:16" x14ac:dyDescent="0.15">
      <c r="D99" s="44">
        <v>1919</v>
      </c>
      <c r="E99" s="21">
        <f t="shared" si="6"/>
        <v>12.511000000000001</v>
      </c>
      <c r="F99" s="47">
        <f t="shared" si="7"/>
        <v>0.33636373679922416</v>
      </c>
      <c r="G99" s="8">
        <f t="shared" si="4"/>
        <v>-4.9945589250722513</v>
      </c>
      <c r="H99" s="52"/>
      <c r="I99" s="6">
        <f t="shared" ca="1" si="8"/>
        <v>244.5801299838613</v>
      </c>
      <c r="J99" s="6"/>
      <c r="K99" s="6">
        <f t="shared" si="5"/>
        <v>-3.1565935769651667</v>
      </c>
      <c r="M99" s="56">
        <v>10.634</v>
      </c>
      <c r="N99" s="47">
        <f t="shared" si="9"/>
        <v>0.28623373679922409</v>
      </c>
      <c r="O99" s="56">
        <v>1.877</v>
      </c>
      <c r="P99" s="47">
        <f t="shared" si="10"/>
        <v>5.0130000000000008E-2</v>
      </c>
    </row>
    <row r="100" spans="4:16" x14ac:dyDescent="0.15">
      <c r="D100" s="44">
        <v>1920</v>
      </c>
      <c r="E100" s="21">
        <f t="shared" si="6"/>
        <v>15.049000000000001</v>
      </c>
      <c r="F100" s="47">
        <f t="shared" si="7"/>
        <v>0.35141273679922413</v>
      </c>
      <c r="G100" s="8">
        <f t="shared" si="4"/>
        <v>-4.95048748038311</v>
      </c>
      <c r="H100" s="52"/>
      <c r="I100" s="6">
        <f t="shared" ca="1" si="8"/>
        <v>242.61600407861806</v>
      </c>
      <c r="J100" s="6"/>
      <c r="K100" s="6">
        <f t="shared" si="5"/>
        <v>-3.1438072168204965</v>
      </c>
      <c r="M100" s="56">
        <v>13.175000000000001</v>
      </c>
      <c r="N100" s="47">
        <f t="shared" si="9"/>
        <v>0.29940873679922408</v>
      </c>
      <c r="O100" s="56">
        <v>1.8740000000000001</v>
      </c>
      <c r="P100" s="47">
        <f t="shared" si="10"/>
        <v>5.2004000000000009E-2</v>
      </c>
    </row>
    <row r="101" spans="4:16" x14ac:dyDescent="0.15">
      <c r="D101" s="44">
        <v>1921</v>
      </c>
      <c r="E101" s="21">
        <f t="shared" si="6"/>
        <v>14.922000000000001</v>
      </c>
      <c r="F101" s="47">
        <f t="shared" si="7"/>
        <v>0.36633473679922413</v>
      </c>
      <c r="G101" s="8">
        <f t="shared" si="4"/>
        <v>-4.9086007238887639</v>
      </c>
      <c r="H101" s="52"/>
      <c r="I101" s="6">
        <f t="shared" ca="1" si="8"/>
        <v>240.1543847098892</v>
      </c>
      <c r="J101" s="6"/>
      <c r="K101" s="6">
        <f t="shared" si="5"/>
        <v>-3.1316168356799943</v>
      </c>
      <c r="M101" s="56">
        <v>13.084</v>
      </c>
      <c r="N101" s="47">
        <f t="shared" si="9"/>
        <v>0.31249273679922407</v>
      </c>
      <c r="O101" s="56">
        <v>1.8380000000000001</v>
      </c>
      <c r="P101" s="47">
        <f t="shared" si="10"/>
        <v>5.3842000000000008E-2</v>
      </c>
    </row>
    <row r="102" spans="4:16" x14ac:dyDescent="0.15">
      <c r="D102" s="44">
        <v>1922</v>
      </c>
      <c r="E102" s="21">
        <f t="shared" si="6"/>
        <v>14.384</v>
      </c>
      <c r="F102" s="47">
        <f t="shared" si="7"/>
        <v>0.38071873679922413</v>
      </c>
      <c r="G102" s="8">
        <f t="shared" si="4"/>
        <v>-4.8697974164162048</v>
      </c>
      <c r="H102" s="52"/>
      <c r="I102" s="6">
        <f t="shared" ca="1" si="8"/>
        <v>236.99060759755594</v>
      </c>
      <c r="J102" s="6"/>
      <c r="K102" s="6">
        <f t="shared" si="5"/>
        <v>-3.1202907323877525</v>
      </c>
      <c r="M102" s="56">
        <v>12.496</v>
      </c>
      <c r="N102" s="47">
        <f t="shared" si="9"/>
        <v>0.32498873679922408</v>
      </c>
      <c r="O102" s="56">
        <v>1.8879999999999999</v>
      </c>
      <c r="P102" s="47">
        <f t="shared" si="10"/>
        <v>5.5730000000000009E-2</v>
      </c>
    </row>
    <row r="103" spans="4:16" x14ac:dyDescent="0.15">
      <c r="D103" s="44">
        <v>1923</v>
      </c>
      <c r="E103" s="21">
        <f t="shared" si="6"/>
        <v>14.838999999999999</v>
      </c>
      <c r="F103" s="47">
        <f t="shared" si="7"/>
        <v>0.39555773679922412</v>
      </c>
      <c r="G103" s="8">
        <f t="shared" si="4"/>
        <v>-4.8312623498446925</v>
      </c>
      <c r="H103" s="52"/>
      <c r="I103" s="6">
        <f t="shared" ca="1" si="8"/>
        <v>233.76574712548882</v>
      </c>
      <c r="J103" s="6"/>
      <c r="K103" s="6">
        <f t="shared" si="5"/>
        <v>-3.1090112529920182</v>
      </c>
      <c r="M103" s="56">
        <v>12.837</v>
      </c>
      <c r="N103" s="47">
        <f t="shared" si="9"/>
        <v>0.33782573679922406</v>
      </c>
      <c r="O103" s="56">
        <v>2.0019999999999998</v>
      </c>
      <c r="P103" s="47">
        <f t="shared" si="10"/>
        <v>5.7732000000000006E-2</v>
      </c>
    </row>
    <row r="104" spans="4:16" x14ac:dyDescent="0.15">
      <c r="D104" s="44">
        <v>1924</v>
      </c>
      <c r="E104" s="21">
        <f t="shared" si="6"/>
        <v>16.224</v>
      </c>
      <c r="F104" s="47">
        <f t="shared" si="7"/>
        <v>0.41178173679922414</v>
      </c>
      <c r="G104" s="8">
        <f t="shared" si="4"/>
        <v>-4.7907384553198913</v>
      </c>
      <c r="H104" s="52"/>
      <c r="I104" s="6">
        <f t="shared" ca="1" si="8"/>
        <v>230.99377915731111</v>
      </c>
      <c r="J104" s="6"/>
      <c r="K104" s="6">
        <f t="shared" si="5"/>
        <v>-3.0971154132514296</v>
      </c>
      <c r="M104" s="56">
        <v>14.108000000000001</v>
      </c>
      <c r="N104" s="47">
        <f t="shared" si="9"/>
        <v>0.35193373679922407</v>
      </c>
      <c r="O104" s="56">
        <v>2.1160000000000001</v>
      </c>
      <c r="P104" s="47">
        <f t="shared" si="10"/>
        <v>5.9848000000000005E-2</v>
      </c>
    </row>
    <row r="105" spans="4:16" x14ac:dyDescent="0.15">
      <c r="D105" s="44">
        <v>1925</v>
      </c>
      <c r="E105" s="21">
        <f t="shared" si="6"/>
        <v>16.884</v>
      </c>
      <c r="F105" s="47">
        <f t="shared" si="7"/>
        <v>0.42866573679922415</v>
      </c>
      <c r="G105" s="8">
        <f t="shared" si="4"/>
        <v>-4.7502138160047522</v>
      </c>
      <c r="H105" s="52"/>
      <c r="I105" s="6">
        <f t="shared" ca="1" si="8"/>
        <v>228.22198079151985</v>
      </c>
      <c r="J105" s="6"/>
      <c r="K105" s="6">
        <f t="shared" si="5"/>
        <v>-3.085184102973614</v>
      </c>
      <c r="M105" s="56">
        <v>14.736000000000001</v>
      </c>
      <c r="N105" s="47">
        <f t="shared" si="9"/>
        <v>0.3666697367992241</v>
      </c>
      <c r="O105" s="56">
        <v>2.1480000000000001</v>
      </c>
      <c r="P105" s="47">
        <f t="shared" si="10"/>
        <v>6.1996000000000002E-2</v>
      </c>
    </row>
    <row r="106" spans="4:16" x14ac:dyDescent="0.15">
      <c r="D106" s="44">
        <v>1926</v>
      </c>
      <c r="E106" s="21">
        <f t="shared" si="6"/>
        <v>16.734999999999999</v>
      </c>
      <c r="F106" s="47">
        <f t="shared" si="7"/>
        <v>0.44540073679922415</v>
      </c>
      <c r="G106" s="8">
        <f t="shared" si="4"/>
        <v>-4.711579109087829</v>
      </c>
      <c r="H106" s="52"/>
      <c r="I106" s="6">
        <f t="shared" ca="1" si="8"/>
        <v>225.01981024868746</v>
      </c>
      <c r="J106" s="6"/>
      <c r="K106" s="6">
        <f t="shared" si="5"/>
        <v>-3.0737762454917306</v>
      </c>
      <c r="M106" s="56">
        <v>14.46</v>
      </c>
      <c r="N106" s="47">
        <f t="shared" si="9"/>
        <v>0.38112973679922413</v>
      </c>
      <c r="O106" s="56">
        <v>2.2749999999999999</v>
      </c>
      <c r="P106" s="47">
        <f t="shared" si="10"/>
        <v>6.4271000000000009E-2</v>
      </c>
    </row>
    <row r="107" spans="4:16" x14ac:dyDescent="0.15">
      <c r="D107" s="44">
        <v>1927</v>
      </c>
      <c r="E107" s="21">
        <f t="shared" si="6"/>
        <v>17.623000000000001</v>
      </c>
      <c r="F107" s="47">
        <f t="shared" si="7"/>
        <v>0.46302373679922415</v>
      </c>
      <c r="G107" s="8">
        <f t="shared" si="4"/>
        <v>-4.6724194083048189</v>
      </c>
      <c r="H107" s="52"/>
      <c r="I107" s="6">
        <f t="shared" ca="1" si="8"/>
        <v>221.93719041216173</v>
      </c>
      <c r="J107" s="6"/>
      <c r="K107" s="6">
        <f t="shared" si="5"/>
        <v>-3.0621803623282613</v>
      </c>
      <c r="M107" s="56">
        <v>15.218</v>
      </c>
      <c r="N107" s="47">
        <f t="shared" si="9"/>
        <v>0.39634773679922414</v>
      </c>
      <c r="O107" s="56">
        <v>2.4049999999999998</v>
      </c>
      <c r="P107" s="47">
        <f t="shared" si="10"/>
        <v>6.6676000000000013E-2</v>
      </c>
    </row>
    <row r="108" spans="4:16" x14ac:dyDescent="0.15">
      <c r="D108" s="44">
        <v>1928</v>
      </c>
      <c r="E108" s="21">
        <f t="shared" si="6"/>
        <v>16.121000000000002</v>
      </c>
      <c r="F108" s="47">
        <f t="shared" si="7"/>
        <v>0.47914473679922415</v>
      </c>
      <c r="G108" s="8">
        <f t="shared" si="4"/>
        <v>-4.6378694353840864</v>
      </c>
      <c r="H108" s="52"/>
      <c r="I108" s="6">
        <f t="shared" ca="1" si="8"/>
        <v>217.80485122191112</v>
      </c>
      <c r="J108" s="6"/>
      <c r="K108" s="6">
        <f t="shared" si="5"/>
        <v>-3.0519217889948584</v>
      </c>
      <c r="M108" s="56">
        <v>13.646000000000001</v>
      </c>
      <c r="N108" s="47">
        <f t="shared" si="9"/>
        <v>0.40999373679922413</v>
      </c>
      <c r="O108" s="56">
        <v>2.4750000000000001</v>
      </c>
      <c r="P108" s="47">
        <f t="shared" si="10"/>
        <v>6.9151000000000018E-2</v>
      </c>
    </row>
    <row r="109" spans="4:16" x14ac:dyDescent="0.15">
      <c r="D109" s="44">
        <v>1929</v>
      </c>
      <c r="E109" s="21">
        <f t="shared" si="6"/>
        <v>14.876000000000001</v>
      </c>
      <c r="F109" s="47">
        <f t="shared" si="7"/>
        <v>0.49402073679922415</v>
      </c>
      <c r="G109" s="8">
        <f t="shared" si="4"/>
        <v>-4.6069941309542992</v>
      </c>
      <c r="H109" s="52"/>
      <c r="I109" s="6">
        <f t="shared" ca="1" si="8"/>
        <v>212.83572280055432</v>
      </c>
      <c r="J109" s="6"/>
      <c r="K109" s="6">
        <f t="shared" si="5"/>
        <v>-3.0427322301163535</v>
      </c>
      <c r="M109" s="56">
        <v>12.3</v>
      </c>
      <c r="N109" s="47">
        <f t="shared" si="9"/>
        <v>0.42229373679922411</v>
      </c>
      <c r="O109" s="56">
        <v>2.5760000000000001</v>
      </c>
      <c r="P109" s="47">
        <f t="shared" si="10"/>
        <v>7.1727000000000013E-2</v>
      </c>
    </row>
    <row r="110" spans="4:16" x14ac:dyDescent="0.15">
      <c r="D110" s="44">
        <v>1930</v>
      </c>
      <c r="E110" s="21">
        <f t="shared" si="6"/>
        <v>14.128</v>
      </c>
      <c r="F110" s="47">
        <f t="shared" si="7"/>
        <v>0.50814873679922412</v>
      </c>
      <c r="G110" s="8">
        <f t="shared" si="4"/>
        <v>-4.5785119313754761</v>
      </c>
      <c r="H110" s="52"/>
      <c r="I110" s="6">
        <f t="shared" ca="1" si="8"/>
        <v>207.32164063081837</v>
      </c>
      <c r="J110" s="6"/>
      <c r="K110" s="6">
        <f t="shared" si="5"/>
        <v>-3.0342364096719971</v>
      </c>
      <c r="M110" s="56">
        <v>11.545</v>
      </c>
      <c r="N110" s="47">
        <f t="shared" si="9"/>
        <v>0.43383873679922413</v>
      </c>
      <c r="O110" s="56">
        <v>2.5830000000000002</v>
      </c>
      <c r="P110" s="47">
        <f t="shared" si="10"/>
        <v>7.4310000000000015E-2</v>
      </c>
    </row>
    <row r="111" spans="4:16" x14ac:dyDescent="0.15">
      <c r="D111" s="44">
        <v>1931</v>
      </c>
      <c r="E111" s="21">
        <f t="shared" si="6"/>
        <v>12.958</v>
      </c>
      <c r="F111" s="47">
        <f t="shared" si="7"/>
        <v>0.52110673679922415</v>
      </c>
      <c r="G111" s="8">
        <f t="shared" si="4"/>
        <v>-4.5530693074445399</v>
      </c>
      <c r="H111" s="52"/>
      <c r="I111" s="6">
        <f t="shared" ca="1" si="8"/>
        <v>201.11539148723386</v>
      </c>
      <c r="J111" s="6"/>
      <c r="K111" s="6">
        <f t="shared" si="5"/>
        <v>-3.0266321650850525</v>
      </c>
      <c r="M111" s="56">
        <v>10.766</v>
      </c>
      <c r="N111" s="47">
        <f t="shared" si="9"/>
        <v>0.44460473679922413</v>
      </c>
      <c r="O111" s="56">
        <v>2.1920000000000002</v>
      </c>
      <c r="P111" s="47">
        <f t="shared" si="10"/>
        <v>7.6502000000000014E-2</v>
      </c>
    </row>
    <row r="112" spans="4:16" x14ac:dyDescent="0.15">
      <c r="D112" s="44">
        <v>1932</v>
      </c>
      <c r="E112" s="21">
        <f t="shared" si="6"/>
        <v>13.249000000000001</v>
      </c>
      <c r="F112" s="47">
        <f t="shared" si="7"/>
        <v>0.5343557367992241</v>
      </c>
      <c r="G112" s="8">
        <f t="shared" si="4"/>
        <v>-4.5276945254927696</v>
      </c>
      <c r="H112" s="52"/>
      <c r="I112" s="6">
        <f t="shared" ca="1" si="8"/>
        <v>194.89369348404944</v>
      </c>
      <c r="J112" s="6"/>
      <c r="K112" s="6">
        <f t="shared" si="5"/>
        <v>-3.0190339804160229</v>
      </c>
      <c r="M112" s="56">
        <v>11.378</v>
      </c>
      <c r="N112" s="47">
        <f t="shared" si="9"/>
        <v>0.45598273679922413</v>
      </c>
      <c r="O112" s="56">
        <v>1.871</v>
      </c>
      <c r="P112" s="47">
        <f t="shared" si="10"/>
        <v>7.8373000000000012E-2</v>
      </c>
    </row>
    <row r="113" spans="4:16" x14ac:dyDescent="0.15">
      <c r="D113" s="44">
        <v>1933</v>
      </c>
      <c r="E113" s="21">
        <f t="shared" si="6"/>
        <v>13.709</v>
      </c>
      <c r="F113" s="47">
        <f t="shared" si="7"/>
        <v>0.54806473679922407</v>
      </c>
      <c r="G113" s="8">
        <f t="shared" si="4"/>
        <v>-4.5020856464718895</v>
      </c>
      <c r="H113" s="52"/>
      <c r="I113" s="6">
        <f t="shared" ca="1" si="8"/>
        <v>188.72530366552382</v>
      </c>
      <c r="J113" s="6"/>
      <c r="K113" s="6">
        <f t="shared" si="5"/>
        <v>-3.0113512662365403</v>
      </c>
      <c r="M113" s="56">
        <v>11.859</v>
      </c>
      <c r="N113" s="47">
        <f t="shared" si="9"/>
        <v>0.46784173679922414</v>
      </c>
      <c r="O113" s="56">
        <v>1.85</v>
      </c>
      <c r="P113" s="47">
        <f t="shared" si="10"/>
        <v>8.0223000000000017E-2</v>
      </c>
    </row>
    <row r="114" spans="4:16" x14ac:dyDescent="0.15">
      <c r="D114" s="44">
        <v>1934</v>
      </c>
      <c r="E114" s="21">
        <f t="shared" si="6"/>
        <v>14.71</v>
      </c>
      <c r="F114" s="47">
        <f t="shared" si="7"/>
        <v>0.56277473679922407</v>
      </c>
      <c r="G114" s="8">
        <f t="shared" si="4"/>
        <v>-4.4753020361134812</v>
      </c>
      <c r="H114" s="52"/>
      <c r="I114" s="6">
        <f t="shared" ca="1" si="8"/>
        <v>182.82442166031524</v>
      </c>
      <c r="J114" s="6"/>
      <c r="K114" s="6">
        <f t="shared" si="5"/>
        <v>-3.0033005796479575</v>
      </c>
      <c r="M114" s="56">
        <v>12.617000000000001</v>
      </c>
      <c r="N114" s="47">
        <f t="shared" si="9"/>
        <v>0.48045873679922413</v>
      </c>
      <c r="O114" s="56">
        <v>2.093</v>
      </c>
      <c r="P114" s="47">
        <f t="shared" si="10"/>
        <v>8.2316000000000014E-2</v>
      </c>
    </row>
    <row r="115" spans="4:16" x14ac:dyDescent="0.15">
      <c r="D115" s="44">
        <v>1935</v>
      </c>
      <c r="E115" s="21">
        <f t="shared" si="6"/>
        <v>15.468</v>
      </c>
      <c r="F115" s="47">
        <f t="shared" si="7"/>
        <v>0.57824273679922411</v>
      </c>
      <c r="G115" s="8">
        <f t="shared" si="4"/>
        <v>-4.4478747140978747</v>
      </c>
      <c r="H115" s="52"/>
      <c r="I115" s="6">
        <f t="shared" ca="1" si="8"/>
        <v>177.07012457399287</v>
      </c>
      <c r="J115" s="6"/>
      <c r="K115" s="6">
        <f t="shared" si="5"/>
        <v>-2.9950398852886089</v>
      </c>
      <c r="M115" s="56">
        <v>13.319000000000001</v>
      </c>
      <c r="N115" s="47">
        <f t="shared" si="9"/>
        <v>0.49377773679922415</v>
      </c>
      <c r="O115" s="56">
        <v>2.149</v>
      </c>
      <c r="P115" s="47">
        <f t="shared" si="10"/>
        <v>8.4465000000000012E-2</v>
      </c>
    </row>
    <row r="116" spans="4:16" x14ac:dyDescent="0.15">
      <c r="D116" s="44">
        <v>1936</v>
      </c>
      <c r="E116" s="21">
        <f t="shared" si="6"/>
        <v>16.821000000000002</v>
      </c>
      <c r="F116" s="47">
        <f t="shared" si="7"/>
        <v>0.59506373679922409</v>
      </c>
      <c r="G116" s="8">
        <f t="shared" si="4"/>
        <v>-4.418859425366394</v>
      </c>
      <c r="H116" s="52"/>
      <c r="I116" s="6">
        <f t="shared" ca="1" si="8"/>
        <v>171.67743655539289</v>
      </c>
      <c r="J116" s="6"/>
      <c r="K116" s="6">
        <f t="shared" si="5"/>
        <v>-2.9862826772677771</v>
      </c>
      <c r="M116" s="56">
        <v>14.646000000000001</v>
      </c>
      <c r="N116" s="47">
        <f t="shared" si="9"/>
        <v>0.50842373679922415</v>
      </c>
      <c r="O116" s="56">
        <v>2.1749999999999998</v>
      </c>
      <c r="P116" s="47">
        <f t="shared" si="10"/>
        <v>8.6640000000000009E-2</v>
      </c>
    </row>
    <row r="117" spans="4:16" x14ac:dyDescent="0.15">
      <c r="D117" s="44">
        <v>1937</v>
      </c>
      <c r="E117" s="21">
        <f t="shared" si="6"/>
        <v>18.03</v>
      </c>
      <c r="F117" s="47">
        <f t="shared" si="7"/>
        <v>0.61309373679922408</v>
      </c>
      <c r="G117" s="8">
        <f t="shared" si="4"/>
        <v>-4.3886449954705986</v>
      </c>
      <c r="H117" s="52"/>
      <c r="I117" s="6">
        <f t="shared" ca="1" si="8"/>
        <v>166.55781491416838</v>
      </c>
      <c r="J117" s="6"/>
      <c r="K117" s="6">
        <f t="shared" si="5"/>
        <v>-2.97714356631435</v>
      </c>
      <c r="M117" s="56">
        <v>15.715</v>
      </c>
      <c r="N117" s="47">
        <f t="shared" si="9"/>
        <v>0.52413873679922418</v>
      </c>
      <c r="O117" s="56">
        <v>2.3149999999999999</v>
      </c>
      <c r="P117" s="47">
        <f t="shared" si="10"/>
        <v>8.8955000000000006E-2</v>
      </c>
    </row>
    <row r="118" spans="4:16" x14ac:dyDescent="0.15">
      <c r="D118" s="44">
        <v>1938</v>
      </c>
      <c r="E118" s="21">
        <f t="shared" si="6"/>
        <v>17.859000000000002</v>
      </c>
      <c r="F118" s="47">
        <f t="shared" si="7"/>
        <v>0.63095273679922403</v>
      </c>
      <c r="G118" s="8">
        <f t="shared" si="4"/>
        <v>-4.3595700969225453</v>
      </c>
      <c r="H118" s="52"/>
      <c r="I118" s="6">
        <f t="shared" ca="1" si="8"/>
        <v>161.17870114116249</v>
      </c>
      <c r="J118" s="6"/>
      <c r="K118" s="6">
        <f t="shared" si="5"/>
        <v>-2.9683298346225313</v>
      </c>
      <c r="M118" s="56">
        <v>15.601000000000001</v>
      </c>
      <c r="N118" s="47">
        <f t="shared" si="9"/>
        <v>0.53973973679922416</v>
      </c>
      <c r="O118" s="56">
        <v>2.258</v>
      </c>
      <c r="P118" s="47">
        <f t="shared" si="10"/>
        <v>9.1213000000000002E-2</v>
      </c>
    </row>
    <row r="119" spans="4:16" x14ac:dyDescent="0.15">
      <c r="D119" s="44">
        <v>1939</v>
      </c>
      <c r="E119" s="21">
        <f t="shared" si="6"/>
        <v>19.841999999999999</v>
      </c>
      <c r="F119" s="47">
        <f t="shared" si="7"/>
        <v>0.65079473679922406</v>
      </c>
      <c r="G119" s="8">
        <f t="shared" si="4"/>
        <v>-4.3282046622856161</v>
      </c>
      <c r="H119" s="52"/>
      <c r="I119" s="6">
        <f t="shared" ca="1" si="8"/>
        <v>156.3211843332565</v>
      </c>
      <c r="J119" s="6"/>
      <c r="K119" s="6">
        <f t="shared" si="5"/>
        <v>-2.9588004739331102</v>
      </c>
      <c r="M119" s="56">
        <v>17.462</v>
      </c>
      <c r="N119" s="47">
        <f t="shared" si="9"/>
        <v>0.55720173679922413</v>
      </c>
      <c r="O119" s="56">
        <v>2.38</v>
      </c>
      <c r="P119" s="47">
        <f t="shared" si="10"/>
        <v>9.3592999999999996E-2</v>
      </c>
    </row>
    <row r="120" spans="4:16" x14ac:dyDescent="0.15">
      <c r="D120" s="44">
        <v>1940</v>
      </c>
      <c r="E120" s="21">
        <f t="shared" si="6"/>
        <v>18.817</v>
      </c>
      <c r="F120" s="47">
        <f t="shared" si="7"/>
        <v>0.66961173679922403</v>
      </c>
      <c r="G120" s="8">
        <f t="shared" si="4"/>
        <v>-4.2993194214545483</v>
      </c>
      <c r="H120" s="52"/>
      <c r="I120" s="6">
        <f t="shared" ca="1" si="8"/>
        <v>150.89888202894508</v>
      </c>
      <c r="J120" s="6"/>
      <c r="K120" s="6">
        <f t="shared" si="5"/>
        <v>-2.9500050584195501</v>
      </c>
      <c r="M120" s="56">
        <v>16.260000000000002</v>
      </c>
      <c r="N120" s="47">
        <f t="shared" si="9"/>
        <v>0.57346173679922419</v>
      </c>
      <c r="O120" s="56">
        <v>2.5569999999999999</v>
      </c>
      <c r="P120" s="47">
        <f t="shared" si="10"/>
        <v>9.6149999999999999E-2</v>
      </c>
    </row>
    <row r="121" spans="4:16" x14ac:dyDescent="0.15">
      <c r="D121" s="44">
        <v>1941</v>
      </c>
      <c r="E121" s="21">
        <f t="shared" si="6"/>
        <v>21.76</v>
      </c>
      <c r="F121" s="47">
        <f t="shared" si="7"/>
        <v>0.69137173679922403</v>
      </c>
      <c r="G121" s="8">
        <f t="shared" si="4"/>
        <v>-4.2668984926466376</v>
      </c>
      <c r="H121" s="52"/>
      <c r="I121" s="6">
        <f t="shared" ca="1" si="8"/>
        <v>146.28172055049254</v>
      </c>
      <c r="J121" s="6"/>
      <c r="K121" s="6">
        <f t="shared" si="5"/>
        <v>-2.940110628780602</v>
      </c>
      <c r="M121" s="56">
        <v>19.079000000000001</v>
      </c>
      <c r="N121" s="47">
        <f t="shared" si="9"/>
        <v>0.59254073679922414</v>
      </c>
      <c r="O121" s="56">
        <v>2.681</v>
      </c>
      <c r="P121" s="47">
        <f t="shared" si="10"/>
        <v>9.8831000000000002E-2</v>
      </c>
    </row>
    <row r="122" spans="4:16" x14ac:dyDescent="0.15">
      <c r="D122" s="44">
        <v>1942</v>
      </c>
      <c r="E122" s="21">
        <f t="shared" si="6"/>
        <v>23.445</v>
      </c>
      <c r="F122" s="47">
        <f t="shared" si="7"/>
        <v>0.71481673679922408</v>
      </c>
      <c r="G122" s="8">
        <f t="shared" ref="G122:G185" si="11" xml:space="preserve"> -LN(F$1/F122-1)</f>
        <v>-4.2330742233726051</v>
      </c>
      <c r="H122" s="52"/>
      <c r="I122" s="6">
        <f t="shared" ca="1" si="8"/>
        <v>141.98412536557589</v>
      </c>
      <c r="J122" s="6"/>
      <c r="K122" s="6">
        <f t="shared" ref="K122:K185" si="12">NORMSINV(F122/F$5)</f>
        <v>-2.9297625932210138</v>
      </c>
      <c r="M122" s="56">
        <v>20.722000000000001</v>
      </c>
      <c r="N122" s="47">
        <f t="shared" si="9"/>
        <v>0.61326273679922416</v>
      </c>
      <c r="O122" s="56">
        <v>2.7229999999999999</v>
      </c>
      <c r="P122" s="47">
        <f t="shared" si="10"/>
        <v>0.10155400000000001</v>
      </c>
    </row>
    <row r="123" spans="4:16" x14ac:dyDescent="0.15">
      <c r="D123" s="44">
        <v>1943</v>
      </c>
      <c r="E123" s="21">
        <f t="shared" ref="E123:E160" si="13">SUM(M123,O123)</f>
        <v>22.369999999999997</v>
      </c>
      <c r="F123" s="47">
        <f t="shared" ref="F123:F186" si="14">F122+E123/1000</f>
        <v>0.73718673679922408</v>
      </c>
      <c r="G123" s="8">
        <f t="shared" si="11"/>
        <v>-4.2018050683271078</v>
      </c>
      <c r="H123" s="52"/>
      <c r="I123" s="6">
        <f t="shared" ref="I123:I186" ca="1" si="15" xml:space="preserve"> (G123*(F$2-E$2)/LN(81) + AVERAGE(E$2:F$2) - D123)*12</f>
        <v>137.10468393359133</v>
      </c>
      <c r="J123" s="6"/>
      <c r="K123" s="6">
        <f t="shared" si="12"/>
        <v>-2.9201732021394307</v>
      </c>
      <c r="M123" s="56">
        <v>19.536999999999999</v>
      </c>
      <c r="N123" s="47">
        <f t="shared" ref="N123:N186" si="16">N122+M123/1000</f>
        <v>0.63279973679922419</v>
      </c>
      <c r="O123" s="56">
        <v>2.8330000000000002</v>
      </c>
      <c r="P123" s="47">
        <f t="shared" ref="P123:P186" si="17">P122+O123/1000</f>
        <v>0.10438700000000001</v>
      </c>
    </row>
    <row r="124" spans="4:16" x14ac:dyDescent="0.15">
      <c r="D124" s="44">
        <v>1944</v>
      </c>
      <c r="E124" s="21">
        <f t="shared" si="13"/>
        <v>21.864999999999998</v>
      </c>
      <c r="F124" s="47">
        <f t="shared" si="14"/>
        <v>0.75905173679922411</v>
      </c>
      <c r="G124" s="8">
        <f t="shared" si="11"/>
        <v>-4.1721322970253025</v>
      </c>
      <c r="H124" s="52"/>
      <c r="I124" s="6">
        <f t="shared" ca="1" si="15"/>
        <v>131.86171672268938</v>
      </c>
      <c r="J124" s="6"/>
      <c r="K124" s="6">
        <f t="shared" si="12"/>
        <v>-2.9110528554397619</v>
      </c>
      <c r="M124" s="56">
        <v>19.013999999999999</v>
      </c>
      <c r="N124" s="47">
        <f t="shared" si="16"/>
        <v>0.65181373679922416</v>
      </c>
      <c r="O124" s="56">
        <v>2.851</v>
      </c>
      <c r="P124" s="47">
        <f t="shared" si="17"/>
        <v>0.10723800000000001</v>
      </c>
    </row>
    <row r="125" spans="4:16" x14ac:dyDescent="0.15">
      <c r="D125" s="44">
        <v>1945</v>
      </c>
      <c r="E125" s="21">
        <f t="shared" si="13"/>
        <v>21.408000000000001</v>
      </c>
      <c r="F125" s="47">
        <f t="shared" si="14"/>
        <v>0.78045973679922409</v>
      </c>
      <c r="G125" s="8">
        <f t="shared" si="11"/>
        <v>-4.1438841084804876</v>
      </c>
      <c r="H125" s="52"/>
      <c r="I125" s="6">
        <f t="shared" ca="1" si="15"/>
        <v>126.29434596006286</v>
      </c>
      <c r="J125" s="6"/>
      <c r="K125" s="6">
        <f t="shared" si="12"/>
        <v>-2.902351773986144</v>
      </c>
      <c r="M125" s="56">
        <v>18.529</v>
      </c>
      <c r="N125" s="47">
        <f t="shared" si="16"/>
        <v>0.67034273679922418</v>
      </c>
      <c r="O125" s="56">
        <v>2.879</v>
      </c>
      <c r="P125" s="47">
        <f t="shared" si="17"/>
        <v>0.11011700000000002</v>
      </c>
    </row>
    <row r="126" spans="4:16" x14ac:dyDescent="0.15">
      <c r="D126" s="44">
        <v>1946</v>
      </c>
      <c r="E126" s="21">
        <f t="shared" si="13"/>
        <v>22.741999999999997</v>
      </c>
      <c r="F126" s="47">
        <f t="shared" si="14"/>
        <v>0.80320173679922413</v>
      </c>
      <c r="G126" s="8">
        <f t="shared" si="11"/>
        <v>-4.1146990614958465</v>
      </c>
      <c r="H126" s="52"/>
      <c r="I126" s="6">
        <f t="shared" ca="1" si="15"/>
        <v>120.94031500086567</v>
      </c>
      <c r="J126" s="6"/>
      <c r="K126" s="6">
        <f t="shared" si="12"/>
        <v>-2.893343034386743</v>
      </c>
      <c r="M126" s="56">
        <v>19.902999999999999</v>
      </c>
      <c r="N126" s="47">
        <f t="shared" si="16"/>
        <v>0.69024573679922419</v>
      </c>
      <c r="O126" s="56">
        <v>2.839</v>
      </c>
      <c r="P126" s="47">
        <f t="shared" si="17"/>
        <v>0.11295600000000001</v>
      </c>
    </row>
    <row r="127" spans="4:16" x14ac:dyDescent="0.15">
      <c r="D127" s="44">
        <v>1947</v>
      </c>
      <c r="E127" s="21">
        <f t="shared" si="13"/>
        <v>24.103999999999999</v>
      </c>
      <c r="F127" s="47">
        <f t="shared" si="14"/>
        <v>0.82730573679922415</v>
      </c>
      <c r="G127" s="8">
        <f t="shared" si="11"/>
        <v>-4.0846404448868938</v>
      </c>
      <c r="H127" s="52"/>
      <c r="I127" s="6">
        <f t="shared" ca="1" si="15"/>
        <v>115.78521182414534</v>
      </c>
      <c r="J127" s="6"/>
      <c r="K127" s="6">
        <f t="shared" si="12"/>
        <v>-2.8840443408026779</v>
      </c>
      <c r="M127" s="56">
        <v>21.308</v>
      </c>
      <c r="N127" s="47">
        <f t="shared" si="16"/>
        <v>0.71155373679922418</v>
      </c>
      <c r="O127" s="56">
        <v>2.7959999999999998</v>
      </c>
      <c r="P127" s="47">
        <f t="shared" si="17"/>
        <v>0.11575200000000002</v>
      </c>
    </row>
    <row r="128" spans="4:16" x14ac:dyDescent="0.15">
      <c r="D128" s="44">
        <v>1948</v>
      </c>
      <c r="E128" s="21">
        <f t="shared" si="13"/>
        <v>24.64</v>
      </c>
      <c r="F128" s="47">
        <f t="shared" si="14"/>
        <v>0.85194573679922414</v>
      </c>
      <c r="G128" s="8">
        <f t="shared" si="11"/>
        <v>-4.0547905732372582</v>
      </c>
      <c r="H128" s="52"/>
      <c r="I128" s="6">
        <f t="shared" ca="1" si="15"/>
        <v>110.58257360189782</v>
      </c>
      <c r="J128" s="6"/>
      <c r="K128" s="6">
        <f t="shared" si="12"/>
        <v>-2.8747898083328303</v>
      </c>
      <c r="M128" s="56">
        <v>21.82</v>
      </c>
      <c r="N128" s="47">
        <f t="shared" si="16"/>
        <v>0.73337373679922413</v>
      </c>
      <c r="O128" s="56">
        <v>2.82</v>
      </c>
      <c r="P128" s="47">
        <f t="shared" si="17"/>
        <v>0.11857200000000002</v>
      </c>
    </row>
    <row r="129" spans="3:16" x14ac:dyDescent="0.15">
      <c r="D129" s="44">
        <v>1949</v>
      </c>
      <c r="E129" s="21">
        <f t="shared" si="13"/>
        <v>24.530999999999999</v>
      </c>
      <c r="F129" s="47">
        <f t="shared" si="14"/>
        <v>0.87647673679922411</v>
      </c>
      <c r="G129" s="8">
        <f t="shared" si="11"/>
        <v>-4.0259038572893671</v>
      </c>
      <c r="H129" s="52"/>
      <c r="I129" s="6">
        <f t="shared" ca="1" si="15"/>
        <v>105.16060720866699</v>
      </c>
      <c r="J129" s="6"/>
      <c r="K129" s="6">
        <f t="shared" si="12"/>
        <v>-2.8658144979556428</v>
      </c>
      <c r="M129" s="56">
        <v>21.672000000000001</v>
      </c>
      <c r="N129" s="47">
        <f t="shared" si="16"/>
        <v>0.75504573679922415</v>
      </c>
      <c r="O129" s="56">
        <v>2.859</v>
      </c>
      <c r="P129" s="47">
        <f t="shared" si="17"/>
        <v>0.12143100000000003</v>
      </c>
    </row>
    <row r="130" spans="3:16" x14ac:dyDescent="0.15">
      <c r="D130" s="44">
        <v>1950</v>
      </c>
      <c r="E130" s="21">
        <f t="shared" si="13"/>
        <v>26.967000000000002</v>
      </c>
      <c r="F130" s="47">
        <f t="shared" si="14"/>
        <v>0.90344373679922407</v>
      </c>
      <c r="G130" s="8">
        <f t="shared" si="11"/>
        <v>-3.9950509174697828</v>
      </c>
      <c r="H130" s="52"/>
      <c r="I130" s="6">
        <f t="shared" ca="1" si="15"/>
        <v>100.1863859564819</v>
      </c>
      <c r="J130" s="6"/>
      <c r="K130" s="6">
        <f t="shared" si="12"/>
        <v>-2.8562071833989644</v>
      </c>
      <c r="M130" s="56">
        <v>24.254000000000001</v>
      </c>
      <c r="N130" s="47">
        <f t="shared" si="16"/>
        <v>0.77929973679922415</v>
      </c>
      <c r="O130" s="56">
        <v>2.7130000000000001</v>
      </c>
      <c r="P130" s="47">
        <f t="shared" si="17"/>
        <v>0.12414400000000003</v>
      </c>
    </row>
    <row r="131" spans="3:16" x14ac:dyDescent="0.15">
      <c r="D131" s="44">
        <v>1951</v>
      </c>
      <c r="E131" s="21">
        <f t="shared" si="13"/>
        <v>28.327000000000002</v>
      </c>
      <c r="F131" s="47">
        <f t="shared" si="14"/>
        <v>0.93177073679922406</v>
      </c>
      <c r="G131" s="8">
        <f t="shared" si="11"/>
        <v>-3.9636006662496235</v>
      </c>
      <c r="H131" s="52"/>
      <c r="I131" s="6">
        <f t="shared" ca="1" si="15"/>
        <v>95.348183436014551</v>
      </c>
      <c r="J131" s="6"/>
      <c r="K131" s="6">
        <f t="shared" si="12"/>
        <v>-2.8463914393181096</v>
      </c>
      <c r="M131" s="56">
        <v>25.853000000000002</v>
      </c>
      <c r="N131" s="47">
        <f t="shared" si="16"/>
        <v>0.80515273679922417</v>
      </c>
      <c r="O131" s="56">
        <v>2.4740000000000002</v>
      </c>
      <c r="P131" s="47">
        <f t="shared" si="17"/>
        <v>0.12661800000000004</v>
      </c>
    </row>
    <row r="132" spans="3:16" x14ac:dyDescent="0.15">
      <c r="D132" s="44">
        <v>1952</v>
      </c>
      <c r="E132" s="21">
        <f t="shared" si="13"/>
        <v>30.743000000000002</v>
      </c>
      <c r="F132" s="47">
        <f t="shared" si="14"/>
        <v>0.96251373679922403</v>
      </c>
      <c r="G132" s="8">
        <f t="shared" si="11"/>
        <v>-3.9305122146446556</v>
      </c>
      <c r="H132" s="52"/>
      <c r="I132" s="6">
        <f t="shared" ca="1" si="15"/>
        <v>90.883029108540541</v>
      </c>
      <c r="J132" s="6"/>
      <c r="K132" s="6">
        <f t="shared" si="12"/>
        <v>-2.8360399436743498</v>
      </c>
      <c r="M132" s="56">
        <v>27.949000000000002</v>
      </c>
      <c r="N132" s="47">
        <f t="shared" si="16"/>
        <v>0.83310173679922417</v>
      </c>
      <c r="O132" s="56">
        <v>2.794</v>
      </c>
      <c r="P132" s="47">
        <f t="shared" si="17"/>
        <v>0.12941200000000003</v>
      </c>
    </row>
    <row r="133" spans="3:16" x14ac:dyDescent="0.15">
      <c r="D133" s="44">
        <v>1953</v>
      </c>
      <c r="E133" s="21">
        <f t="shared" si="13"/>
        <v>29.654</v>
      </c>
      <c r="F133" s="47">
        <f t="shared" si="14"/>
        <v>0.99216773679922399</v>
      </c>
      <c r="G133" s="8">
        <f t="shared" si="11"/>
        <v>-3.8995632969325271</v>
      </c>
      <c r="H133" s="52"/>
      <c r="I133" s="6">
        <f t="shared" ca="1" si="15"/>
        <v>85.930663778080088</v>
      </c>
      <c r="J133" s="6"/>
      <c r="K133" s="6">
        <f t="shared" si="12"/>
        <v>-2.8263350737811237</v>
      </c>
      <c r="M133" s="56">
        <v>27.096</v>
      </c>
      <c r="N133" s="47">
        <f t="shared" si="16"/>
        <v>0.86019773679922418</v>
      </c>
      <c r="O133" s="56">
        <v>2.5579999999999998</v>
      </c>
      <c r="P133" s="47">
        <f t="shared" si="17"/>
        <v>0.13197000000000003</v>
      </c>
    </row>
    <row r="134" spans="3:16" x14ac:dyDescent="0.15">
      <c r="D134" s="44">
        <v>1954</v>
      </c>
      <c r="E134" s="21">
        <f t="shared" si="13"/>
        <v>32.197000000000003</v>
      </c>
      <c r="F134" s="47">
        <f t="shared" si="14"/>
        <v>1.0243647367992239</v>
      </c>
      <c r="G134" s="8">
        <f t="shared" si="11"/>
        <v>-3.8669701724027701</v>
      </c>
      <c r="H134" s="52"/>
      <c r="I134" s="6">
        <f t="shared" ca="1" si="15"/>
        <v>81.352714415234004</v>
      </c>
      <c r="J134" s="6"/>
      <c r="K134" s="6">
        <f t="shared" si="12"/>
        <v>-2.8160908793958987</v>
      </c>
      <c r="M134" s="56">
        <v>29.561</v>
      </c>
      <c r="N134" s="47">
        <f t="shared" si="16"/>
        <v>0.88975873679922413</v>
      </c>
      <c r="O134" s="56">
        <v>2.6360000000000001</v>
      </c>
      <c r="P134" s="47">
        <f t="shared" si="17"/>
        <v>0.13460600000000003</v>
      </c>
    </row>
    <row r="135" spans="3:16" x14ac:dyDescent="0.15">
      <c r="D135" s="44">
        <v>1955</v>
      </c>
      <c r="E135" s="21">
        <f t="shared" si="13"/>
        <v>32.454999999999998</v>
      </c>
      <c r="F135" s="47">
        <f t="shared" si="14"/>
        <v>1.0568197367992238</v>
      </c>
      <c r="G135" s="8">
        <f t="shared" si="11"/>
        <v>-3.8351155919398154</v>
      </c>
      <c r="H135" s="52"/>
      <c r="I135" s="6">
        <f t="shared" ca="1" si="15"/>
        <v>76.606585059195822</v>
      </c>
      <c r="J135" s="6"/>
      <c r="K135" s="6">
        <f t="shared" si="12"/>
        <v>-2.8060552826421632</v>
      </c>
      <c r="M135" s="56">
        <v>29.858000000000001</v>
      </c>
      <c r="N135" s="47">
        <f t="shared" si="16"/>
        <v>0.91961673679922418</v>
      </c>
      <c r="O135" s="56">
        <v>2.597</v>
      </c>
      <c r="P135" s="47">
        <f t="shared" si="17"/>
        <v>0.13720300000000002</v>
      </c>
    </row>
    <row r="136" spans="3:16" x14ac:dyDescent="0.15">
      <c r="D136" s="44">
        <v>1956</v>
      </c>
      <c r="E136" s="21">
        <f t="shared" si="13"/>
        <v>32.981999999999999</v>
      </c>
      <c r="F136" s="47">
        <f t="shared" si="14"/>
        <v>1.0898017367992239</v>
      </c>
      <c r="G136" s="8">
        <f t="shared" si="11"/>
        <v>-3.8037096554721415</v>
      </c>
      <c r="H136" s="52"/>
      <c r="I136" s="6">
        <f t="shared" ca="1" si="15"/>
        <v>71.758291258998725</v>
      </c>
      <c r="J136" s="6"/>
      <c r="K136" s="6">
        <f t="shared" si="12"/>
        <v>-2.7961382630367102</v>
      </c>
      <c r="M136" s="56">
        <v>30.312000000000001</v>
      </c>
      <c r="N136" s="47">
        <f t="shared" si="16"/>
        <v>0.94992873679922418</v>
      </c>
      <c r="O136" s="56">
        <v>2.67</v>
      </c>
      <c r="P136" s="47">
        <f t="shared" si="17"/>
        <v>0.13987300000000003</v>
      </c>
    </row>
    <row r="137" spans="3:16" x14ac:dyDescent="0.15">
      <c r="D137" s="44">
        <v>1957</v>
      </c>
      <c r="E137" s="21">
        <f t="shared" si="13"/>
        <v>33.805999999999997</v>
      </c>
      <c r="F137" s="47">
        <f t="shared" si="14"/>
        <v>1.1236077367992239</v>
      </c>
      <c r="G137" s="8">
        <f t="shared" si="11"/>
        <v>-3.7724691222740963</v>
      </c>
      <c r="H137" s="52"/>
      <c r="I137" s="6">
        <f t="shared" ca="1" si="15"/>
        <v>66.872332108807313</v>
      </c>
      <c r="J137" s="6"/>
      <c r="K137" s="6">
        <f t="shared" si="12"/>
        <v>-2.7862510587714588</v>
      </c>
      <c r="M137" s="56">
        <v>31.152000000000001</v>
      </c>
      <c r="N137" s="47">
        <f t="shared" si="16"/>
        <v>0.98108073679922414</v>
      </c>
      <c r="O137" s="56">
        <v>2.6539999999999999</v>
      </c>
      <c r="P137" s="47">
        <f t="shared" si="17"/>
        <v>0.14252700000000001</v>
      </c>
    </row>
    <row r="138" spans="3:16" x14ac:dyDescent="0.15">
      <c r="D138" s="44">
        <v>1958</v>
      </c>
      <c r="E138" s="21">
        <f t="shared" si="13"/>
        <v>35.363999999999997</v>
      </c>
      <c r="F138" s="47">
        <f t="shared" si="14"/>
        <v>1.1589717367992238</v>
      </c>
      <c r="G138" s="8">
        <f t="shared" si="11"/>
        <v>-3.74075664138137</v>
      </c>
      <c r="H138" s="52"/>
      <c r="I138" s="6">
        <f t="shared" ca="1" si="15"/>
        <v>62.093844081393399</v>
      </c>
      <c r="J138" s="6"/>
      <c r="K138" s="6">
        <f t="shared" si="12"/>
        <v>-2.7761916436715244</v>
      </c>
      <c r="M138" s="56">
        <v>32.600999999999999</v>
      </c>
      <c r="N138" s="47">
        <f t="shared" si="16"/>
        <v>1.0136817367992241</v>
      </c>
      <c r="O138" s="56">
        <v>2.7629999999999999</v>
      </c>
      <c r="P138" s="47">
        <f t="shared" si="17"/>
        <v>0.14529</v>
      </c>
    </row>
    <row r="139" spans="3:16" x14ac:dyDescent="0.15">
      <c r="C139" s="178"/>
      <c r="D139" s="44">
        <v>1959</v>
      </c>
      <c r="E139" s="21">
        <f t="shared" si="13"/>
        <v>36.722999999999999</v>
      </c>
      <c r="F139" s="47">
        <f t="shared" si="14"/>
        <v>1.1956947367992239</v>
      </c>
      <c r="G139" s="8">
        <f t="shared" si="11"/>
        <v>-3.7088100508930064</v>
      </c>
      <c r="H139" s="52"/>
      <c r="I139" s="6">
        <f t="shared" ca="1" si="15"/>
        <v>57.368667091153839</v>
      </c>
      <c r="J139" s="6"/>
      <c r="K139" s="6">
        <f t="shared" si="12"/>
        <v>-2.7660347195888253</v>
      </c>
      <c r="M139" s="56">
        <v>33.868000000000002</v>
      </c>
      <c r="N139" s="47">
        <f t="shared" si="16"/>
        <v>1.0475497367992241</v>
      </c>
      <c r="O139" s="56">
        <v>2.855</v>
      </c>
      <c r="P139" s="47">
        <f t="shared" si="17"/>
        <v>0.148145</v>
      </c>
    </row>
    <row r="140" spans="3:16" x14ac:dyDescent="0.15">
      <c r="D140" s="44">
        <v>1960</v>
      </c>
      <c r="E140" s="21">
        <f t="shared" si="13"/>
        <v>40.17</v>
      </c>
      <c r="F140" s="47">
        <f t="shared" si="14"/>
        <v>1.2358647367992239</v>
      </c>
      <c r="G140" s="8">
        <f t="shared" si="11"/>
        <v>-3.6749428666233284</v>
      </c>
      <c r="H140" s="52"/>
      <c r="I140" s="6">
        <f t="shared" ca="1" si="15"/>
        <v>53.080844435733525</v>
      </c>
      <c r="J140" s="6"/>
      <c r="K140" s="6">
        <f t="shared" si="12"/>
        <v>-2.7552417282109043</v>
      </c>
      <c r="M140" s="56">
        <v>37.11</v>
      </c>
      <c r="N140" s="47">
        <f t="shared" si="16"/>
        <v>1.0846597367992241</v>
      </c>
      <c r="O140" s="56">
        <v>3.06</v>
      </c>
      <c r="P140" s="47">
        <f t="shared" si="17"/>
        <v>0.15120500000000001</v>
      </c>
    </row>
    <row r="141" spans="3:16" x14ac:dyDescent="0.15">
      <c r="D141" s="44">
        <v>1961</v>
      </c>
      <c r="E141" s="21">
        <f t="shared" si="13"/>
        <v>42.687000000000005</v>
      </c>
      <c r="F141" s="47">
        <f t="shared" si="14"/>
        <v>1.2785517367992238</v>
      </c>
      <c r="G141" s="8">
        <f t="shared" si="11"/>
        <v>-3.6401097948638097</v>
      </c>
      <c r="H141" s="51"/>
      <c r="I141" s="6">
        <f t="shared" ca="1" si="15"/>
        <v>49.012972029413504</v>
      </c>
      <c r="J141" s="6"/>
      <c r="K141" s="6">
        <f t="shared" si="12"/>
        <v>-2.7441136527343017</v>
      </c>
      <c r="M141" s="56">
        <v>39.715000000000003</v>
      </c>
      <c r="N141" s="47">
        <f t="shared" si="16"/>
        <v>1.1243747367992241</v>
      </c>
      <c r="O141" s="56">
        <v>2.972</v>
      </c>
      <c r="P141" s="47">
        <f t="shared" si="17"/>
        <v>0.15417700000000001</v>
      </c>
    </row>
    <row r="142" spans="3:16" x14ac:dyDescent="0.15">
      <c r="D142" s="44">
        <v>1962</v>
      </c>
      <c r="E142" s="21">
        <f t="shared" si="13"/>
        <v>43.503999999999998</v>
      </c>
      <c r="F142" s="47">
        <f t="shared" si="14"/>
        <v>1.3220557367992238</v>
      </c>
      <c r="G142" s="8">
        <f t="shared" si="11"/>
        <v>-3.6057563118165326</v>
      </c>
      <c r="H142" s="51"/>
      <c r="I142" s="6">
        <f t="shared" ca="1" si="15"/>
        <v>44.835888500853798</v>
      </c>
      <c r="J142" s="6"/>
      <c r="K142" s="6">
        <f t="shared" si="12"/>
        <v>-2.733111765173136</v>
      </c>
      <c r="M142" s="56">
        <v>40.912999999999997</v>
      </c>
      <c r="N142" s="47">
        <f t="shared" si="16"/>
        <v>1.165287736799224</v>
      </c>
      <c r="O142" s="56">
        <v>2.5910000000000002</v>
      </c>
      <c r="P142" s="47">
        <f t="shared" si="17"/>
        <v>0.15676800000000002</v>
      </c>
    </row>
    <row r="143" spans="3:16" x14ac:dyDescent="0.15">
      <c r="D143" s="44">
        <v>1963</v>
      </c>
      <c r="E143" s="21">
        <f t="shared" si="13"/>
        <v>45.386000000000003</v>
      </c>
      <c r="F143" s="47">
        <f t="shared" si="14"/>
        <v>1.3674417367992238</v>
      </c>
      <c r="G143" s="8">
        <f t="shared" si="11"/>
        <v>-3.5710694935911373</v>
      </c>
      <c r="H143" s="51"/>
      <c r="I143" s="6">
        <f t="shared" ca="1" si="15"/>
        <v>40.73471148959834</v>
      </c>
      <c r="J143" s="6"/>
      <c r="K143" s="6">
        <f t="shared" si="12"/>
        <v>-2.7219759651337578</v>
      </c>
      <c r="M143" s="56">
        <v>42.6</v>
      </c>
      <c r="N143" s="47">
        <f t="shared" si="16"/>
        <v>1.207887736799224</v>
      </c>
      <c r="O143" s="56">
        <v>2.786</v>
      </c>
      <c r="P143" s="47">
        <f t="shared" si="17"/>
        <v>0.15955400000000003</v>
      </c>
    </row>
    <row r="144" spans="3:16" x14ac:dyDescent="0.15">
      <c r="D144" s="44">
        <v>1964</v>
      </c>
      <c r="E144" s="21">
        <f t="shared" si="13"/>
        <v>48.512</v>
      </c>
      <c r="F144" s="47">
        <f t="shared" si="14"/>
        <v>1.4159537367992239</v>
      </c>
      <c r="G144" s="8">
        <f t="shared" si="11"/>
        <v>-3.5352095187783319</v>
      </c>
      <c r="H144" s="51"/>
      <c r="I144" s="6">
        <f t="shared" ca="1" si="15"/>
        <v>36.900683692257189</v>
      </c>
      <c r="J144" s="6"/>
      <c r="K144" s="6">
        <f t="shared" si="12"/>
        <v>-2.7104349320613204</v>
      </c>
      <c r="M144" s="56">
        <v>45.588999999999999</v>
      </c>
      <c r="N144" s="47">
        <f t="shared" si="16"/>
        <v>1.2534767367992241</v>
      </c>
      <c r="O144" s="56">
        <v>2.923</v>
      </c>
      <c r="P144" s="47">
        <f t="shared" si="17"/>
        <v>0.16247700000000004</v>
      </c>
    </row>
    <row r="145" spans="4:16" x14ac:dyDescent="0.15">
      <c r="D145" s="44">
        <v>1965</v>
      </c>
      <c r="E145" s="21">
        <f t="shared" si="13"/>
        <v>53.756999999999998</v>
      </c>
      <c r="F145" s="47">
        <f t="shared" si="14"/>
        <v>1.4697107367992239</v>
      </c>
      <c r="G145" s="8">
        <f t="shared" si="11"/>
        <v>-3.4968398382761134</v>
      </c>
      <c r="H145" s="51"/>
      <c r="I145" s="6">
        <f t="shared" ca="1" si="15"/>
        <v>33.638161787027457</v>
      </c>
      <c r="J145" s="6"/>
      <c r="K145" s="6">
        <f t="shared" si="12"/>
        <v>-2.6980540968171658</v>
      </c>
      <c r="M145" s="56">
        <v>51.055</v>
      </c>
      <c r="N145" s="47">
        <f t="shared" si="16"/>
        <v>1.3045317367992242</v>
      </c>
      <c r="O145" s="56">
        <v>2.702</v>
      </c>
      <c r="P145" s="47">
        <f t="shared" si="17"/>
        <v>0.16517900000000005</v>
      </c>
    </row>
    <row r="146" spans="4:16" x14ac:dyDescent="0.15">
      <c r="D146" s="44">
        <v>1966</v>
      </c>
      <c r="E146" s="21">
        <f t="shared" si="13"/>
        <v>56.418999999999997</v>
      </c>
      <c r="F146" s="47">
        <f t="shared" si="14"/>
        <v>1.5261297367992239</v>
      </c>
      <c r="G146" s="8">
        <f t="shared" si="11"/>
        <v>-3.4580069375436771</v>
      </c>
      <c r="H146" s="51"/>
      <c r="I146" s="6">
        <f t="shared" ca="1" si="15"/>
        <v>30.481123601279251</v>
      </c>
      <c r="J146" s="6"/>
      <c r="K146" s="6">
        <f t="shared" si="12"/>
        <v>-2.6854901611179942</v>
      </c>
      <c r="M146" s="56">
        <v>53.783999999999999</v>
      </c>
      <c r="N146" s="47">
        <f t="shared" si="16"/>
        <v>1.3583157367992242</v>
      </c>
      <c r="O146" s="56">
        <v>2.6349999999999998</v>
      </c>
      <c r="P146" s="47">
        <f t="shared" si="17"/>
        <v>0.16781400000000005</v>
      </c>
    </row>
    <row r="147" spans="4:16" x14ac:dyDescent="0.15">
      <c r="D147" s="44">
        <v>1967</v>
      </c>
      <c r="E147" s="21">
        <f t="shared" si="13"/>
        <v>58.971000000000004</v>
      </c>
      <c r="F147" s="47">
        <f t="shared" si="14"/>
        <v>1.585100736799224</v>
      </c>
      <c r="G147" s="8">
        <f t="shared" si="11"/>
        <v>-3.4188762850038654</v>
      </c>
      <c r="H147" s="51"/>
      <c r="I147" s="6">
        <f t="shared" ca="1" si="15"/>
        <v>27.391888948438464</v>
      </c>
      <c r="J147" s="6"/>
      <c r="K147" s="6">
        <f t="shared" si="12"/>
        <v>-2.6727958380923629</v>
      </c>
      <c r="M147" s="56">
        <v>56.564</v>
      </c>
      <c r="N147" s="47">
        <f t="shared" si="16"/>
        <v>1.4148797367992243</v>
      </c>
      <c r="O147" s="56">
        <v>2.407</v>
      </c>
      <c r="P147" s="47">
        <f t="shared" si="17"/>
        <v>0.17022100000000004</v>
      </c>
    </row>
    <row r="148" spans="4:16" x14ac:dyDescent="0.15">
      <c r="D148" s="44">
        <v>1968</v>
      </c>
      <c r="E148" s="21">
        <f t="shared" si="13"/>
        <v>65.733499999999992</v>
      </c>
      <c r="F148" s="47">
        <f t="shared" si="14"/>
        <v>1.6508342367992239</v>
      </c>
      <c r="G148" s="8">
        <f t="shared" si="11"/>
        <v>-3.376884468420581</v>
      </c>
      <c r="H148" s="51"/>
      <c r="I148" s="6">
        <f t="shared" ca="1" si="15"/>
        <v>24.954193683682206</v>
      </c>
      <c r="J148" s="6"/>
      <c r="K148" s="6">
        <f t="shared" si="12"/>
        <v>-2.6591355263299268</v>
      </c>
      <c r="M148" s="56">
        <v>63.472499999999997</v>
      </c>
      <c r="N148" s="47">
        <f t="shared" si="16"/>
        <v>1.4783522367992243</v>
      </c>
      <c r="O148" s="56">
        <v>2.2610000000000001</v>
      </c>
      <c r="P148" s="47">
        <f t="shared" si="17"/>
        <v>0.17248200000000005</v>
      </c>
    </row>
    <row r="149" spans="4:16" x14ac:dyDescent="0.15">
      <c r="D149" s="44">
        <v>1969</v>
      </c>
      <c r="E149" s="21">
        <f t="shared" si="13"/>
        <v>71.753</v>
      </c>
      <c r="F149" s="47">
        <f t="shared" si="14"/>
        <v>1.7225872367992239</v>
      </c>
      <c r="G149" s="8">
        <f t="shared" si="11"/>
        <v>-3.3328522757635159</v>
      </c>
      <c r="H149" s="51"/>
      <c r="I149" s="6">
        <f t="shared" ca="1" si="15"/>
        <v>22.981129372751639</v>
      </c>
      <c r="J149" s="6"/>
      <c r="K149" s="6">
        <f t="shared" si="12"/>
        <v>-2.6447697159269761</v>
      </c>
      <c r="M149" s="56">
        <v>69.388999999999996</v>
      </c>
      <c r="N149" s="47">
        <f t="shared" si="16"/>
        <v>1.5477412367992243</v>
      </c>
      <c r="O149" s="56">
        <v>2.3639999999999999</v>
      </c>
      <c r="P149" s="47">
        <f t="shared" si="17"/>
        <v>0.17484600000000006</v>
      </c>
    </row>
    <row r="150" spans="4:16" x14ac:dyDescent="0.15">
      <c r="D150" s="44">
        <v>1970</v>
      </c>
      <c r="E150" s="21">
        <f t="shared" si="13"/>
        <v>69.707999999999998</v>
      </c>
      <c r="F150" s="47">
        <f t="shared" si="14"/>
        <v>1.792295236799224</v>
      </c>
      <c r="G150" s="8">
        <f t="shared" si="11"/>
        <v>-3.2917372307434305</v>
      </c>
      <c r="H150" s="51"/>
      <c r="I150" s="6">
        <f t="shared" ca="1" si="15"/>
        <v>20.343777185461477</v>
      </c>
      <c r="J150" s="6"/>
      <c r="K150" s="6">
        <f t="shared" si="12"/>
        <v>-2.6313173636970348</v>
      </c>
      <c r="M150" s="56">
        <v>67.322000000000003</v>
      </c>
      <c r="N150" s="47">
        <f t="shared" si="16"/>
        <v>1.6150632367992244</v>
      </c>
      <c r="O150" s="56">
        <v>2.3860000000000001</v>
      </c>
      <c r="P150" s="47">
        <f t="shared" si="17"/>
        <v>0.17723200000000006</v>
      </c>
    </row>
    <row r="151" spans="4:16" x14ac:dyDescent="0.15">
      <c r="D151" s="44">
        <v>1971</v>
      </c>
      <c r="E151" s="21">
        <f t="shared" si="13"/>
        <v>80.391999999999996</v>
      </c>
      <c r="F151" s="47">
        <f t="shared" si="14"/>
        <v>1.872687236799224</v>
      </c>
      <c r="G151" s="8">
        <f t="shared" si="11"/>
        <v>-3.2461903753526014</v>
      </c>
      <c r="H151" s="51"/>
      <c r="I151" s="6">
        <f t="shared" ca="1" si="15"/>
        <v>18.715629284677561</v>
      </c>
      <c r="J151" s="6"/>
      <c r="K151" s="6">
        <f t="shared" si="12"/>
        <v>-2.6163722023596825</v>
      </c>
      <c r="M151" s="56">
        <v>78.266999999999996</v>
      </c>
      <c r="N151" s="47">
        <f t="shared" si="16"/>
        <v>1.6933302367992245</v>
      </c>
      <c r="O151" s="56">
        <v>2.125</v>
      </c>
      <c r="P151" s="47">
        <f t="shared" si="17"/>
        <v>0.17935700000000004</v>
      </c>
    </row>
    <row r="152" spans="4:16" x14ac:dyDescent="0.15">
      <c r="D152" s="44">
        <v>1972</v>
      </c>
      <c r="E152" s="21">
        <f t="shared" si="13"/>
        <v>82.7</v>
      </c>
      <c r="F152" s="47">
        <f t="shared" si="14"/>
        <v>1.955387236799224</v>
      </c>
      <c r="G152" s="8">
        <f t="shared" si="11"/>
        <v>-3.201256223020112</v>
      </c>
      <c r="H152" s="51"/>
      <c r="I152" s="6">
        <f t="shared" ca="1" si="15"/>
        <v>16.947957690162184</v>
      </c>
      <c r="J152" s="6"/>
      <c r="K152" s="6">
        <f t="shared" si="12"/>
        <v>-2.6015844744246532</v>
      </c>
      <c r="M152" s="56">
        <v>80.519000000000005</v>
      </c>
      <c r="N152" s="47">
        <f t="shared" si="16"/>
        <v>1.7738492367992245</v>
      </c>
      <c r="O152" s="56">
        <v>2.181</v>
      </c>
      <c r="P152" s="47">
        <f t="shared" si="17"/>
        <v>0.18153800000000003</v>
      </c>
    </row>
    <row r="153" spans="4:16" x14ac:dyDescent="0.15">
      <c r="D153" s="44">
        <v>1973</v>
      </c>
      <c r="E153" s="21">
        <f t="shared" si="13"/>
        <v>87.182999999999993</v>
      </c>
      <c r="F153" s="47">
        <f t="shared" si="14"/>
        <v>2.0425702367992238</v>
      </c>
      <c r="G153" s="8">
        <f t="shared" si="11"/>
        <v>-3.1558187435897271</v>
      </c>
      <c r="H153" s="51"/>
      <c r="I153" s="6">
        <f t="shared" ca="1" si="15"/>
        <v>15.294902882516908</v>
      </c>
      <c r="J153" s="6"/>
      <c r="K153" s="6">
        <f t="shared" si="12"/>
        <v>-2.5865875704435051</v>
      </c>
      <c r="M153" s="56">
        <v>84.713999999999999</v>
      </c>
      <c r="N153" s="47">
        <f t="shared" si="16"/>
        <v>1.8585632367992244</v>
      </c>
      <c r="O153" s="56">
        <v>2.4689999999999999</v>
      </c>
      <c r="P153" s="47">
        <f t="shared" si="17"/>
        <v>0.18400700000000003</v>
      </c>
    </row>
    <row r="154" spans="4:16" x14ac:dyDescent="0.15">
      <c r="D154" s="44">
        <v>1974</v>
      </c>
      <c r="E154" s="21">
        <f t="shared" si="13"/>
        <v>91.156000000000006</v>
      </c>
      <c r="F154" s="47">
        <f t="shared" si="14"/>
        <v>2.1337262367992236</v>
      </c>
      <c r="G154" s="8">
        <f t="shared" si="11"/>
        <v>-3.1102546974860199</v>
      </c>
      <c r="H154" s="51"/>
      <c r="I154" s="6">
        <f t="shared" ca="1" si="15"/>
        <v>13.670669621501474</v>
      </c>
      <c r="J154" s="6"/>
      <c r="K154" s="6">
        <f t="shared" si="12"/>
        <v>-2.5715055060621208</v>
      </c>
      <c r="M154" s="56">
        <v>88.591999999999999</v>
      </c>
      <c r="N154" s="47">
        <f t="shared" si="16"/>
        <v>1.9471552367992244</v>
      </c>
      <c r="O154" s="56">
        <v>2.5640000000000001</v>
      </c>
      <c r="P154" s="47">
        <f t="shared" si="17"/>
        <v>0.18657100000000004</v>
      </c>
    </row>
    <row r="155" spans="4:16" x14ac:dyDescent="0.15">
      <c r="D155" s="44">
        <v>1975</v>
      </c>
      <c r="E155" s="21">
        <f t="shared" si="13"/>
        <v>94.221000000000004</v>
      </c>
      <c r="F155" s="47">
        <f t="shared" si="14"/>
        <v>2.2279472367992237</v>
      </c>
      <c r="G155" s="8">
        <f t="shared" si="11"/>
        <v>-3.0650729891196211</v>
      </c>
      <c r="H155" s="51"/>
      <c r="I155" s="6">
        <f t="shared" ca="1" si="15"/>
        <v>11.959371064113839</v>
      </c>
      <c r="J155" s="6"/>
      <c r="K155" s="6">
        <f t="shared" si="12"/>
        <v>-2.5565077174871731</v>
      </c>
      <c r="M155" s="56">
        <v>91.808000000000007</v>
      </c>
      <c r="N155" s="47">
        <f t="shared" si="16"/>
        <v>2.0389632367992245</v>
      </c>
      <c r="O155" s="56">
        <v>2.4129999999999998</v>
      </c>
      <c r="P155" s="47">
        <f t="shared" si="17"/>
        <v>0.18898400000000004</v>
      </c>
    </row>
    <row r="156" spans="4:16" x14ac:dyDescent="0.15">
      <c r="D156" s="44">
        <v>1976</v>
      </c>
      <c r="E156" s="21">
        <f t="shared" si="13"/>
        <v>103.137</v>
      </c>
      <c r="F156" s="47">
        <f t="shared" si="14"/>
        <v>2.3310842367992235</v>
      </c>
      <c r="G156" s="8">
        <f t="shared" si="11"/>
        <v>-3.0176582366379021</v>
      </c>
      <c r="H156" s="51"/>
      <c r="I156" s="6">
        <f t="shared" ca="1" si="15"/>
        <v>10.756577497827493</v>
      </c>
      <c r="J156" s="6"/>
      <c r="K156" s="6">
        <f t="shared" si="12"/>
        <v>-2.5407241446471134</v>
      </c>
      <c r="M156" s="56">
        <v>100.649</v>
      </c>
      <c r="N156" s="47">
        <f t="shared" si="16"/>
        <v>2.1396122367992247</v>
      </c>
      <c r="O156" s="56">
        <v>2.488</v>
      </c>
      <c r="P156" s="47">
        <f t="shared" si="17"/>
        <v>0.19147200000000003</v>
      </c>
    </row>
    <row r="157" spans="4:16" x14ac:dyDescent="0.15">
      <c r="D157" s="44">
        <v>1977</v>
      </c>
      <c r="E157" s="21">
        <f t="shared" si="13"/>
        <v>102.794</v>
      </c>
      <c r="F157" s="47">
        <f t="shared" si="14"/>
        <v>2.4338782367992233</v>
      </c>
      <c r="G157" s="8">
        <f t="shared" si="11"/>
        <v>-2.9723464001393336</v>
      </c>
      <c r="H157" s="51"/>
      <c r="I157" s="6">
        <f t="shared" ca="1" si="15"/>
        <v>9.0749114963919055</v>
      </c>
      <c r="J157" s="6"/>
      <c r="K157" s="6">
        <f t="shared" si="12"/>
        <v>-2.5255987399496935</v>
      </c>
      <c r="M157" s="56">
        <v>100.401</v>
      </c>
      <c r="N157" s="47">
        <f t="shared" si="16"/>
        <v>2.2400132367992249</v>
      </c>
      <c r="O157" s="56">
        <v>2.3929999999999998</v>
      </c>
      <c r="P157" s="47">
        <f t="shared" si="17"/>
        <v>0.19386500000000004</v>
      </c>
    </row>
    <row r="158" spans="4:16" x14ac:dyDescent="0.15">
      <c r="D158" s="44">
        <v>1978</v>
      </c>
      <c r="E158" s="21">
        <f t="shared" si="13"/>
        <v>106.35300000000001</v>
      </c>
      <c r="F158" s="47">
        <f t="shared" si="14"/>
        <v>2.5402312367992232</v>
      </c>
      <c r="G158" s="8">
        <f t="shared" si="11"/>
        <v>-2.9273382046655074</v>
      </c>
      <c r="H158" s="51"/>
      <c r="I158" s="6">
        <f t="shared" ca="1" si="15"/>
        <v>7.324100879530306</v>
      </c>
      <c r="J158" s="6"/>
      <c r="K158" s="6">
        <f t="shared" si="12"/>
        <v>-2.5105349989333687</v>
      </c>
      <c r="M158" s="56">
        <v>104.17</v>
      </c>
      <c r="N158" s="47">
        <f t="shared" si="16"/>
        <v>2.3441832367992248</v>
      </c>
      <c r="O158" s="56">
        <v>2.1829999999999998</v>
      </c>
      <c r="P158" s="47">
        <f t="shared" si="17"/>
        <v>0.19604800000000003</v>
      </c>
    </row>
    <row r="159" spans="4:16" x14ac:dyDescent="0.15">
      <c r="D159" s="44">
        <v>1979</v>
      </c>
      <c r="E159" s="21">
        <f t="shared" si="13"/>
        <v>107.33799999999999</v>
      </c>
      <c r="F159" s="47">
        <f t="shared" si="14"/>
        <v>2.6475692367992232</v>
      </c>
      <c r="G159" s="8">
        <f t="shared" si="11"/>
        <v>-2.8836864900549157</v>
      </c>
      <c r="H159" s="51"/>
      <c r="I159" s="6">
        <f t="shared" ca="1" si="15"/>
        <v>5.2643947578499137</v>
      </c>
      <c r="J159" s="6"/>
      <c r="K159" s="6">
        <f t="shared" si="12"/>
        <v>-2.4958882722828664</v>
      </c>
      <c r="M159" s="56">
        <v>105.39</v>
      </c>
      <c r="N159" s="47">
        <f t="shared" si="16"/>
        <v>2.4495732367992247</v>
      </c>
      <c r="O159" s="56">
        <v>1.948</v>
      </c>
      <c r="P159" s="47">
        <f t="shared" si="17"/>
        <v>0.19799600000000003</v>
      </c>
    </row>
    <row r="160" spans="4:16" x14ac:dyDescent="0.15">
      <c r="D160" s="44">
        <v>1980</v>
      </c>
      <c r="E160" s="21">
        <f t="shared" si="13"/>
        <v>120.11799999999999</v>
      </c>
      <c r="F160" s="47">
        <f t="shared" si="14"/>
        <v>2.7676872367992233</v>
      </c>
      <c r="G160" s="8">
        <f t="shared" si="11"/>
        <v>-2.8367757606126798</v>
      </c>
      <c r="H160" s="51"/>
      <c r="I160" s="6">
        <f t="shared" ca="1" si="15"/>
        <v>3.9468259260638661</v>
      </c>
      <c r="J160" s="6"/>
      <c r="K160" s="6">
        <f t="shared" si="12"/>
        <v>-2.4801083946195064</v>
      </c>
      <c r="M160" s="56">
        <v>117.95699999999999</v>
      </c>
      <c r="N160" s="47">
        <f t="shared" si="16"/>
        <v>2.5675302367992248</v>
      </c>
      <c r="O160" s="56">
        <v>2.161</v>
      </c>
      <c r="P160" s="47">
        <f t="shared" si="17"/>
        <v>0.20015700000000003</v>
      </c>
    </row>
    <row r="161" spans="4:16" x14ac:dyDescent="0.15">
      <c r="D161" s="44">
        <v>1981</v>
      </c>
      <c r="E161" s="21">
        <f>SUM(M161,O161)</f>
        <v>129.13499999999999</v>
      </c>
      <c r="F161" s="47">
        <f t="shared" si="14"/>
        <v>2.8968222367992231</v>
      </c>
      <c r="G161" s="8">
        <f t="shared" si="11"/>
        <v>-2.7884348637016676</v>
      </c>
      <c r="H161" s="51"/>
      <c r="I161" s="6">
        <f t="shared" ca="1" si="15"/>
        <v>2.9549323870278386</v>
      </c>
      <c r="J161" s="6"/>
      <c r="K161" s="6">
        <f t="shared" si="12"/>
        <v>-2.4638056336472784</v>
      </c>
      <c r="M161" s="47">
        <v>126.935</v>
      </c>
      <c r="N161" s="47">
        <f t="shared" si="16"/>
        <v>2.6944652367992248</v>
      </c>
      <c r="O161" s="47">
        <v>2.2000000000000002</v>
      </c>
      <c r="P161" s="47">
        <f t="shared" si="17"/>
        <v>0.20235700000000004</v>
      </c>
    </row>
    <row r="162" spans="4:16" x14ac:dyDescent="0.15">
      <c r="D162" s="44">
        <v>1982</v>
      </c>
      <c r="E162" s="21">
        <f t="shared" ref="E162:E189" si="18">SUM(M162,O162)</f>
        <v>132.3775</v>
      </c>
      <c r="F162" s="47">
        <f t="shared" si="14"/>
        <v>3.0291997367992232</v>
      </c>
      <c r="G162" s="8">
        <f t="shared" si="11"/>
        <v>-2.7409355976286216</v>
      </c>
      <c r="H162" s="51"/>
      <c r="I162" s="6">
        <f t="shared" ca="1" si="15"/>
        <v>1.7713841113791204</v>
      </c>
      <c r="J162" s="6"/>
      <c r="K162" s="6">
        <f t="shared" si="12"/>
        <v>-2.4477466436497437</v>
      </c>
      <c r="M162" s="47">
        <v>130.13749999999999</v>
      </c>
      <c r="N162" s="47">
        <f t="shared" si="16"/>
        <v>2.8246027367992248</v>
      </c>
      <c r="O162" s="47">
        <v>2.2400000000000002</v>
      </c>
      <c r="P162" s="47">
        <f t="shared" si="17"/>
        <v>0.20459700000000003</v>
      </c>
    </row>
    <row r="163" spans="4:16" x14ac:dyDescent="0.15">
      <c r="D163" s="44">
        <v>1983</v>
      </c>
      <c r="E163" s="21">
        <f t="shared" si="18"/>
        <v>136.1525</v>
      </c>
      <c r="F163" s="47">
        <f t="shared" si="14"/>
        <v>3.1653522367992233</v>
      </c>
      <c r="G163" s="8">
        <f t="shared" si="11"/>
        <v>-2.6940660073372475</v>
      </c>
      <c r="H163" s="51"/>
      <c r="I163" s="6">
        <f t="shared" ca="1" si="15"/>
        <v>0.44444714243672934</v>
      </c>
      <c r="J163" s="6">
        <f ca="1">F$1/(1+EXP((AVERAGE(E$2:F$2)-D163)*LN(81)/(F$2-E$2)))</f>
        <v>3.1595704333232457</v>
      </c>
      <c r="K163" s="6">
        <f t="shared" si="12"/>
        <v>-2.431862931619329</v>
      </c>
      <c r="M163" s="47">
        <v>133.6825</v>
      </c>
      <c r="N163" s="47">
        <f t="shared" si="16"/>
        <v>2.9582852367992247</v>
      </c>
      <c r="O163" s="47">
        <v>2.4700000000000002</v>
      </c>
      <c r="P163" s="47">
        <f t="shared" si="17"/>
        <v>0.20706700000000003</v>
      </c>
    </row>
    <row r="164" spans="4:16" x14ac:dyDescent="0.15">
      <c r="D164" s="44">
        <v>1984</v>
      </c>
      <c r="E164" s="21">
        <f t="shared" si="18"/>
        <v>142.59850000000003</v>
      </c>
      <c r="F164" s="47">
        <f t="shared" si="14"/>
        <v>3.3079507367992234</v>
      </c>
      <c r="G164" s="8">
        <f t="shared" si="11"/>
        <v>-2.646951201397139</v>
      </c>
      <c r="H164" s="8"/>
      <c r="I164" s="6">
        <f t="shared" ca="1" si="15"/>
        <v>-0.82664973788905627</v>
      </c>
      <c r="J164" s="6">
        <f ca="1">F$1/(1+EXP((AVERAGE(E$2:F$2)-D164)*LN(81)/(F$2-E$2)))</f>
        <v>3.31918206559356</v>
      </c>
      <c r="K164" s="6">
        <f t="shared" si="12"/>
        <v>-2.4158598712123749</v>
      </c>
      <c r="M164" s="47">
        <v>140.01850000000002</v>
      </c>
      <c r="N164" s="47">
        <f t="shared" si="16"/>
        <v>3.0983037367992248</v>
      </c>
      <c r="O164" s="47">
        <v>2.58</v>
      </c>
      <c r="P164" s="47">
        <f t="shared" si="17"/>
        <v>0.20964700000000003</v>
      </c>
    </row>
    <row r="165" spans="4:16" x14ac:dyDescent="0.15">
      <c r="D165" s="44">
        <v>1985</v>
      </c>
      <c r="E165" s="21">
        <f t="shared" si="18"/>
        <v>168.99749999999997</v>
      </c>
      <c r="F165" s="47">
        <f t="shared" si="14"/>
        <v>3.4769482367992235</v>
      </c>
      <c r="G165" s="8">
        <f t="shared" si="11"/>
        <v>-2.5934980810041166</v>
      </c>
      <c r="H165" s="52"/>
      <c r="I165" s="6">
        <f t="shared" ca="1" si="15"/>
        <v>-0.65439647911352949</v>
      </c>
      <c r="J165" s="6">
        <f t="shared" ref="J165:J228" ca="1" si="19">F$1/(1+EXP((AVERAGE(E$2:F$2)-D165)*LN(81)/(F$2-E$2)))</f>
        <v>3.4862564813984003</v>
      </c>
      <c r="K165" s="6">
        <f t="shared" si="12"/>
        <v>-2.3976618355078196</v>
      </c>
      <c r="M165" s="47">
        <v>166.60749999999999</v>
      </c>
      <c r="N165" s="47">
        <f t="shared" si="16"/>
        <v>3.2649112367992248</v>
      </c>
      <c r="O165" s="47">
        <v>2.39</v>
      </c>
      <c r="P165" s="47">
        <f t="shared" si="17"/>
        <v>0.21203700000000003</v>
      </c>
    </row>
    <row r="166" spans="4:16" x14ac:dyDescent="0.15">
      <c r="D166" s="44">
        <v>1986</v>
      </c>
      <c r="E166" s="21">
        <f t="shared" si="18"/>
        <v>180.54950000000002</v>
      </c>
      <c r="F166" s="47">
        <f t="shared" si="14"/>
        <v>3.6574977367992236</v>
      </c>
      <c r="G166" s="8">
        <f t="shared" si="11"/>
        <v>-2.5389842513149348</v>
      </c>
      <c r="H166" s="52"/>
      <c r="I166" s="6">
        <f t="shared" ca="1" si="15"/>
        <v>-0.24060031149292627</v>
      </c>
      <c r="J166" s="6">
        <f t="shared" ca="1" si="19"/>
        <v>3.6610809963249165</v>
      </c>
      <c r="K166" s="6">
        <f t="shared" si="12"/>
        <v>-2.3790589483550102</v>
      </c>
      <c r="M166" s="47">
        <v>178.02950000000001</v>
      </c>
      <c r="N166" s="47">
        <f t="shared" si="16"/>
        <v>3.4429407367992249</v>
      </c>
      <c r="O166" s="47">
        <v>2.52</v>
      </c>
      <c r="P166" s="47">
        <f t="shared" si="17"/>
        <v>0.21455700000000003</v>
      </c>
    </row>
    <row r="167" spans="4:16" x14ac:dyDescent="0.15">
      <c r="D167" s="44">
        <v>1987</v>
      </c>
      <c r="E167" s="21">
        <f t="shared" si="18"/>
        <v>190.00149999999999</v>
      </c>
      <c r="F167" s="47">
        <f t="shared" si="14"/>
        <v>3.8474992367992238</v>
      </c>
      <c r="G167" s="8">
        <f t="shared" si="11"/>
        <v>-2.4842305109377643</v>
      </c>
      <c r="H167" s="52"/>
      <c r="I167" s="6">
        <f t="shared" ca="1" si="15"/>
        <v>0.22782790814471809</v>
      </c>
      <c r="J167" s="6">
        <f t="shared" ca="1" si="19"/>
        <v>3.8439476777336057</v>
      </c>
      <c r="K167" s="6">
        <f t="shared" si="12"/>
        <v>-2.3603324353294801</v>
      </c>
      <c r="M167" s="47">
        <v>187.60149999999999</v>
      </c>
      <c r="N167" s="47">
        <f t="shared" si="16"/>
        <v>3.6305422367992248</v>
      </c>
      <c r="O167" s="47">
        <v>2.4</v>
      </c>
      <c r="P167" s="47">
        <f t="shared" si="17"/>
        <v>0.21695700000000004</v>
      </c>
    </row>
    <row r="168" spans="4:16" x14ac:dyDescent="0.15">
      <c r="D168" s="44">
        <v>1988</v>
      </c>
      <c r="E168" s="21">
        <f t="shared" si="18"/>
        <v>189.31399999999999</v>
      </c>
      <c r="F168" s="47">
        <f t="shared" si="14"/>
        <v>4.0368132367992242</v>
      </c>
      <c r="G168" s="8">
        <f t="shared" si="11"/>
        <v>-2.432086738013489</v>
      </c>
      <c r="H168" s="52"/>
      <c r="I168" s="6">
        <f t="shared" ca="1" si="15"/>
        <v>0.10191879817284644</v>
      </c>
      <c r="J168" s="6">
        <f t="shared" ca="1" si="19"/>
        <v>4.0351527202623325</v>
      </c>
      <c r="K168" s="6">
        <f t="shared" si="12"/>
        <v>-2.3424623419612502</v>
      </c>
      <c r="M168" s="47">
        <v>186.874</v>
      </c>
      <c r="N168" s="47">
        <f t="shared" si="16"/>
        <v>3.8174162367992248</v>
      </c>
      <c r="O168" s="47">
        <v>2.44</v>
      </c>
      <c r="P168" s="47">
        <f t="shared" si="17"/>
        <v>0.21939700000000004</v>
      </c>
    </row>
    <row r="169" spans="4:16" x14ac:dyDescent="0.15">
      <c r="D169" s="44">
        <v>1989</v>
      </c>
      <c r="E169" s="21">
        <f t="shared" si="18"/>
        <v>204.39900000000003</v>
      </c>
      <c r="F169" s="47">
        <f t="shared" si="14"/>
        <v>4.2412122367992247</v>
      </c>
      <c r="G169" s="8">
        <f t="shared" si="11"/>
        <v>-2.3782349164194927</v>
      </c>
      <c r="H169" s="53"/>
      <c r="I169" s="6">
        <f t="shared" ca="1" si="15"/>
        <v>0.36496361330773652</v>
      </c>
      <c r="J169" s="6">
        <f t="shared" ca="1" si="19"/>
        <v>4.2349957336781827</v>
      </c>
      <c r="K169" s="6">
        <f t="shared" si="12"/>
        <v>-2.3239727190150958</v>
      </c>
      <c r="M169" s="47">
        <v>201.68900000000002</v>
      </c>
      <c r="N169" s="47">
        <f t="shared" si="16"/>
        <v>4.0191052367992253</v>
      </c>
      <c r="O169" s="47">
        <v>2.71</v>
      </c>
      <c r="P169" s="47">
        <f t="shared" si="17"/>
        <v>0.22210700000000003</v>
      </c>
    </row>
    <row r="170" spans="4:16" x14ac:dyDescent="0.15">
      <c r="D170" s="44">
        <v>1990</v>
      </c>
      <c r="E170" s="21">
        <f t="shared" si="18"/>
        <v>212.9975</v>
      </c>
      <c r="F170" s="47">
        <f t="shared" si="14"/>
        <v>4.4542097367992248</v>
      </c>
      <c r="G170" s="8">
        <f t="shared" si="11"/>
        <v>-2.3245673339474822</v>
      </c>
      <c r="H170" s="167"/>
      <c r="I170" s="6">
        <f t="shared" ca="1" si="15"/>
        <v>0.58605381033066806</v>
      </c>
      <c r="J170" s="6">
        <f t="shared" ca="1" si="19"/>
        <v>4.4437789378689079</v>
      </c>
      <c r="K170" s="6">
        <f t="shared" si="12"/>
        <v>-2.3055149559096919</v>
      </c>
      <c r="M170" s="47">
        <v>210.4075</v>
      </c>
      <c r="N170" s="47">
        <f t="shared" si="16"/>
        <v>4.2295127367992249</v>
      </c>
      <c r="O170" s="47">
        <v>2.59</v>
      </c>
      <c r="P170" s="47">
        <f t="shared" si="17"/>
        <v>0.22469700000000004</v>
      </c>
    </row>
    <row r="171" spans="4:16" x14ac:dyDescent="0.15">
      <c r="D171" s="44">
        <v>1991</v>
      </c>
      <c r="E171" s="21">
        <f t="shared" si="18"/>
        <v>221.09450000000004</v>
      </c>
      <c r="F171" s="47">
        <f t="shared" si="14"/>
        <v>4.6753042367992252</v>
      </c>
      <c r="G171" s="8">
        <f t="shared" si="11"/>
        <v>-2.2712551286491789</v>
      </c>
      <c r="H171" s="167"/>
      <c r="I171" s="6">
        <f t="shared" ca="1" si="15"/>
        <v>0.72621812446868717</v>
      </c>
      <c r="J171" s="6">
        <f t="shared" ca="1" si="19"/>
        <v>4.6618062600014962</v>
      </c>
      <c r="K171" s="6">
        <f t="shared" si="12"/>
        <v>-2.2871517214369432</v>
      </c>
      <c r="M171" s="47">
        <v>218.41450000000003</v>
      </c>
      <c r="N171" s="47">
        <f t="shared" si="16"/>
        <v>4.4479272367992246</v>
      </c>
      <c r="O171" s="47">
        <v>2.68</v>
      </c>
      <c r="P171" s="47">
        <f t="shared" si="17"/>
        <v>0.22737700000000002</v>
      </c>
    </row>
    <row r="172" spans="4:16" x14ac:dyDescent="0.15">
      <c r="D172" s="44">
        <v>1992</v>
      </c>
      <c r="E172" s="21">
        <f t="shared" si="18"/>
        <v>231.94549999999998</v>
      </c>
      <c r="F172" s="47">
        <f t="shared" si="14"/>
        <v>4.9072497367992254</v>
      </c>
      <c r="G172" s="8">
        <f t="shared" si="11"/>
        <v>-2.21770360099358</v>
      </c>
      <c r="H172" s="167">
        <v>340.73540271528708</v>
      </c>
      <c r="I172" s="6">
        <f t="shared" ca="1" si="15"/>
        <v>0.92088051696009643</v>
      </c>
      <c r="J172" s="6">
        <f t="shared" ca="1" si="19"/>
        <v>4.8893823292153025</v>
      </c>
      <c r="K172" s="6">
        <f t="shared" si="12"/>
        <v>-2.2686818235515225</v>
      </c>
      <c r="M172" s="47">
        <v>228.99549999999999</v>
      </c>
      <c r="N172" s="47">
        <f t="shared" si="16"/>
        <v>4.6769227367992245</v>
      </c>
      <c r="O172" s="47">
        <v>2.95</v>
      </c>
      <c r="P172" s="47">
        <f t="shared" si="17"/>
        <v>0.23032700000000003</v>
      </c>
    </row>
    <row r="173" spans="4:16" x14ac:dyDescent="0.15">
      <c r="D173" s="44">
        <v>1993</v>
      </c>
      <c r="E173" s="21">
        <f t="shared" si="18"/>
        <v>231.21</v>
      </c>
      <c r="F173" s="47">
        <f t="shared" si="14"/>
        <v>5.1384597367992253</v>
      </c>
      <c r="G173" s="8">
        <f t="shared" si="11"/>
        <v>-2.1665216879642779</v>
      </c>
      <c r="H173" s="167">
        <v>65.309256633123809</v>
      </c>
      <c r="I173" s="6">
        <f t="shared" ca="1" si="15"/>
        <v>0.57593831490612502</v>
      </c>
      <c r="J173" s="6">
        <f t="shared" ca="1" si="19"/>
        <v>5.1268113646742446</v>
      </c>
      <c r="K173" s="6">
        <f t="shared" si="12"/>
        <v>-2.2510099964562058</v>
      </c>
      <c r="M173" s="47">
        <v>228.11</v>
      </c>
      <c r="N173" s="47">
        <f t="shared" si="16"/>
        <v>4.9050327367992246</v>
      </c>
      <c r="O173" s="47">
        <v>3.1</v>
      </c>
      <c r="P173" s="47">
        <f t="shared" si="17"/>
        <v>0.23342700000000002</v>
      </c>
    </row>
    <row r="174" spans="4:16" x14ac:dyDescent="0.15">
      <c r="D174" s="44">
        <v>1994</v>
      </c>
      <c r="E174" s="21">
        <f t="shared" si="18"/>
        <v>236.5215</v>
      </c>
      <c r="F174" s="47">
        <f t="shared" si="14"/>
        <v>5.3749812367992256</v>
      </c>
      <c r="G174" s="8">
        <f t="shared" si="11"/>
        <v>-2.1162321533470632</v>
      </c>
      <c r="H174" s="166">
        <v>38.106901005450226</v>
      </c>
      <c r="I174" s="6">
        <f t="shared" ca="1" si="15"/>
        <v>2.7785225352090492E-2</v>
      </c>
      <c r="J174" s="6">
        <f t="shared" ca="1" si="19"/>
        <v>5.3743959533887251</v>
      </c>
      <c r="K174" s="6">
        <f t="shared" si="12"/>
        <v>-2.2336314496688847</v>
      </c>
      <c r="M174" s="47">
        <v>233.5215</v>
      </c>
      <c r="N174" s="47">
        <f t="shared" si="16"/>
        <v>5.1385542367992247</v>
      </c>
      <c r="O174" s="47">
        <v>3</v>
      </c>
      <c r="P174" s="47">
        <f t="shared" si="17"/>
        <v>0.23642700000000003</v>
      </c>
    </row>
    <row r="175" spans="4:16" x14ac:dyDescent="0.15">
      <c r="D175" s="44">
        <v>1995</v>
      </c>
      <c r="E175" s="21">
        <f t="shared" si="18"/>
        <v>248.8415</v>
      </c>
      <c r="F175" s="47">
        <f t="shared" si="14"/>
        <v>5.6238227367992257</v>
      </c>
      <c r="G175" s="8">
        <f t="shared" si="11"/>
        <v>-2.0653819941701053</v>
      </c>
      <c r="H175" s="166">
        <v>30.751982536877566</v>
      </c>
      <c r="I175" s="6">
        <f t="shared" ca="1" si="15"/>
        <v>-0.39270339720314951</v>
      </c>
      <c r="J175" s="6">
        <f t="shared" ca="1" si="19"/>
        <v>5.6324357149456414</v>
      </c>
      <c r="K175" s="6">
        <f t="shared" si="12"/>
        <v>-2.2160478270581465</v>
      </c>
      <c r="M175" s="47">
        <v>245.39150000000001</v>
      </c>
      <c r="N175" s="47">
        <f t="shared" si="16"/>
        <v>5.3839457367992249</v>
      </c>
      <c r="O175" s="47">
        <v>3.45</v>
      </c>
      <c r="P175" s="47">
        <f t="shared" si="17"/>
        <v>0.23987700000000003</v>
      </c>
    </row>
    <row r="176" spans="4:16" x14ac:dyDescent="0.15">
      <c r="D176" s="44">
        <v>1996</v>
      </c>
      <c r="E176" s="21">
        <f t="shared" si="18"/>
        <v>258.07400000000001</v>
      </c>
      <c r="F176" s="47">
        <f t="shared" si="14"/>
        <v>5.8818967367992254</v>
      </c>
      <c r="G176" s="8">
        <f t="shared" si="11"/>
        <v>-2.0146799619951175</v>
      </c>
      <c r="H176" s="166">
        <v>27.847027623326358</v>
      </c>
      <c r="I176" s="6">
        <f t="shared" ca="1" si="15"/>
        <v>-0.84692324759271287</v>
      </c>
      <c r="J176" s="6">
        <f t="shared" ca="1" si="19"/>
        <v>5.9012258511651998</v>
      </c>
      <c r="K176" s="6">
        <f t="shared" si="12"/>
        <v>-2.1985078716044542</v>
      </c>
      <c r="M176" s="47">
        <v>254.464</v>
      </c>
      <c r="N176" s="47">
        <f t="shared" si="16"/>
        <v>5.6384097367992254</v>
      </c>
      <c r="O176" s="47">
        <v>3.61</v>
      </c>
      <c r="P176" s="47">
        <f t="shared" si="17"/>
        <v>0.24348700000000004</v>
      </c>
    </row>
    <row r="177" spans="4:16" x14ac:dyDescent="0.15">
      <c r="D177" s="44">
        <v>1997</v>
      </c>
      <c r="E177" s="21">
        <f t="shared" si="18"/>
        <v>282.23750000000001</v>
      </c>
      <c r="F177" s="47">
        <f t="shared" si="14"/>
        <v>6.1641342367992253</v>
      </c>
      <c r="G177" s="8">
        <f t="shared" si="11"/>
        <v>-1.9613916812895626</v>
      </c>
      <c r="H177" s="166">
        <v>28.790609454682443</v>
      </c>
      <c r="I177" s="6">
        <f t="shared" ca="1" si="15"/>
        <v>-0.71220700084541022</v>
      </c>
      <c r="J177" s="6">
        <f t="shared" ca="1" si="19"/>
        <v>6.1810555797463884</v>
      </c>
      <c r="K177" s="6">
        <f t="shared" si="12"/>
        <v>-2.1800694870093489</v>
      </c>
      <c r="M177" s="47">
        <v>278.86750000000001</v>
      </c>
      <c r="N177" s="47">
        <f t="shared" si="16"/>
        <v>5.917277236799225</v>
      </c>
      <c r="O177" s="47">
        <v>3.37</v>
      </c>
      <c r="P177" s="47">
        <f t="shared" si="17"/>
        <v>0.24685700000000005</v>
      </c>
    </row>
    <row r="178" spans="4:16" x14ac:dyDescent="0.15">
      <c r="D178" s="44">
        <v>1998</v>
      </c>
      <c r="E178" s="21">
        <f t="shared" si="18"/>
        <v>291.2595</v>
      </c>
      <c r="F178" s="47">
        <f t="shared" si="14"/>
        <v>6.4553937367992251</v>
      </c>
      <c r="G178" s="8">
        <f t="shared" si="11"/>
        <v>-1.9085547714893256</v>
      </c>
      <c r="H178" s="166">
        <v>30.78334849155393</v>
      </c>
      <c r="I178" s="6">
        <f t="shared" ca="1" si="15"/>
        <v>-0.68027616555082204</v>
      </c>
      <c r="J178" s="6">
        <f t="shared" ca="1" si="19"/>
        <v>6.4722064521770548</v>
      </c>
      <c r="K178" s="6">
        <f t="shared" si="12"/>
        <v>-2.1617882369792292</v>
      </c>
      <c r="M178" s="47">
        <v>287.93950000000001</v>
      </c>
      <c r="N178" s="47">
        <f t="shared" si="16"/>
        <v>6.2052167367992253</v>
      </c>
      <c r="O178" s="47">
        <v>3.32</v>
      </c>
      <c r="P178" s="47">
        <f t="shared" si="17"/>
        <v>0.25017700000000004</v>
      </c>
    </row>
    <row r="179" spans="4:16" x14ac:dyDescent="0.15">
      <c r="D179" s="44">
        <v>1999</v>
      </c>
      <c r="E179" s="21">
        <f t="shared" si="18"/>
        <v>305.48500000000001</v>
      </c>
      <c r="F179" s="47">
        <f t="shared" si="14"/>
        <v>6.7608787367992251</v>
      </c>
      <c r="G179" s="8">
        <f t="shared" si="11"/>
        <v>-1.8552755188587626</v>
      </c>
      <c r="H179" s="166">
        <v>33.586621473077315</v>
      </c>
      <c r="I179" s="6">
        <f t="shared" ca="1" si="15"/>
        <v>-0.54761577661702177</v>
      </c>
      <c r="J179" s="6">
        <f t="shared" ca="1" si="19"/>
        <v>6.774950557575405</v>
      </c>
      <c r="K179" s="6">
        <f t="shared" si="12"/>
        <v>-2.143360003820181</v>
      </c>
      <c r="M179" s="47">
        <v>301.97500000000002</v>
      </c>
      <c r="N179" s="47">
        <f t="shared" si="16"/>
        <v>6.5071917367992249</v>
      </c>
      <c r="O179" s="47">
        <v>3.51</v>
      </c>
      <c r="P179" s="47">
        <f t="shared" si="17"/>
        <v>0.25368700000000005</v>
      </c>
    </row>
    <row r="180" spans="4:16" x14ac:dyDescent="0.15">
      <c r="D180" s="44">
        <v>2000</v>
      </c>
      <c r="E180" s="21">
        <f t="shared" si="18"/>
        <v>315.55849999999998</v>
      </c>
      <c r="F180" s="47">
        <f t="shared" si="14"/>
        <v>7.076437236799225</v>
      </c>
      <c r="G180" s="8">
        <f t="shared" si="11"/>
        <v>-1.8023307457729323</v>
      </c>
      <c r="H180" s="166">
        <v>36.467027897019932</v>
      </c>
      <c r="I180" s="6">
        <f t="shared" ca="1" si="15"/>
        <v>-0.49112249819609133</v>
      </c>
      <c r="J180" s="6">
        <f t="shared" ca="1" si="19"/>
        <v>7.0895486157004859</v>
      </c>
      <c r="K180" s="6">
        <f t="shared" si="12"/>
        <v>-2.1250588092424434</v>
      </c>
      <c r="M180" s="47">
        <v>311.96850000000001</v>
      </c>
      <c r="N180" s="47">
        <f t="shared" si="16"/>
        <v>6.8191602367992248</v>
      </c>
      <c r="O180" s="47">
        <v>3.59</v>
      </c>
      <c r="P180" s="47">
        <f t="shared" si="17"/>
        <v>0.25727700000000003</v>
      </c>
    </row>
    <row r="181" spans="4:16" x14ac:dyDescent="0.15">
      <c r="D181" s="44">
        <v>2001</v>
      </c>
      <c r="E181" s="21">
        <f t="shared" si="18"/>
        <v>338.52550000000002</v>
      </c>
      <c r="F181" s="47">
        <f t="shared" si="14"/>
        <v>7.4149627367992252</v>
      </c>
      <c r="G181" s="8">
        <f t="shared" si="11"/>
        <v>-1.7476808502647443</v>
      </c>
      <c r="H181" s="166">
        <v>40.66023861458747</v>
      </c>
      <c r="I181" s="6">
        <f t="shared" ca="1" si="15"/>
        <v>-4.6341654718162317E-2</v>
      </c>
      <c r="J181" s="6">
        <f t="shared" ca="1" si="19"/>
        <v>7.4162479641183561</v>
      </c>
      <c r="K181" s="6">
        <f t="shared" si="12"/>
        <v>-2.106185969295344</v>
      </c>
      <c r="M181" s="47">
        <v>334.6155</v>
      </c>
      <c r="N181" s="47">
        <f t="shared" si="16"/>
        <v>7.1537757367992247</v>
      </c>
      <c r="O181" s="47">
        <v>3.91</v>
      </c>
      <c r="P181" s="47">
        <f t="shared" si="17"/>
        <v>0.26118700000000006</v>
      </c>
    </row>
    <row r="182" spans="4:16" x14ac:dyDescent="0.15">
      <c r="D182" s="44">
        <v>2002</v>
      </c>
      <c r="E182" s="21">
        <f t="shared" si="18"/>
        <v>345.26199999999994</v>
      </c>
      <c r="F182" s="47">
        <f t="shared" si="14"/>
        <v>7.7602247367992252</v>
      </c>
      <c r="G182" s="8">
        <f t="shared" si="11"/>
        <v>-1.6940262373815662</v>
      </c>
      <c r="H182" s="166">
        <v>44.693325784120269</v>
      </c>
      <c r="I182" s="6">
        <f t="shared" ca="1" si="15"/>
        <v>0.17179512969141797</v>
      </c>
      <c r="J182" s="6">
        <f t="shared" ca="1" si="19"/>
        <v>7.7552804464335141</v>
      </c>
      <c r="K182" s="6">
        <f t="shared" si="12"/>
        <v>-2.0876804961845674</v>
      </c>
      <c r="M182" s="47">
        <v>340.80199999999996</v>
      </c>
      <c r="N182" s="47">
        <f t="shared" si="16"/>
        <v>7.4945777367992248</v>
      </c>
      <c r="O182" s="47">
        <v>4.46</v>
      </c>
      <c r="P182" s="47">
        <f t="shared" si="17"/>
        <v>0.26564700000000008</v>
      </c>
    </row>
    <row r="183" spans="4:16" x14ac:dyDescent="0.15">
      <c r="D183" s="44">
        <v>2003</v>
      </c>
      <c r="E183" s="21">
        <f t="shared" si="18"/>
        <v>355.565</v>
      </c>
      <c r="F183" s="47">
        <f t="shared" si="14"/>
        <v>8.1157897367992256</v>
      </c>
      <c r="G183" s="8">
        <f t="shared" si="11"/>
        <v>-1.6407698536921509</v>
      </c>
      <c r="H183" s="166">
        <v>47.994894911158447</v>
      </c>
      <c r="I183" s="6">
        <f t="shared" ca="1" si="15"/>
        <v>0.29924784241666202</v>
      </c>
      <c r="J183" s="6">
        <f t="shared" ca="1" si="19"/>
        <v>8.1068602105806455</v>
      </c>
      <c r="K183" s="6">
        <f t="shared" si="12"/>
        <v>-2.0693418101424834</v>
      </c>
      <c r="M183" s="47">
        <v>350.38499999999999</v>
      </c>
      <c r="N183" s="47">
        <f t="shared" si="16"/>
        <v>7.844962736799225</v>
      </c>
      <c r="O183" s="47">
        <v>5.18</v>
      </c>
      <c r="P183" s="47">
        <f t="shared" si="17"/>
        <v>0.2708270000000001</v>
      </c>
    </row>
    <row r="184" spans="4:16" x14ac:dyDescent="0.15">
      <c r="D184" s="44">
        <v>2004</v>
      </c>
      <c r="E184" s="21">
        <f t="shared" si="18"/>
        <v>369.43099999999998</v>
      </c>
      <c r="F184" s="47">
        <f t="shared" si="14"/>
        <v>8.4852207367992261</v>
      </c>
      <c r="G184" s="8">
        <f t="shared" si="11"/>
        <v>-1.5873931176728611</v>
      </c>
      <c r="H184" s="55">
        <v>50.66130465838485</v>
      </c>
      <c r="I184" s="6">
        <f t="shared" ca="1" si="15"/>
        <v>0.45410698209616385</v>
      </c>
      <c r="J184" s="6">
        <f t="shared" ca="1" si="19"/>
        <v>8.4711814284037317</v>
      </c>
      <c r="K184" s="6">
        <f t="shared" si="12"/>
        <v>-2.0509975808190561</v>
      </c>
      <c r="M184" s="47">
        <v>364.27099999999996</v>
      </c>
      <c r="N184" s="47">
        <f t="shared" si="16"/>
        <v>8.2092337367992254</v>
      </c>
      <c r="O184" s="47">
        <v>5.16</v>
      </c>
      <c r="P184" s="47">
        <f t="shared" si="17"/>
        <v>0.27598700000000009</v>
      </c>
    </row>
    <row r="185" spans="4:16" x14ac:dyDescent="0.15">
      <c r="D185" s="44">
        <v>2005</v>
      </c>
      <c r="E185" s="21">
        <f t="shared" si="18"/>
        <v>380.62166200000001</v>
      </c>
      <c r="F185" s="47">
        <f t="shared" si="14"/>
        <v>8.8658423987992254</v>
      </c>
      <c r="G185" s="8">
        <f t="shared" si="11"/>
        <v>-1.5342993832623837</v>
      </c>
      <c r="H185" s="55">
        <v>52.486071514247094</v>
      </c>
      <c r="I185" s="6">
        <f t="shared" ca="1" si="15"/>
        <v>0.54452147888514446</v>
      </c>
      <c r="J185" s="6">
        <f t="shared" ca="1" si="19"/>
        <v>8.8484159501051387</v>
      </c>
      <c r="K185" s="6">
        <f t="shared" si="12"/>
        <v>-2.0327929284818267</v>
      </c>
      <c r="M185" s="47">
        <v>375.35450000000003</v>
      </c>
      <c r="N185" s="47">
        <f t="shared" si="16"/>
        <v>8.5845882367992257</v>
      </c>
      <c r="O185" s="47">
        <v>5.2671619999999999</v>
      </c>
      <c r="P185" s="47">
        <f t="shared" si="17"/>
        <v>0.28125416200000009</v>
      </c>
    </row>
    <row r="186" spans="4:16" x14ac:dyDescent="0.15">
      <c r="D186" s="44">
        <v>2006</v>
      </c>
      <c r="E186" s="21">
        <f t="shared" si="18"/>
        <v>387.982911</v>
      </c>
      <c r="F186" s="47">
        <f t="shared" si="14"/>
        <v>9.2538253097992254</v>
      </c>
      <c r="G186" s="8">
        <f t="shared" ref="G186:G189" si="20" xml:space="preserve"> -LN(F$1/F186-1)</f>
        <v>-1.4819882553190411</v>
      </c>
      <c r="H186" s="55">
        <v>53.112091872379573</v>
      </c>
      <c r="I186" s="6">
        <f t="shared" ca="1" si="15"/>
        <v>0.45672216795082932</v>
      </c>
      <c r="J186" s="6">
        <f t="shared" ca="1" si="19"/>
        <v>9.2387109095964668</v>
      </c>
      <c r="K186" s="6">
        <f>NORMSINV(F186/F$5)</f>
        <v>-2.0149045924258213</v>
      </c>
      <c r="M186" s="47">
        <v>382.21499999999997</v>
      </c>
      <c r="N186" s="47">
        <f t="shared" si="16"/>
        <v>8.9668032367992261</v>
      </c>
      <c r="O186" s="47">
        <v>5.7679109999999998</v>
      </c>
      <c r="P186" s="47">
        <f t="shared" si="17"/>
        <v>0.2870220730000001</v>
      </c>
    </row>
    <row r="187" spans="4:16" x14ac:dyDescent="0.15">
      <c r="D187" s="44">
        <v>2007</v>
      </c>
      <c r="E187" s="21">
        <f t="shared" si="18"/>
        <v>397.52497799999998</v>
      </c>
      <c r="F187" s="47">
        <f>F186+E187/1000</f>
        <v>9.6513502877992252</v>
      </c>
      <c r="G187" s="8">
        <f t="shared" si="20"/>
        <v>-1.4301200859694418</v>
      </c>
      <c r="H187" s="55">
        <v>52.781686462520405</v>
      </c>
      <c r="I187" s="6">
        <f ca="1" xml:space="preserve"> (G187*(F$2-E$2)/LN(81) + AVERAGE(E$2:F$2) - D187)*12</f>
        <v>0.26805308278107987</v>
      </c>
      <c r="J187" s="6">
        <f t="shared" ca="1" si="19"/>
        <v>9.6421862992883547</v>
      </c>
      <c r="K187" s="6">
        <f>NORMSINV(F187/F$5)</f>
        <v>-1.9972214852106032</v>
      </c>
      <c r="M187" s="47">
        <v>392.68957</v>
      </c>
      <c r="N187" s="47">
        <f>N186+M187/1000</f>
        <v>9.359492806799226</v>
      </c>
      <c r="O187" s="47">
        <v>4.8354080000000002</v>
      </c>
      <c r="P187" s="47">
        <f>P186+O187/1000</f>
        <v>0.29185748100000009</v>
      </c>
    </row>
    <row r="188" spans="4:16" x14ac:dyDescent="0.15">
      <c r="D188" s="44">
        <v>2008</v>
      </c>
      <c r="E188" s="21">
        <f t="shared" si="18"/>
        <v>402.497747</v>
      </c>
      <c r="F188" s="47">
        <f>F187+E188/1000</f>
        <v>10.053848034799225</v>
      </c>
      <c r="G188" s="8">
        <f t="shared" si="20"/>
        <v>-1.3792334574465392</v>
      </c>
      <c r="H188" s="55">
        <v>51.544159397749951</v>
      </c>
      <c r="I188" s="6">
        <f ca="1" xml:space="preserve"> (G188*(F$2-E$2)/LN(81) + AVERAGE(E$2:F$2) - D188)*12</f>
        <v>-0.14413080261874711</v>
      </c>
      <c r="J188" s="6">
        <f t="shared" ca="1" si="19"/>
        <v>10.058932535373268</v>
      </c>
      <c r="K188" s="6">
        <f>NORMSINV(F188/F$5)</f>
        <v>-1.9799316622743834</v>
      </c>
      <c r="M188" s="47">
        <v>397.588326</v>
      </c>
      <c r="N188" s="47">
        <f>N187+M188/1000</f>
        <v>9.7570811327992253</v>
      </c>
      <c r="O188" s="47">
        <v>4.909421</v>
      </c>
      <c r="P188" s="47">
        <f>P187+O188/1000</f>
        <v>0.29676690200000011</v>
      </c>
    </row>
    <row r="189" spans="4:16" x14ac:dyDescent="0.15">
      <c r="D189" s="44">
        <v>2009</v>
      </c>
      <c r="E189" s="21">
        <f t="shared" si="18"/>
        <v>413.79292700000002</v>
      </c>
      <c r="F189" s="47">
        <f>F188+E189/1000</f>
        <v>10.467640961799225</v>
      </c>
      <c r="G189" s="8">
        <f t="shared" si="20"/>
        <v>-1.3284838331923154</v>
      </c>
      <c r="H189" s="244">
        <v>49.986283305111655</v>
      </c>
      <c r="I189" s="6">
        <f ca="1" xml:space="preserve"> (G189*(F$2-E$2)/LN(81) + AVERAGE(E$2:F$2) - D189)*12</f>
        <v>-0.58751306602789555</v>
      </c>
      <c r="J189" s="6">
        <f t="shared" ca="1" si="19"/>
        <v>10.489008037130974</v>
      </c>
      <c r="K189" s="6">
        <f>NORMSINV(F189/F$5)</f>
        <v>-1.9627529257981318</v>
      </c>
      <c r="M189" s="47">
        <v>409.22959300000002</v>
      </c>
      <c r="N189" s="47">
        <f>N188+M189/1000</f>
        <v>10.166310725799224</v>
      </c>
      <c r="O189" s="47">
        <v>4.5633340000000002</v>
      </c>
      <c r="P189" s="47">
        <f>P188+O189/1000</f>
        <v>0.30133023600000008</v>
      </c>
    </row>
    <row r="190" spans="4:16" x14ac:dyDescent="0.15">
      <c r="D190" s="44">
        <v>2010</v>
      </c>
      <c r="E190" s="21"/>
      <c r="F190" s="47"/>
      <c r="G190" s="8"/>
      <c r="H190" s="52"/>
      <c r="I190" s="6"/>
      <c r="J190" s="6">
        <f t="shared" ca="1" si="19"/>
        <v>10.932436846161329</v>
      </c>
      <c r="K190" s="6"/>
      <c r="M190" s="47"/>
      <c r="N190" s="47"/>
      <c r="O190" s="47"/>
      <c r="P190" s="47"/>
    </row>
    <row r="191" spans="4:16" x14ac:dyDescent="0.15">
      <c r="D191" s="44">
        <v>2011</v>
      </c>
      <c r="E191" s="21"/>
      <c r="F191" s="47"/>
      <c r="G191" s="8"/>
      <c r="H191" s="52"/>
      <c r="I191" s="6"/>
      <c r="J191" s="6">
        <f t="shared" ca="1" si="19"/>
        <v>11.389206313657111</v>
      </c>
      <c r="K191" s="6"/>
      <c r="M191" s="47"/>
      <c r="N191" s="47"/>
      <c r="O191" s="47"/>
      <c r="P191" s="47"/>
    </row>
    <row r="192" spans="4:16" x14ac:dyDescent="0.15">
      <c r="D192" s="44">
        <v>2012</v>
      </c>
      <c r="E192" s="21"/>
      <c r="F192" s="47"/>
      <c r="G192" s="8"/>
      <c r="H192" s="52"/>
      <c r="I192" s="6"/>
      <c r="J192" s="6">
        <f t="shared" ca="1" si="19"/>
        <v>11.859264885799135</v>
      </c>
      <c r="K192" s="6"/>
      <c r="M192" s="47"/>
      <c r="N192" s="47"/>
      <c r="O192" s="47"/>
      <c r="P192" s="47"/>
    </row>
    <row r="193" spans="4:16" x14ac:dyDescent="0.15">
      <c r="D193" s="44">
        <v>2013</v>
      </c>
      <c r="E193" s="21"/>
      <c r="F193" s="47"/>
      <c r="H193" s="50"/>
      <c r="I193" s="56"/>
      <c r="J193" s="6">
        <f t="shared" ca="1" si="19"/>
        <v>12.342520019011628</v>
      </c>
      <c r="K193" s="6"/>
      <c r="M193" s="47"/>
      <c r="N193" s="47"/>
      <c r="O193" s="47"/>
      <c r="P193" s="47"/>
    </row>
    <row r="194" spans="4:16" x14ac:dyDescent="0.15">
      <c r="D194" s="44">
        <v>2014</v>
      </c>
      <c r="E194" s="21"/>
      <c r="F194" s="47"/>
      <c r="H194" s="50"/>
      <c r="I194" s="56"/>
      <c r="J194" s="6">
        <f t="shared" ca="1" si="19"/>
        <v>12.838836258080145</v>
      </c>
      <c r="K194" s="6"/>
      <c r="M194" s="47"/>
      <c r="N194" s="47"/>
      <c r="O194" s="47"/>
      <c r="P194" s="47"/>
    </row>
    <row r="195" spans="4:16" x14ac:dyDescent="0.15">
      <c r="D195" s="44">
        <v>2015</v>
      </c>
      <c r="E195" s="21"/>
      <c r="F195" s="47"/>
      <c r="H195" s="50"/>
      <c r="I195" s="56"/>
      <c r="J195" s="6">
        <f t="shared" ca="1" si="19"/>
        <v>13.348033510929813</v>
      </c>
      <c r="K195" s="6"/>
      <c r="M195" s="47"/>
      <c r="N195" s="47"/>
      <c r="O195" s="47"/>
      <c r="P195" s="47"/>
    </row>
    <row r="196" spans="4:16" x14ac:dyDescent="0.15">
      <c r="D196" s="44">
        <v>2016</v>
      </c>
      <c r="E196" s="21"/>
      <c r="F196" s="47"/>
      <c r="H196" s="50"/>
      <c r="I196" s="56"/>
      <c r="J196" s="6">
        <f t="shared" ca="1" si="19"/>
        <v>13.869885554114266</v>
      </c>
      <c r="K196" s="6"/>
      <c r="M196" s="47"/>
      <c r="N196" s="47"/>
      <c r="O196" s="47"/>
      <c r="P196" s="47"/>
    </row>
    <row r="197" spans="4:16" x14ac:dyDescent="0.15">
      <c r="D197" s="44">
        <v>2017</v>
      </c>
      <c r="E197" s="21"/>
      <c r="F197" s="47"/>
      <c r="H197" s="50"/>
      <c r="I197" s="56"/>
      <c r="J197" s="6">
        <f t="shared" ca="1" si="19"/>
        <v>14.40411880270671</v>
      </c>
      <c r="K197" s="6"/>
      <c r="M197" s="47"/>
      <c r="N197" s="47"/>
      <c r="O197" s="47"/>
      <c r="P197" s="47"/>
    </row>
    <row r="198" spans="4:16" x14ac:dyDescent="0.15">
      <c r="D198" s="44">
        <v>2018</v>
      </c>
      <c r="E198" s="21"/>
      <c r="F198" s="47"/>
      <c r="H198" s="50"/>
      <c r="I198" s="56"/>
      <c r="J198" s="6">
        <f t="shared" ca="1" si="19"/>
        <v>14.950411377254753</v>
      </c>
      <c r="K198" s="6"/>
    </row>
    <row r="199" spans="4:16" x14ac:dyDescent="0.15">
      <c r="D199" s="44">
        <v>2019</v>
      </c>
      <c r="E199" s="21"/>
      <c r="F199" s="47"/>
      <c r="H199" s="50"/>
      <c r="I199" s="56"/>
      <c r="J199" s="6">
        <f t="shared" ca="1" si="19"/>
        <v>15.508392498713</v>
      </c>
      <c r="K199" s="6"/>
    </row>
    <row r="200" spans="4:16" x14ac:dyDescent="0.15">
      <c r="D200" s="44">
        <v>2020</v>
      </c>
      <c r="E200" s="21"/>
      <c r="F200" s="47"/>
      <c r="H200" s="50"/>
      <c r="I200" s="56"/>
      <c r="J200" s="6">
        <f t="shared" ca="1" si="19"/>
        <v>16.077642239770558</v>
      </c>
      <c r="K200" s="6"/>
    </row>
    <row r="201" spans="4:16" x14ac:dyDescent="0.15">
      <c r="D201" s="44">
        <v>2021</v>
      </c>
      <c r="E201" s="21"/>
      <c r="F201" s="47"/>
      <c r="H201" s="50"/>
      <c r="I201" s="56"/>
      <c r="J201" s="6">
        <f t="shared" ca="1" si="19"/>
        <v>16.657691657731714</v>
      </c>
      <c r="K201" s="6"/>
    </row>
    <row r="202" spans="4:16" x14ac:dyDescent="0.15">
      <c r="D202" s="44">
        <v>2022</v>
      </c>
      <c r="E202" s="21"/>
      <c r="F202" s="47"/>
      <c r="H202" s="50"/>
      <c r="I202" s="56"/>
      <c r="J202" s="6">
        <f t="shared" ca="1" si="19"/>
        <v>17.248023330095918</v>
      </c>
      <c r="K202" s="6"/>
    </row>
    <row r="203" spans="4:16" x14ac:dyDescent="0.15">
      <c r="D203" s="44">
        <v>2023</v>
      </c>
      <c r="E203" s="21"/>
      <c r="F203" s="47"/>
      <c r="H203" s="50"/>
      <c r="I203" s="56"/>
      <c r="J203" s="6">
        <f t="shared" ca="1" si="19"/>
        <v>17.848072309249396</v>
      </c>
      <c r="K203" s="6"/>
    </row>
    <row r="204" spans="4:16" x14ac:dyDescent="0.15">
      <c r="D204" s="44">
        <v>2024</v>
      </c>
      <c r="E204" s="21"/>
      <c r="F204" s="47"/>
      <c r="H204" s="50"/>
      <c r="I204" s="56"/>
      <c r="J204" s="6">
        <f t="shared" ca="1" si="19"/>
        <v>18.457227507282401</v>
      </c>
      <c r="K204" s="6"/>
    </row>
    <row r="205" spans="4:16" x14ac:dyDescent="0.15">
      <c r="D205" s="44">
        <v>2025</v>
      </c>
      <c r="E205" s="21"/>
      <c r="F205" s="47"/>
      <c r="H205" s="50"/>
      <c r="I205" s="56"/>
      <c r="J205" s="6">
        <f t="shared" ca="1" si="19"/>
        <v>19.074833515964748</v>
      </c>
      <c r="K205" s="6"/>
    </row>
    <row r="206" spans="4:16" x14ac:dyDescent="0.15">
      <c r="D206" s="44">
        <v>2026</v>
      </c>
      <c r="E206" s="21"/>
      <c r="F206" s="47"/>
      <c r="H206" s="50"/>
      <c r="I206" s="56"/>
      <c r="J206" s="6">
        <f t="shared" ca="1" si="19"/>
        <v>19.700192860454052</v>
      </c>
      <c r="K206" s="6"/>
    </row>
    <row r="207" spans="4:16" x14ac:dyDescent="0.15">
      <c r="D207" s="44">
        <v>2027</v>
      </c>
      <c r="E207" s="21"/>
      <c r="F207" s="47"/>
      <c r="H207" s="50"/>
      <c r="I207" s="56"/>
      <c r="J207" s="6">
        <f t="shared" ca="1" si="19"/>
        <v>20.332568678505446</v>
      </c>
      <c r="K207" s="6"/>
    </row>
    <row r="208" spans="4:16" x14ac:dyDescent="0.15">
      <c r="D208" s="44">
        <v>2028</v>
      </c>
      <c r="E208" s="21"/>
      <c r="F208" s="47"/>
      <c r="H208" s="50"/>
      <c r="I208" s="56"/>
      <c r="J208" s="6">
        <f t="shared" ca="1" si="19"/>
        <v>20.971187809947196</v>
      </c>
      <c r="K208" s="6"/>
    </row>
    <row r="209" spans="4:11" x14ac:dyDescent="0.15">
      <c r="D209" s="44">
        <v>2029</v>
      </c>
      <c r="E209" s="21"/>
      <c r="F209" s="47"/>
      <c r="H209" s="50"/>
      <c r="I209" s="56"/>
      <c r="J209" s="6">
        <f t="shared" ca="1" si="19"/>
        <v>21.615244274148015</v>
      </c>
      <c r="K209" s="6"/>
    </row>
    <row r="210" spans="4:11" x14ac:dyDescent="0.15">
      <c r="D210" s="44">
        <v>2030</v>
      </c>
      <c r="E210" s="21"/>
      <c r="F210" s="47"/>
      <c r="H210" s="50"/>
      <c r="I210" s="56"/>
      <c r="J210" s="6">
        <f t="shared" ca="1" si="19"/>
        <v>22.263903106305385</v>
      </c>
      <c r="K210" s="6"/>
    </row>
    <row r="211" spans="4:11" x14ac:dyDescent="0.15">
      <c r="D211" s="44">
        <v>2031</v>
      </c>
      <c r="E211" s="21"/>
      <c r="F211" s="47"/>
      <c r="H211" s="50"/>
      <c r="I211" s="56"/>
      <c r="J211" s="6">
        <f t="shared" ca="1" si="19"/>
        <v>22.916304516809461</v>
      </c>
      <c r="K211" s="6"/>
    </row>
    <row r="212" spans="4:11" x14ac:dyDescent="0.15">
      <c r="D212" s="44">
        <v>2032</v>
      </c>
      <c r="E212" s="21"/>
      <c r="F212" s="47"/>
      <c r="H212" s="50"/>
      <c r="I212" s="56"/>
      <c r="J212" s="6">
        <f t="shared" ca="1" si="19"/>
        <v>23.571568331864476</v>
      </c>
      <c r="K212" s="6"/>
    </row>
    <row r="213" spans="4:11" x14ac:dyDescent="0.15">
      <c r="D213" s="44">
        <v>2033</v>
      </c>
      <c r="E213" s="21"/>
      <c r="F213" s="47"/>
      <c r="H213" s="50"/>
      <c r="I213" s="56"/>
      <c r="J213" s="6">
        <f t="shared" ca="1" si="19"/>
        <v>24.228798668149182</v>
      </c>
      <c r="K213" s="6"/>
    </row>
    <row r="214" spans="4:11" x14ac:dyDescent="0.15">
      <c r="D214" s="44">
        <v>2034</v>
      </c>
      <c r="E214" s="21"/>
      <c r="F214" s="47"/>
      <c r="H214" s="50"/>
      <c r="I214" s="56"/>
      <c r="J214" s="6">
        <f t="shared" ca="1" si="19"/>
        <v>24.88708878972626</v>
      </c>
      <c r="K214" s="6"/>
    </row>
    <row r="215" spans="4:11" x14ac:dyDescent="0.15">
      <c r="D215" s="44">
        <v>2035</v>
      </c>
      <c r="E215" s="21"/>
      <c r="F215" s="47"/>
      <c r="H215" s="50"/>
      <c r="I215" s="56"/>
      <c r="J215" s="6">
        <f t="shared" ca="1" si="19"/>
        <v>25.545526091803836</v>
      </c>
      <c r="K215" s="6"/>
    </row>
    <row r="216" spans="4:11" x14ac:dyDescent="0.15">
      <c r="D216" s="44">
        <v>2036</v>
      </c>
      <c r="E216" s="21"/>
      <c r="F216" s="47"/>
      <c r="H216" s="50"/>
      <c r="I216" s="56"/>
      <c r="J216" s="6">
        <f t="shared" ca="1" si="19"/>
        <v>26.203197153416692</v>
      </c>
      <c r="K216" s="6"/>
    </row>
    <row r="217" spans="4:11" x14ac:dyDescent="0.15">
      <c r="D217" s="44">
        <v>2037</v>
      </c>
      <c r="E217" s="16"/>
      <c r="F217" s="47"/>
      <c r="H217" s="50"/>
      <c r="I217" s="56"/>
      <c r="J217" s="6">
        <f t="shared" ca="1" si="19"/>
        <v>26.859192799709955</v>
      </c>
      <c r="K217" s="6"/>
    </row>
    <row r="218" spans="4:11" x14ac:dyDescent="0.15">
      <c r="D218" s="44">
        <v>2038</v>
      </c>
      <c r="E218" s="16"/>
      <c r="F218" s="47"/>
      <c r="H218" s="50"/>
      <c r="I218" s="56"/>
      <c r="J218" s="6">
        <f t="shared" ca="1" si="19"/>
        <v>27.512613114314199</v>
      </c>
      <c r="K218" s="6"/>
    </row>
    <row r="219" spans="4:11" x14ac:dyDescent="0.15">
      <c r="D219" s="44">
        <v>2039</v>
      </c>
      <c r="E219" s="16"/>
      <c r="F219" s="47"/>
      <c r="H219" s="50"/>
      <c r="I219" s="56"/>
      <c r="J219" s="6">
        <f t="shared" ca="1" si="19"/>
        <v>28.162572343305456</v>
      </c>
      <c r="K219" s="6"/>
    </row>
    <row r="220" spans="4:11" x14ac:dyDescent="0.15">
      <c r="D220" s="44">
        <v>2040</v>
      </c>
      <c r="E220" s="16"/>
      <c r="F220" s="47"/>
      <c r="H220" s="50"/>
      <c r="I220" s="56"/>
      <c r="J220" s="6">
        <f t="shared" ca="1" si="19"/>
        <v>28.808203634414976</v>
      </c>
      <c r="K220" s="6"/>
    </row>
    <row r="221" spans="4:11" x14ac:dyDescent="0.15">
      <c r="D221" s="44">
        <v>2041</v>
      </c>
      <c r="E221" s="16"/>
      <c r="F221" s="47"/>
      <c r="H221" s="50"/>
      <c r="I221" s="56"/>
      <c r="J221" s="6">
        <f t="shared" ca="1" si="19"/>
        <v>29.448663558425956</v>
      </c>
      <c r="K221" s="6"/>
    </row>
    <row r="222" spans="4:11" x14ac:dyDescent="0.15">
      <c r="D222" s="44">
        <v>2042</v>
      </c>
      <c r="E222" s="16"/>
      <c r="F222" s="47"/>
      <c r="H222" s="50"/>
      <c r="I222" s="56"/>
      <c r="J222" s="6">
        <f t="shared" ca="1" si="19"/>
        <v>30.08313636396888</v>
      </c>
      <c r="K222" s="6"/>
    </row>
    <row r="223" spans="4:11" x14ac:dyDescent="0.15">
      <c r="D223" s="44">
        <v>2043</v>
      </c>
      <c r="E223" s="16"/>
      <c r="F223" s="47"/>
      <c r="H223" s="50"/>
      <c r="I223" s="56"/>
      <c r="J223" s="6">
        <f t="shared" ca="1" si="19"/>
        <v>30.710837922076507</v>
      </c>
      <c r="K223" s="6"/>
    </row>
    <row r="224" spans="4:11" x14ac:dyDescent="0.15">
      <c r="D224" s="44">
        <v>2044</v>
      </c>
      <c r="E224" s="16"/>
      <c r="F224" s="47"/>
      <c r="H224" s="50"/>
      <c r="I224" s="56"/>
      <c r="J224" s="6">
        <f t="shared" ca="1" si="19"/>
        <v>31.331019322734047</v>
      </c>
      <c r="K224" s="6"/>
    </row>
    <row r="225" spans="4:11" x14ac:dyDescent="0.15">
      <c r="D225" s="44">
        <v>2045</v>
      </c>
      <c r="E225" s="16"/>
      <c r="F225" s="47"/>
      <c r="H225" s="50"/>
      <c r="I225" s="56"/>
      <c r="J225" s="6">
        <f t="shared" ca="1" si="19"/>
        <v>31.94297009209215</v>
      </c>
      <c r="K225" s="6"/>
    </row>
    <row r="226" spans="4:11" x14ac:dyDescent="0.15">
      <c r="D226" s="44">
        <v>2046</v>
      </c>
      <c r="E226" s="16"/>
      <c r="F226" s="47"/>
      <c r="H226" s="50"/>
      <c r="I226" s="56"/>
      <c r="J226" s="6">
        <f t="shared" ca="1" si="19"/>
        <v>32.546021005823214</v>
      </c>
      <c r="K226" s="6"/>
    </row>
    <row r="227" spans="4:11" x14ac:dyDescent="0.15">
      <c r="D227" s="44">
        <v>2047</v>
      </c>
      <c r="E227" s="16"/>
      <c r="F227" s="47"/>
      <c r="H227" s="50"/>
      <c r="I227" s="56"/>
      <c r="J227" s="6">
        <f t="shared" ca="1" si="19"/>
        <v>33.139546481113584</v>
      </c>
      <c r="K227" s="6"/>
    </row>
    <row r="228" spans="4:11" x14ac:dyDescent="0.15">
      <c r="D228" s="44">
        <v>2048</v>
      </c>
      <c r="E228" s="16"/>
      <c r="F228" s="47"/>
      <c r="H228" s="50"/>
      <c r="I228" s="56"/>
      <c r="J228" s="6">
        <f t="shared" ca="1" si="19"/>
        <v>33.722966536818632</v>
      </c>
      <c r="K228" s="6"/>
    </row>
    <row r="229" spans="4:11" x14ac:dyDescent="0.15">
      <c r="D229" s="44">
        <v>2049</v>
      </c>
      <c r="E229" s="16"/>
      <c r="F229" s="47"/>
      <c r="H229" s="50"/>
      <c r="I229" s="56"/>
      <c r="J229" s="6">
        <f t="shared" ref="J229:J292" ca="1" si="21">F$1/(1+EXP((AVERAGE(E$2:F$2)-D229)*LN(81)/(F$2-E$2)))</f>
        <v>34.295748318194015</v>
      </c>
      <c r="K229" s="6"/>
    </row>
    <row r="230" spans="4:11" x14ac:dyDescent="0.15">
      <c r="D230" s="44">
        <v>2050</v>
      </c>
      <c r="E230" s="16"/>
      <c r="F230" s="47"/>
      <c r="H230" s="50"/>
      <c r="I230" s="56"/>
      <c r="J230" s="6">
        <f t="shared" ca="1" si="21"/>
        <v>34.857407189202142</v>
      </c>
      <c r="K230" s="6"/>
    </row>
    <row r="231" spans="4:11" x14ac:dyDescent="0.15">
      <c r="D231" s="44">
        <v>2051</v>
      </c>
      <c r="E231" s="16"/>
      <c r="F231" s="47"/>
      <c r="H231" s="50"/>
      <c r="I231" s="56"/>
      <c r="J231" s="6">
        <f t="shared" ca="1" si="21"/>
        <v>35.407507401540038</v>
      </c>
      <c r="K231" s="6"/>
    </row>
    <row r="232" spans="4:11" x14ac:dyDescent="0.15">
      <c r="D232" s="44">
        <v>2052</v>
      </c>
      <c r="E232" s="16"/>
      <c r="F232" s="47"/>
      <c r="H232" s="50"/>
      <c r="I232" s="56"/>
      <c r="J232" s="6">
        <f t="shared" ca="1" si="21"/>
        <v>35.945662355131518</v>
      </c>
      <c r="K232" s="6"/>
    </row>
    <row r="233" spans="4:11" x14ac:dyDescent="0.15">
      <c r="D233" s="44">
        <v>2053</v>
      </c>
      <c r="E233" s="16"/>
      <c r="F233" s="47"/>
      <c r="H233" s="50"/>
      <c r="I233" s="56"/>
      <c r="J233" s="6">
        <f t="shared" ca="1" si="21"/>
        <v>36.471534469781588</v>
      </c>
      <c r="K233" s="6"/>
    </row>
    <row r="234" spans="4:11" x14ac:dyDescent="0.15">
      <c r="D234" s="44">
        <v>2054</v>
      </c>
      <c r="E234" s="16"/>
      <c r="F234" s="47"/>
      <c r="H234" s="50"/>
      <c r="I234" s="56"/>
      <c r="J234" s="6">
        <f t="shared" ca="1" si="21"/>
        <v>36.984834691940144</v>
      </c>
      <c r="K234" s="6"/>
    </row>
    <row r="235" spans="4:11" x14ac:dyDescent="0.15">
      <c r="D235" s="44">
        <v>2055</v>
      </c>
      <c r="E235" s="16"/>
      <c r="F235" s="47"/>
      <c r="H235" s="50"/>
      <c r="I235" s="56"/>
      <c r="J235" s="6">
        <f t="shared" ca="1" si="21"/>
        <v>37.485321664025875</v>
      </c>
      <c r="K235" s="6"/>
    </row>
    <row r="236" spans="4:11" x14ac:dyDescent="0.15">
      <c r="D236" s="44">
        <v>2056</v>
      </c>
      <c r="E236" s="16"/>
      <c r="F236" s="47"/>
      <c r="H236" s="50"/>
      <c r="I236" s="56"/>
      <c r="J236" s="6">
        <f t="shared" ca="1" si="21"/>
        <v>37.97280058650275</v>
      </c>
      <c r="K236" s="6"/>
    </row>
    <row r="237" spans="4:11" x14ac:dyDescent="0.15">
      <c r="D237" s="44">
        <v>2057</v>
      </c>
      <c r="E237" s="16"/>
      <c r="F237" s="47"/>
      <c r="H237" s="50"/>
      <c r="I237" s="56"/>
      <c r="J237" s="6">
        <f t="shared" ca="1" si="21"/>
        <v>38.447121804888233</v>
      </c>
      <c r="K237" s="6"/>
    </row>
    <row r="238" spans="4:11" x14ac:dyDescent="0.15">
      <c r="D238" s="44">
        <v>2058</v>
      </c>
      <c r="E238" s="16"/>
      <c r="F238" s="47"/>
      <c r="H238" s="50"/>
      <c r="I238" s="56"/>
      <c r="J238" s="6">
        <f t="shared" ca="1" si="21"/>
        <v>38.9081791551286</v>
      </c>
      <c r="K238" s="6"/>
    </row>
    <row r="239" spans="4:11" x14ac:dyDescent="0.15">
      <c r="D239" s="44">
        <v>2059</v>
      </c>
      <c r="E239" s="16"/>
      <c r="F239" s="47"/>
      <c r="H239" s="50"/>
      <c r="I239" s="56"/>
      <c r="J239" s="6">
        <f t="shared" ca="1" si="21"/>
        <v>39.355908101346103</v>
      </c>
      <c r="K239" s="6"/>
    </row>
    <row r="240" spans="4:11" x14ac:dyDescent="0.15">
      <c r="D240" s="44">
        <v>2060</v>
      </c>
      <c r="E240" s="16"/>
      <c r="F240" s="47"/>
      <c r="H240" s="50"/>
      <c r="I240" s="56"/>
      <c r="J240" s="6">
        <f t="shared" ca="1" si="21"/>
        <v>39.790283699899689</v>
      </c>
      <c r="K240" s="6"/>
    </row>
    <row r="241" spans="4:11" x14ac:dyDescent="0.15">
      <c r="D241" s="44">
        <v>2061</v>
      </c>
      <c r="E241" s="16"/>
      <c r="F241" s="47"/>
      <c r="H241" s="50"/>
      <c r="I241" s="56"/>
      <c r="J241" s="6">
        <f t="shared" ca="1" si="21"/>
        <v>40.21131842307274</v>
      </c>
      <c r="K241" s="6"/>
    </row>
    <row r="242" spans="4:11" x14ac:dyDescent="0.15">
      <c r="D242" s="44">
        <v>2062</v>
      </c>
      <c r="E242" s="16"/>
      <c r="F242" s="47"/>
      <c r="H242" s="50"/>
      <c r="I242" s="56"/>
      <c r="J242" s="6">
        <f t="shared" ca="1" si="21"/>
        <v>40.619059874579392</v>
      </c>
      <c r="K242" s="6"/>
    </row>
    <row r="243" spans="4:11" x14ac:dyDescent="0.15">
      <c r="D243" s="44">
        <v>2063</v>
      </c>
      <c r="E243" s="16"/>
      <c r="F243" s="47"/>
      <c r="H243" s="50"/>
      <c r="I243" s="56"/>
      <c r="J243" s="6">
        <f t="shared" ca="1" si="21"/>
        <v>41.013588427543134</v>
      </c>
      <c r="K243" s="6"/>
    </row>
    <row r="244" spans="4:11" x14ac:dyDescent="0.15">
      <c r="D244" s="44">
        <v>2064</v>
      </c>
      <c r="E244" s="16"/>
      <c r="F244" s="47"/>
      <c r="H244" s="50"/>
      <c r="I244" s="56"/>
      <c r="J244" s="6">
        <f t="shared" ca="1" si="21"/>
        <v>41.395014813724103</v>
      </c>
      <c r="K244" s="6"/>
    </row>
    <row r="245" spans="4:11" x14ac:dyDescent="0.15">
      <c r="D245" s="44">
        <v>2065</v>
      </c>
      <c r="E245" s="16"/>
      <c r="F245" s="47"/>
      <c r="H245" s="50"/>
      <c r="I245" s="56"/>
      <c r="J245" s="6">
        <f t="shared" ca="1" si="21"/>
        <v>41.763477690632854</v>
      </c>
      <c r="K245" s="6"/>
    </row>
    <row r="246" spans="4:11" x14ac:dyDescent="0.15">
      <c r="D246" s="44">
        <v>2066</v>
      </c>
      <c r="E246" s="16"/>
      <c r="F246" s="47"/>
      <c r="H246" s="50"/>
      <c r="I246" s="56"/>
      <c r="J246" s="6">
        <f t="shared" ca="1" si="21"/>
        <v>42.119141210838883</v>
      </c>
      <c r="K246" s="6"/>
    </row>
    <row r="247" spans="4:11" x14ac:dyDescent="0.15">
      <c r="D247" s="44">
        <v>2067</v>
      </c>
      <c r="E247" s="16"/>
      <c r="F247" s="47"/>
      <c r="H247" s="50"/>
      <c r="I247" s="56"/>
      <c r="J247" s="6">
        <f t="shared" ca="1" si="21"/>
        <v>42.462192615332924</v>
      </c>
      <c r="K247" s="6"/>
    </row>
    <row r="248" spans="4:11" x14ac:dyDescent="0.15">
      <c r="D248" s="44">
        <v>2068</v>
      </c>
      <c r="E248" s="16"/>
      <c r="F248" s="47"/>
      <c r="H248" s="50"/>
      <c r="I248" s="56"/>
      <c r="J248" s="6">
        <f t="shared" ca="1" si="21"/>
        <v>42.792839870291829</v>
      </c>
      <c r="K248" s="6"/>
    </row>
    <row r="249" spans="4:11" x14ac:dyDescent="0.15">
      <c r="D249" s="44">
        <v>2069</v>
      </c>
      <c r="E249" s="16"/>
      <c r="F249" s="47"/>
      <c r="H249" s="50"/>
      <c r="I249" s="56"/>
      <c r="J249" s="6">
        <f t="shared" ca="1" si="21"/>
        <v>43.111309364080547</v>
      </c>
      <c r="K249" s="6"/>
    </row>
    <row r="250" spans="4:11" x14ac:dyDescent="0.15">
      <c r="D250" s="44">
        <v>2070</v>
      </c>
      <c r="E250" s="16"/>
      <c r="F250" s="47"/>
      <c r="H250" s="50"/>
      <c r="I250" s="56"/>
      <c r="J250" s="6">
        <f t="shared" ca="1" si="21"/>
        <v>43.417843678854418</v>
      </c>
      <c r="K250" s="6"/>
    </row>
    <row r="251" spans="4:11" x14ac:dyDescent="0.15">
      <c r="D251" s="44">
        <v>2071</v>
      </c>
      <c r="E251" s="16"/>
      <c r="F251" s="47"/>
      <c r="H251" s="50"/>
      <c r="I251" s="56"/>
      <c r="J251" s="6">
        <f t="shared" ca="1" si="21"/>
        <v>43.712699448734959</v>
      </c>
      <c r="K251" s="6"/>
    </row>
    <row r="252" spans="4:11" x14ac:dyDescent="0.15">
      <c r="D252" s="44">
        <v>2072</v>
      </c>
      <c r="E252" s="16"/>
      <c r="F252" s="47"/>
      <c r="H252" s="50"/>
      <c r="I252" s="56"/>
      <c r="J252" s="6">
        <f t="shared" ca="1" si="21"/>
        <v>43.996145314258392</v>
      </c>
      <c r="K252" s="6"/>
    </row>
    <row r="253" spans="4:11" x14ac:dyDescent="0.15">
      <c r="D253" s="44">
        <v>2073</v>
      </c>
      <c r="E253" s="16"/>
      <c r="F253" s="47"/>
      <c r="H253" s="50"/>
      <c r="I253" s="56"/>
      <c r="J253" s="6">
        <f t="shared" ca="1" si="21"/>
        <v>44.26845998066095</v>
      </c>
      <c r="K253" s="6"/>
    </row>
    <row r="254" spans="4:11" x14ac:dyDescent="0.15">
      <c r="D254" s="44">
        <v>2074</v>
      </c>
      <c r="E254" s="16"/>
      <c r="F254" s="47"/>
      <c r="H254" s="50"/>
      <c r="I254" s="56"/>
      <c r="J254" s="6">
        <f t="shared" ca="1" si="21"/>
        <v>44.529930385588429</v>
      </c>
      <c r="K254" s="6"/>
    </row>
    <row r="255" spans="4:11" x14ac:dyDescent="0.15">
      <c r="D255" s="44">
        <v>2075</v>
      </c>
      <c r="E255" s="16"/>
      <c r="F255" s="47"/>
      <c r="H255" s="50"/>
      <c r="I255" s="56"/>
      <c r="J255" s="6">
        <f t="shared" ca="1" si="21"/>
        <v>44.780849980011745</v>
      </c>
      <c r="K255" s="6"/>
    </row>
    <row r="256" spans="4:11" x14ac:dyDescent="0.15">
      <c r="D256" s="44">
        <v>2076</v>
      </c>
      <c r="E256" s="16"/>
      <c r="F256" s="47"/>
      <c r="H256" s="50"/>
      <c r="I256" s="56"/>
      <c r="J256" s="6">
        <f t="shared" ca="1" si="21"/>
        <v>45.021517124501479</v>
      </c>
      <c r="K256" s="6"/>
    </row>
    <row r="257" spans="4:11" x14ac:dyDescent="0.15">
      <c r="D257" s="44">
        <v>2077</v>
      </c>
      <c r="E257" s="16"/>
      <c r="F257" s="47"/>
      <c r="H257" s="50"/>
      <c r="I257" s="56"/>
      <c r="J257" s="6">
        <f t="shared" ca="1" si="21"/>
        <v>45.25223360156572</v>
      </c>
      <c r="K257" s="6"/>
    </row>
    <row r="258" spans="4:11" x14ac:dyDescent="0.15">
      <c r="D258" s="44">
        <v>2078</v>
      </c>
      <c r="E258" s="16"/>
      <c r="F258" s="47"/>
      <c r="H258" s="50"/>
      <c r="I258" s="56"/>
      <c r="J258" s="6">
        <f t="shared" ca="1" si="21"/>
        <v>45.473303243485439</v>
      </c>
      <c r="K258" s="6"/>
    </row>
    <row r="259" spans="4:11" x14ac:dyDescent="0.15">
      <c r="D259" s="44">
        <v>2079</v>
      </c>
      <c r="E259" s="16"/>
      <c r="F259" s="47"/>
      <c r="H259" s="50"/>
      <c r="I259" s="56"/>
      <c r="J259" s="6">
        <f t="shared" ca="1" si="21"/>
        <v>45.685030673983505</v>
      </c>
      <c r="K259" s="6"/>
    </row>
    <row r="260" spans="4:11" x14ac:dyDescent="0.15">
      <c r="D260" s="44">
        <v>2080</v>
      </c>
      <c r="E260" s="16"/>
      <c r="F260" s="47"/>
      <c r="H260" s="50"/>
      <c r="I260" s="56"/>
      <c r="J260" s="6">
        <f t="shared" ca="1" si="21"/>
        <v>45.887720161132371</v>
      </c>
      <c r="K260" s="6"/>
    </row>
    <row r="261" spans="4:11" x14ac:dyDescent="0.15">
      <c r="D261" s="44">
        <v>2081</v>
      </c>
      <c r="E261" s="16"/>
      <c r="F261" s="47"/>
      <c r="H261" s="50"/>
      <c r="I261" s="56"/>
      <c r="J261" s="6">
        <f t="shared" ca="1" si="21"/>
        <v>46.081674578129324</v>
      </c>
      <c r="K261" s="6"/>
    </row>
    <row r="262" spans="4:11" x14ac:dyDescent="0.15">
      <c r="D262" s="44">
        <v>2082</v>
      </c>
      <c r="E262" s="16"/>
      <c r="F262" s="47"/>
      <c r="H262" s="50"/>
      <c r="I262" s="56"/>
      <c r="J262" s="6">
        <f t="shared" ca="1" si="21"/>
        <v>46.267194467937927</v>
      </c>
      <c r="K262" s="6"/>
    </row>
    <row r="263" spans="4:11" x14ac:dyDescent="0.15">
      <c r="D263" s="44">
        <v>2083</v>
      </c>
      <c r="E263" s="16"/>
      <c r="F263" s="47"/>
      <c r="H263" s="50"/>
      <c r="I263" s="56"/>
      <c r="J263" s="6">
        <f t="shared" ca="1" si="21"/>
        <v>46.444577207296945</v>
      </c>
      <c r="K263" s="6"/>
    </row>
    <row r="264" spans="4:11" x14ac:dyDescent="0.15">
      <c r="D264" s="44">
        <v>2084</v>
      </c>
      <c r="E264" s="16"/>
      <c r="F264" s="47"/>
      <c r="H264" s="50"/>
      <c r="I264" s="56"/>
      <c r="J264" s="6">
        <f t="shared" ca="1" si="21"/>
        <v>46.614116265221796</v>
      </c>
      <c r="K264" s="6"/>
    </row>
    <row r="265" spans="4:11" x14ac:dyDescent="0.15">
      <c r="D265" s="44">
        <v>2085</v>
      </c>
      <c r="E265" s="16"/>
      <c r="F265" s="47"/>
      <c r="H265" s="50"/>
      <c r="I265" s="56"/>
      <c r="J265" s="6">
        <f t="shared" ca="1" si="21"/>
        <v>46.77610055085551</v>
      </c>
      <c r="K265" s="6"/>
    </row>
    <row r="266" spans="4:11" x14ac:dyDescent="0.15">
      <c r="D266" s="44">
        <v>2086</v>
      </c>
      <c r="E266" s="16"/>
      <c r="F266" s="47"/>
      <c r="H266" s="50"/>
      <c r="I266" s="56"/>
      <c r="J266" s="6">
        <f t="shared" ca="1" si="21"/>
        <v>46.930813845354457</v>
      </c>
      <c r="K266" s="6"/>
    </row>
    <row r="267" spans="4:11" x14ac:dyDescent="0.15">
      <c r="D267" s="44">
        <v>2087</v>
      </c>
      <c r="E267" s="16"/>
      <c r="F267" s="47"/>
      <c r="H267" s="50"/>
      <c r="I267" s="56"/>
      <c r="J267" s="6">
        <f t="shared" ca="1" si="21"/>
        <v>47.078534312405587</v>
      </c>
      <c r="K267" s="6"/>
    </row>
    <row r="268" spans="4:11" x14ac:dyDescent="0.15">
      <c r="D268" s="44">
        <v>2088</v>
      </c>
      <c r="E268" s="16"/>
      <c r="F268" s="47"/>
      <c r="H268" s="50"/>
      <c r="I268" s="56"/>
      <c r="J268" s="6">
        <f t="shared" ca="1" si="21"/>
        <v>47.219534081956823</v>
      </c>
      <c r="K268" s="6"/>
    </row>
    <row r="269" spans="4:11" x14ac:dyDescent="0.15">
      <c r="D269" s="44">
        <v>2089</v>
      </c>
      <c r="E269" s="16"/>
      <c r="H269" s="50"/>
      <c r="I269" s="56"/>
      <c r="J269" s="6">
        <f t="shared" ca="1" si="21"/>
        <v>47.354078901788135</v>
      </c>
      <c r="K269" s="6"/>
    </row>
    <row r="270" spans="4:11" x14ac:dyDescent="0.15">
      <c r="D270" s="44">
        <v>2090</v>
      </c>
      <c r="E270" s="16"/>
      <c r="H270" s="50"/>
      <c r="I270" s="56"/>
      <c r="J270" s="6">
        <f t="shared" ca="1" si="21"/>
        <v>47.48242785164841</v>
      </c>
      <c r="K270" s="6"/>
    </row>
    <row r="271" spans="4:11" x14ac:dyDescent="0.15">
      <c r="D271" s="44">
        <v>2091</v>
      </c>
      <c r="E271" s="16"/>
      <c r="H271" s="50"/>
      <c r="I271" s="56"/>
      <c r="J271" s="6">
        <f t="shared" ca="1" si="21"/>
        <v>47.604833114823649</v>
      </c>
      <c r="K271" s="6"/>
    </row>
    <row r="272" spans="4:11" x14ac:dyDescent="0.15">
      <c r="D272" s="44">
        <v>2092</v>
      </c>
      <c r="E272" s="16"/>
      <c r="H272" s="50"/>
      <c r="I272" s="56"/>
      <c r="J272" s="6">
        <f t="shared" ca="1" si="21"/>
        <v>47.721539802176224</v>
      </c>
      <c r="K272" s="6"/>
    </row>
    <row r="273" spans="4:11" x14ac:dyDescent="0.15">
      <c r="D273" s="44">
        <v>2093</v>
      </c>
      <c r="E273" s="16"/>
      <c r="H273" s="50"/>
      <c r="I273" s="56"/>
      <c r="J273" s="6">
        <f t="shared" ca="1" si="21"/>
        <v>47.832785823896032</v>
      </c>
      <c r="K273" s="6"/>
    </row>
    <row r="274" spans="4:11" x14ac:dyDescent="0.15">
      <c r="D274" s="44">
        <v>2094</v>
      </c>
      <c r="E274" s="16"/>
      <c r="H274" s="50"/>
      <c r="I274" s="56"/>
      <c r="J274" s="6">
        <f t="shared" ca="1" si="21"/>
        <v>47.938801804424934</v>
      </c>
      <c r="K274" s="6"/>
    </row>
    <row r="275" spans="4:11" x14ac:dyDescent="0.15">
      <c r="D275" s="44">
        <v>2095</v>
      </c>
      <c r="E275" s="16"/>
      <c r="H275" s="50"/>
      <c r="I275" s="56"/>
      <c r="J275" s="6">
        <f t="shared" ca="1" si="21"/>
        <v>48.039811036251912</v>
      </c>
      <c r="K275" s="6"/>
    </row>
    <row r="276" spans="4:11" x14ac:dyDescent="0.15">
      <c r="D276" s="44">
        <v>2096</v>
      </c>
      <c r="E276" s="16"/>
      <c r="I276" s="56"/>
      <c r="J276" s="6">
        <f t="shared" ca="1" si="21"/>
        <v>48.136029468519666</v>
      </c>
      <c r="K276" s="6"/>
    </row>
    <row r="277" spans="4:11" x14ac:dyDescent="0.15">
      <c r="D277" s="44">
        <v>2097</v>
      </c>
      <c r="E277" s="16"/>
      <c r="I277" s="56"/>
      <c r="J277" s="6">
        <f t="shared" ca="1" si="21"/>
        <v>48.227665726633418</v>
      </c>
      <c r="K277" s="6"/>
    </row>
    <row r="278" spans="4:11" x14ac:dyDescent="0.15">
      <c r="D278" s="44">
        <v>2098</v>
      </c>
      <c r="E278" s="16"/>
      <c r="I278" s="56"/>
      <c r="J278" s="6">
        <f t="shared" ca="1" si="21"/>
        <v>48.31492115931222</v>
      </c>
      <c r="K278" s="6"/>
    </row>
    <row r="279" spans="4:11" x14ac:dyDescent="0.15">
      <c r="D279" s="44">
        <v>2099</v>
      </c>
      <c r="E279" s="16"/>
      <c r="I279" s="56"/>
      <c r="J279" s="6">
        <f t="shared" ca="1" si="21"/>
        <v>48.397989909772093</v>
      </c>
      <c r="K279" s="6"/>
    </row>
    <row r="280" spans="4:11" x14ac:dyDescent="0.15">
      <c r="D280" s="44">
        <v>2100</v>
      </c>
      <c r="E280" s="16"/>
      <c r="I280" s="56"/>
      <c r="J280" s="6">
        <f t="shared" ca="1" si="21"/>
        <v>48.477059007973196</v>
      </c>
      <c r="K280" s="6"/>
    </row>
    <row r="281" spans="4:11" x14ac:dyDescent="0.15">
      <c r="D281" s="44">
        <v>2101</v>
      </c>
      <c r="E281" s="16"/>
      <c r="I281" s="56"/>
      <c r="J281" s="6">
        <f t="shared" ca="1" si="21"/>
        <v>48.552308481101569</v>
      </c>
      <c r="K281" s="6"/>
    </row>
    <row r="282" spans="4:11" x14ac:dyDescent="0.15">
      <c r="D282" s="44">
        <v>2102</v>
      </c>
      <c r="E282" s="16"/>
      <c r="I282" s="56"/>
      <c r="J282" s="6">
        <f t="shared" ca="1" si="21"/>
        <v>48.623911479684175</v>
      </c>
      <c r="K282" s="6"/>
    </row>
    <row r="283" spans="4:11" x14ac:dyDescent="0.15">
      <c r="D283" s="44">
        <v>2103</v>
      </c>
      <c r="E283" s="16"/>
      <c r="I283" s="56"/>
      <c r="J283" s="6">
        <f t="shared" ca="1" si="21"/>
        <v>48.692034416956254</v>
      </c>
      <c r="K283" s="6"/>
    </row>
    <row r="284" spans="4:11" x14ac:dyDescent="0.15">
      <c r="D284" s="44">
        <v>2104</v>
      </c>
      <c r="E284" s="16"/>
      <c r="I284" s="56"/>
      <c r="J284" s="6">
        <f t="shared" ca="1" si="21"/>
        <v>48.756837119309424</v>
      </c>
      <c r="K284" s="6"/>
    </row>
    <row r="285" spans="4:11" x14ac:dyDescent="0.15">
      <c r="D285" s="44">
        <v>2105</v>
      </c>
      <c r="E285" s="16"/>
      <c r="I285" s="56"/>
      <c r="J285" s="6">
        <f t="shared" ca="1" si="21"/>
        <v>48.818472985847215</v>
      </c>
      <c r="K285" s="6"/>
    </row>
    <row r="286" spans="4:11" x14ac:dyDescent="0.15">
      <c r="D286" s="44">
        <v>2106</v>
      </c>
      <c r="E286" s="16"/>
      <c r="I286" s="56"/>
      <c r="J286" s="6">
        <f t="shared" ca="1" si="21"/>
        <v>48.877089155262404</v>
      </c>
      <c r="K286" s="6"/>
    </row>
    <row r="287" spans="4:11" x14ac:dyDescent="0.15">
      <c r="D287" s="44">
        <v>2107</v>
      </c>
      <c r="E287" s="16"/>
      <c r="I287" s="56"/>
      <c r="J287" s="6">
        <f t="shared" ca="1" si="21"/>
        <v>48.932826678426032</v>
      </c>
      <c r="K287" s="6"/>
    </row>
    <row r="288" spans="4:11" x14ac:dyDescent="0.15">
      <c r="D288" s="44">
        <v>2108</v>
      </c>
      <c r="E288" s="16"/>
      <c r="I288" s="56"/>
      <c r="J288" s="6">
        <f t="shared" ca="1" si="21"/>
        <v>48.985820695242445</v>
      </c>
      <c r="K288" s="6"/>
    </row>
    <row r="289" spans="4:11" x14ac:dyDescent="0.15">
      <c r="D289" s="44">
        <v>2109</v>
      </c>
      <c r="E289" s="16"/>
      <c r="I289" s="56"/>
      <c r="J289" s="6">
        <f t="shared" ca="1" si="21"/>
        <v>49.036200614477785</v>
      </c>
      <c r="K289" s="6"/>
    </row>
    <row r="290" spans="4:11" x14ac:dyDescent="0.15">
      <c r="D290" s="44">
        <v>2110</v>
      </c>
      <c r="E290" s="16"/>
      <c r="I290" s="56"/>
      <c r="J290" s="6">
        <f t="shared" ca="1" si="21"/>
        <v>49.08409029541118</v>
      </c>
      <c r="K290" s="6"/>
    </row>
    <row r="291" spans="4:11" x14ac:dyDescent="0.15">
      <c r="D291" s="44">
        <v>2111</v>
      </c>
      <c r="E291" s="16"/>
      <c r="I291" s="56"/>
      <c r="J291" s="6">
        <f t="shared" ca="1" si="21"/>
        <v>49.129608230289037</v>
      </c>
      <c r="K291" s="6"/>
    </row>
    <row r="292" spans="4:11" x14ac:dyDescent="0.15">
      <c r="D292" s="44">
        <v>2112</v>
      </c>
      <c r="E292" s="16"/>
      <c r="I292" s="56"/>
      <c r="J292" s="6">
        <f t="shared" ca="1" si="21"/>
        <v>49.172867726683762</v>
      </c>
      <c r="K292" s="6"/>
    </row>
    <row r="293" spans="4:11" x14ac:dyDescent="0.15">
      <c r="D293" s="44">
        <v>2113</v>
      </c>
      <c r="E293" s="16"/>
      <c r="I293" s="56"/>
      <c r="J293" s="6">
        <f t="shared" ref="J293:J330" ca="1" si="22">F$1/(1+EXP((AVERAGE(E$2:F$2)-D293)*LN(81)/(F$2-E$2)))</f>
        <v>49.213977088969166</v>
      </c>
      <c r="K293" s="6"/>
    </row>
    <row r="294" spans="4:11" x14ac:dyDescent="0.15">
      <c r="D294" s="44">
        <v>2114</v>
      </c>
      <c r="E294" s="16"/>
      <c r="I294" s="56"/>
      <c r="J294" s="6">
        <f t="shared" ca="1" si="22"/>
        <v>49.253039798226098</v>
      </c>
      <c r="K294" s="6"/>
    </row>
    <row r="295" spans="4:11" x14ac:dyDescent="0.15">
      <c r="D295" s="44">
        <v>2115</v>
      </c>
      <c r="E295" s="16"/>
      <c r="I295" s="56"/>
      <c r="J295" s="6">
        <f t="shared" ca="1" si="22"/>
        <v>49.290154689984597</v>
      </c>
      <c r="K295" s="6"/>
    </row>
    <row r="296" spans="4:11" x14ac:dyDescent="0.15">
      <c r="D296" s="44">
        <v>2116</v>
      </c>
      <c r="E296" s="16"/>
      <c r="I296" s="56"/>
      <c r="J296" s="6">
        <f t="shared" ca="1" si="22"/>
        <v>49.325416129293146</v>
      </c>
      <c r="K296" s="6"/>
    </row>
    <row r="297" spans="4:11" x14ac:dyDescent="0.15">
      <c r="D297" s="44">
        <v>2117</v>
      </c>
      <c r="E297" s="16"/>
      <c r="I297" s="56"/>
      <c r="J297" s="6">
        <f t="shared" ca="1" si="22"/>
        <v>49.358914182681687</v>
      </c>
      <c r="K297" s="6"/>
    </row>
    <row r="298" spans="4:11" x14ac:dyDescent="0.15">
      <c r="D298" s="44">
        <v>2118</v>
      </c>
      <c r="E298" s="16"/>
      <c r="I298" s="56"/>
      <c r="J298" s="6">
        <f t="shared" ca="1" si="22"/>
        <v>49.390734786654214</v>
      </c>
      <c r="K298" s="6"/>
    </row>
    <row r="299" spans="4:11" x14ac:dyDescent="0.15">
      <c r="D299" s="44">
        <v>2119</v>
      </c>
      <c r="E299" s="16"/>
      <c r="I299" s="56"/>
      <c r="J299" s="6">
        <f t="shared" ca="1" si="22"/>
        <v>49.420959912408911</v>
      </c>
      <c r="K299" s="6"/>
    </row>
    <row r="300" spans="4:11" x14ac:dyDescent="0.15">
      <c r="D300" s="44">
        <v>2120</v>
      </c>
      <c r="E300" s="16"/>
      <c r="I300" s="56"/>
      <c r="J300" s="6">
        <f t="shared" ca="1" si="22"/>
        <v>49.449667726539694</v>
      </c>
      <c r="K300" s="6"/>
    </row>
    <row r="301" spans="4:11" x14ac:dyDescent="0.15">
      <c r="D301" s="44">
        <v>2121</v>
      </c>
      <c r="E301" s="16"/>
      <c r="I301" s="56"/>
      <c r="J301" s="6">
        <f t="shared" ca="1" si="22"/>
        <v>49.476932747522703</v>
      </c>
      <c r="K301" s="6"/>
    </row>
    <row r="302" spans="4:11" x14ac:dyDescent="0.15">
      <c r="D302" s="44">
        <v>2122</v>
      </c>
      <c r="E302" s="16"/>
      <c r="I302" s="56"/>
      <c r="J302" s="6">
        <f t="shared" ca="1" si="22"/>
        <v>49.502825997836432</v>
      </c>
      <c r="K302" s="6"/>
    </row>
    <row r="303" spans="4:11" x14ac:dyDescent="0.15">
      <c r="D303" s="44">
        <v>2123</v>
      </c>
      <c r="E303" s="16"/>
      <c r="I303" s="56"/>
      <c r="J303" s="6">
        <f t="shared" ca="1" si="22"/>
        <v>49.52741515160308</v>
      </c>
      <c r="K303" s="6"/>
    </row>
    <row r="304" spans="4:11" x14ac:dyDescent="0.15">
      <c r="D304" s="44">
        <v>2124</v>
      </c>
      <c r="E304" s="16"/>
      <c r="I304" s="56"/>
      <c r="J304" s="6">
        <f t="shared" ca="1" si="22"/>
        <v>49.550764677674536</v>
      </c>
      <c r="K304" s="6"/>
    </row>
    <row r="305" spans="4:11" x14ac:dyDescent="0.15">
      <c r="D305" s="44">
        <v>2125</v>
      </c>
      <c r="E305" s="16"/>
      <c r="I305" s="56"/>
      <c r="J305" s="6">
        <f t="shared" ca="1" si="22"/>
        <v>49.572935978116895</v>
      </c>
      <c r="K305" s="6"/>
    </row>
    <row r="306" spans="4:11" x14ac:dyDescent="0.15">
      <c r="D306" s="44">
        <v>2126</v>
      </c>
      <c r="E306" s="16"/>
      <c r="I306" s="56"/>
      <c r="J306" s="6">
        <f t="shared" ca="1" si="22"/>
        <v>49.593987522074698</v>
      </c>
      <c r="K306" s="6"/>
    </row>
    <row r="307" spans="4:11" x14ac:dyDescent="0.15">
      <c r="D307" s="44">
        <v>2127</v>
      </c>
      <c r="E307" s="16"/>
      <c r="I307" s="56"/>
      <c r="J307" s="6">
        <f t="shared" ca="1" si="22"/>
        <v>49.613974975019808</v>
      </c>
      <c r="K307" s="6"/>
    </row>
    <row r="308" spans="4:11" x14ac:dyDescent="0.15">
      <c r="D308" s="44">
        <v>2128</v>
      </c>
      <c r="E308" s="16"/>
      <c r="I308" s="56"/>
      <c r="J308" s="6">
        <f t="shared" ca="1" si="22"/>
        <v>49.632951323410644</v>
      </c>
      <c r="K308" s="6"/>
    </row>
    <row r="309" spans="4:11" x14ac:dyDescent="0.15">
      <c r="D309" s="44">
        <v>2129</v>
      </c>
      <c r="E309" s="16"/>
      <c r="I309" s="56"/>
      <c r="J309" s="6">
        <f t="shared" ca="1" si="22"/>
        <v>49.650966994804897</v>
      </c>
      <c r="K309" s="6"/>
    </row>
    <row r="310" spans="4:11" x14ac:dyDescent="0.15">
      <c r="D310" s="44">
        <v>2130</v>
      </c>
      <c r="E310" s="16"/>
      <c r="I310" s="56"/>
      <c r="J310" s="6">
        <f t="shared" ca="1" si="22"/>
        <v>49.668069973484521</v>
      </c>
      <c r="K310" s="6"/>
    </row>
    <row r="311" spans="4:11" x14ac:dyDescent="0.15">
      <c r="D311" s="44">
        <v>2131</v>
      </c>
      <c r="E311" s="16"/>
      <c r="J311" s="6">
        <f t="shared" ca="1" si="22"/>
        <v>49.684305911664545</v>
      </c>
      <c r="K311" s="6"/>
    </row>
    <row r="312" spans="4:11" x14ac:dyDescent="0.15">
      <c r="D312" s="44">
        <v>2132</v>
      </c>
      <c r="E312" s="16"/>
      <c r="J312" s="6">
        <f t="shared" ca="1" si="22"/>
        <v>49.699718236368184</v>
      </c>
      <c r="K312" s="6"/>
    </row>
    <row r="313" spans="4:11" x14ac:dyDescent="0.15">
      <c r="D313" s="44">
        <v>2133</v>
      </c>
      <c r="E313" s="16"/>
      <c r="J313" s="6">
        <f t="shared" ca="1" si="22"/>
        <v>49.714348252059935</v>
      </c>
      <c r="K313" s="6"/>
    </row>
    <row r="314" spans="4:11" x14ac:dyDescent="0.15">
      <c r="D314" s="44">
        <v>2134</v>
      </c>
      <c r="E314" s="16"/>
      <c r="J314" s="6">
        <f t="shared" ca="1" si="22"/>
        <v>49.728235239135515</v>
      </c>
      <c r="K314" s="6"/>
    </row>
    <row r="315" spans="4:11" x14ac:dyDescent="0.15">
      <c r="D315" s="44">
        <v>2135</v>
      </c>
      <c r="E315" s="16"/>
      <c r="J315" s="6">
        <f t="shared" ca="1" si="22"/>
        <v>49.741416548373863</v>
      </c>
      <c r="K315" s="6"/>
    </row>
    <row r="316" spans="4:11" x14ac:dyDescent="0.15">
      <c r="D316" s="44">
        <v>2136</v>
      </c>
      <c r="E316" s="16"/>
      <c r="J316" s="6">
        <f t="shared" ca="1" si="22"/>
        <v>49.75392769146076</v>
      </c>
      <c r="K316" s="6"/>
    </row>
    <row r="317" spans="4:11" x14ac:dyDescent="0.15">
      <c r="D317" s="44">
        <v>2137</v>
      </c>
      <c r="E317" s="16"/>
      <c r="J317" s="6">
        <f t="shared" ca="1" si="22"/>
        <v>49.765802427697245</v>
      </c>
      <c r="K317" s="6"/>
    </row>
    <row r="318" spans="4:11" x14ac:dyDescent="0.15">
      <c r="D318" s="44">
        <v>2138</v>
      </c>
      <c r="E318" s="16"/>
      <c r="J318" s="6">
        <f t="shared" ca="1" si="22"/>
        <v>49.777072847008725</v>
      </c>
      <c r="K318" s="6"/>
    </row>
    <row r="319" spans="4:11" x14ac:dyDescent="0.15">
      <c r="D319" s="44">
        <v>2139</v>
      </c>
      <c r="E319" s="16"/>
      <c r="J319" s="6">
        <f t="shared" ca="1" si="22"/>
        <v>49.78776944937195</v>
      </c>
      <c r="K319" s="6"/>
    </row>
    <row r="320" spans="4:11" x14ac:dyDescent="0.15">
      <c r="D320" s="44">
        <v>2140</v>
      </c>
      <c r="E320" s="16"/>
      <c r="J320" s="6">
        <f t="shared" ca="1" si="22"/>
        <v>49.797921220778299</v>
      </c>
      <c r="K320" s="6"/>
    </row>
    <row r="321" spans="4:11" x14ac:dyDescent="0.15">
      <c r="D321" s="44">
        <v>2141</v>
      </c>
      <c r="E321" s="16"/>
      <c r="J321" s="6">
        <f t="shared" ca="1" si="22"/>
        <v>49.807555705851428</v>
      </c>
      <c r="K321" s="6"/>
    </row>
    <row r="322" spans="4:11" x14ac:dyDescent="0.15">
      <c r="D322" s="44">
        <v>2142</v>
      </c>
      <c r="E322" s="16"/>
      <c r="J322" s="6">
        <f t="shared" ca="1" si="22"/>
        <v>49.816699077237715</v>
      </c>
      <c r="K322" s="6"/>
    </row>
    <row r="323" spans="4:11" x14ac:dyDescent="0.15">
      <c r="D323" s="44">
        <v>2143</v>
      </c>
      <c r="E323" s="16"/>
      <c r="J323" s="6">
        <f t="shared" ca="1" si="22"/>
        <v>49.82537620188608</v>
      </c>
      <c r="K323" s="6"/>
    </row>
    <row r="324" spans="4:11" x14ac:dyDescent="0.15">
      <c r="D324" s="44">
        <v>2144</v>
      </c>
      <c r="E324" s="16"/>
      <c r="J324" s="6">
        <f t="shared" ca="1" si="22"/>
        <v>49.833610704333275</v>
      </c>
      <c r="K324" s="6"/>
    </row>
    <row r="325" spans="4:11" x14ac:dyDescent="0.15">
      <c r="D325" s="44">
        <v>2145</v>
      </c>
      <c r="E325" s="16"/>
      <c r="J325" s="6">
        <f t="shared" ca="1" si="22"/>
        <v>49.841425027108414</v>
      </c>
      <c r="K325" s="6"/>
    </row>
    <row r="326" spans="4:11" x14ac:dyDescent="0.15">
      <c r="D326" s="44">
        <v>2146</v>
      </c>
      <c r="E326" s="16"/>
      <c r="J326" s="6">
        <f t="shared" ca="1" si="22"/>
        <v>49.848840488368793</v>
      </c>
      <c r="K326" s="6"/>
    </row>
    <row r="327" spans="4:11" x14ac:dyDescent="0.15">
      <c r="D327" s="44">
        <v>2147</v>
      </c>
      <c r="E327" s="16"/>
      <c r="J327" s="6">
        <f t="shared" ca="1" si="22"/>
        <v>49.855877336876667</v>
      </c>
      <c r="K327" s="6"/>
    </row>
    <row r="328" spans="4:11" x14ac:dyDescent="0.15">
      <c r="D328" s="44">
        <v>2148</v>
      </c>
      <c r="E328" s="16"/>
      <c r="J328" s="6">
        <f t="shared" ca="1" si="22"/>
        <v>49.862554804424093</v>
      </c>
      <c r="K328" s="6"/>
    </row>
    <row r="329" spans="4:11" x14ac:dyDescent="0.15">
      <c r="D329" s="44">
        <v>2149</v>
      </c>
      <c r="E329" s="16"/>
      <c r="J329" s="6">
        <f t="shared" ca="1" si="22"/>
        <v>49.868891155810559</v>
      </c>
      <c r="K329" s="6"/>
    </row>
    <row r="330" spans="4:11" x14ac:dyDescent="0.15">
      <c r="D330" s="44">
        <v>2150</v>
      </c>
      <c r="E330" s="16"/>
      <c r="J330" s="6">
        <f t="shared" ca="1" si="22"/>
        <v>49.874903736474863</v>
      </c>
      <c r="K330" s="6"/>
    </row>
    <row r="331" spans="4:11" x14ac:dyDescent="0.15">
      <c r="D331" s="44"/>
      <c r="E331" s="16"/>
      <c r="J331" s="6"/>
      <c r="K331" s="6"/>
    </row>
    <row r="332" spans="4:11" x14ac:dyDescent="0.15">
      <c r="D332" s="44"/>
      <c r="E332" s="16"/>
      <c r="J332" s="6"/>
      <c r="K332" s="6"/>
    </row>
    <row r="333" spans="4:11" x14ac:dyDescent="0.15">
      <c r="D333" s="44"/>
      <c r="E333" s="16"/>
      <c r="J333" s="6"/>
      <c r="K333" s="6"/>
    </row>
    <row r="334" spans="4:11" x14ac:dyDescent="0.15">
      <c r="D334" s="44"/>
      <c r="E334" s="16"/>
      <c r="J334" s="6"/>
      <c r="K334" s="6"/>
    </row>
  </sheetData>
  <pageMargins left="0.7" right="0.7" top="0.75" bottom="0.75" header="0.3" footer="0.3"/>
  <pageSetup scale="55"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rgb="FF008000"/>
  </sheetPr>
  <dimension ref="A1:AN363"/>
  <sheetViews>
    <sheetView topLeftCell="A66" zoomScaleNormal="100" workbookViewId="0">
      <selection activeCell="C121" sqref="C121"/>
    </sheetView>
  </sheetViews>
  <sheetFormatPr baseColWidth="10" defaultColWidth="9.1640625" defaultRowHeight="11" x14ac:dyDescent="0.15"/>
  <cols>
    <col min="1" max="1" width="6.6640625" style="15" customWidth="1"/>
    <col min="2" max="2" width="90.6640625" style="15" customWidth="1"/>
    <col min="3" max="3" width="7.5" style="15" customWidth="1"/>
    <col min="4" max="4" width="4.5" style="16" bestFit="1" customWidth="1"/>
    <col min="5" max="5" width="6.5" style="15" bestFit="1" customWidth="1"/>
    <col min="6" max="6" width="6.1640625" style="15" bestFit="1" customWidth="1"/>
    <col min="7" max="7" width="12.6640625" style="15" bestFit="1" customWidth="1"/>
    <col min="8" max="8" width="8.6640625" style="15" bestFit="1" customWidth="1"/>
    <col min="9" max="9" width="5.33203125" style="15" bestFit="1" customWidth="1"/>
    <col min="10" max="10" width="4.83203125" style="15" bestFit="1" customWidth="1"/>
    <col min="11" max="11" width="5.1640625" style="15" bestFit="1" customWidth="1"/>
    <col min="12" max="12" width="7" style="15" customWidth="1"/>
    <col min="13" max="13" width="6" style="15" bestFit="1" customWidth="1"/>
    <col min="14" max="14" width="12" style="15" bestFit="1" customWidth="1"/>
    <col min="15" max="15" width="8.1640625" style="15" bestFit="1" customWidth="1"/>
    <col min="16" max="16" width="11.1640625" style="15" bestFit="1" customWidth="1"/>
    <col min="17" max="17" width="4.83203125" style="15" bestFit="1" customWidth="1"/>
    <col min="18" max="18" width="7" style="15" customWidth="1"/>
    <col min="19" max="19" width="6" style="15" bestFit="1" customWidth="1"/>
    <col min="20" max="20" width="4.5" style="15" bestFit="1" customWidth="1"/>
    <col min="21" max="21" width="42.83203125" style="15" bestFit="1" customWidth="1"/>
    <col min="22" max="22" width="4.83203125" style="15" bestFit="1" customWidth="1"/>
    <col min="23" max="23" width="5.5" style="15" bestFit="1" customWidth="1"/>
    <col min="24" max="24" width="8.6640625" style="15" bestFit="1" customWidth="1"/>
    <col min="25" max="25" width="8.5" style="15" bestFit="1" customWidth="1"/>
    <col min="26" max="26" width="8.1640625" style="15" bestFit="1" customWidth="1"/>
    <col min="27" max="27" width="9.1640625" style="15"/>
    <col min="28" max="28" width="6.83203125" style="15" bestFit="1" customWidth="1"/>
    <col min="29" max="30" width="6.33203125" style="15" bestFit="1" customWidth="1"/>
    <col min="31" max="16384" width="9.1640625" style="15"/>
  </cols>
  <sheetData>
    <row r="1" spans="1:40" x14ac:dyDescent="0.15">
      <c r="A1" s="75"/>
      <c r="B1" s="32"/>
      <c r="C1" s="23"/>
      <c r="E1" s="32">
        <f ca="1">RSQ(OFFSET(G11,E3-D11,0):G200,OFFSET(D11,E3-D11,0):D200)</f>
        <v>0.99950883388506451</v>
      </c>
      <c r="F1" s="185">
        <v>138.97314479598055</v>
      </c>
      <c r="G1" s="186" t="s">
        <v>72</v>
      </c>
      <c r="H1" s="184"/>
    </row>
    <row r="2" spans="1:40" x14ac:dyDescent="0.15">
      <c r="A2" s="75"/>
      <c r="B2" s="75"/>
      <c r="C2" s="75"/>
      <c r="D2" s="195"/>
      <c r="E2" s="35">
        <f ca="1">(-INTERCEPT(OFFSET(G14,E3-D14,0):OFFSET(G14,E4-D14,0),OFFSET(D14,E3-D14,0):OFFSET(D14,E4-D14,0)) - LN(9))/SLOPE(OFFSET(G14,E3-D14,0):OFFSET(G14,E4-D14,0),OFFSET(D14,E3-D14,0):OFFSET(D14,E4-D14,0))</f>
        <v>1985.1181390218183</v>
      </c>
      <c r="F2" s="114">
        <f ca="1">(-INTERCEPT(OFFSET(G14,E3-D14,0):OFFSET(G14,E4-D14,0),OFFSET(D14,E3-D14,0):OFFSET(D14,E4-D14,0)) + LN(9))/SLOPE(OFFSET(G14,E3-D14,0):OFFSET(G14,E4-D14,0),OFFSET(D14,E3-D14,0):OFFSET(D14,E4-D14,0))</f>
        <v>2051.0737137879614</v>
      </c>
      <c r="G2" s="274" t="s">
        <v>249</v>
      </c>
      <c r="H2" s="35"/>
    </row>
    <row r="3" spans="1:40" x14ac:dyDescent="0.15">
      <c r="A3" s="75"/>
      <c r="B3" s="75"/>
      <c r="C3" s="75"/>
      <c r="D3" s="195"/>
      <c r="E3" s="35">
        <v>1960</v>
      </c>
      <c r="F3" s="8">
        <f ca="1">(E3-AVERAGE(E$2:F$2))/(F$2-E$2)*LN(81)</f>
        <v>-3.8707811369257032</v>
      </c>
      <c r="G3" s="275" t="s">
        <v>247</v>
      </c>
      <c r="H3" s="35"/>
    </row>
    <row r="4" spans="1:40" x14ac:dyDescent="0.15">
      <c r="A4" s="75"/>
      <c r="B4" s="75"/>
      <c r="C4" s="75"/>
      <c r="D4" s="21"/>
      <c r="E4" s="35">
        <f ca="1">OFFSET(D11,COUNT(E12:E270),0)</f>
        <v>2009</v>
      </c>
      <c r="F4" s="8">
        <f ca="1">(E4-AVERAGE(E$2:F$2))/(F$2-E$2)*LN(81)</f>
        <v>-0.60603802245157434</v>
      </c>
      <c r="G4" s="24"/>
      <c r="L4" s="35"/>
      <c r="M4" s="35"/>
      <c r="N4" s="35"/>
      <c r="O4" s="35"/>
      <c r="P4" s="35"/>
      <c r="Q4" s="35"/>
      <c r="R4" s="35"/>
    </row>
    <row r="5" spans="1:40" x14ac:dyDescent="0.15">
      <c r="A5" s="75"/>
      <c r="B5" s="75"/>
      <c r="C5" s="75"/>
      <c r="D5" s="21"/>
      <c r="E5" s="35">
        <f ca="1">(-INTERCEPT(OFFSET(G11,E6-D11,0):OFFSET(G11,E7-D11,0),OFFSET(D11,E6-D11,0):OFFSET(D11,E7-D11,0)) - LN(9))/SLOPE(OFFSET(G11,E6-D11,0):OFFSET(G11,E7-D11,0),OFFSET(D11,E6-D11,0):OFFSET(D11,E7-D11,0))</f>
        <v>1986.4100358193009</v>
      </c>
      <c r="F5" s="114">
        <f ca="1">(-INTERCEPT(OFFSET(G11,E6-D11,0):OFFSET(G11,E7-D11,0),OFFSET(D11,E6-D11,0):OFFSET(D11,E7-D11,0)) + LN(9))/SLOPE(OFFSET(G11,E6-D11,0):OFFSET(G11,E7-D11,0),OFFSET(D11,E6-D11,0):OFFSET(D11,E7-D11,0))</f>
        <v>2054.4697493062013</v>
      </c>
      <c r="G5" s="249" t="s">
        <v>176</v>
      </c>
    </row>
    <row r="6" spans="1:40" x14ac:dyDescent="0.15">
      <c r="A6" s="75"/>
      <c r="B6" s="75"/>
      <c r="C6" s="75"/>
      <c r="D6" s="21"/>
      <c r="E6" s="15">
        <v>1924</v>
      </c>
      <c r="F6" s="8">
        <f ca="1">(E6-AVERAGE(E$5:F$5))/(F$5-E$5)*LN(81)</f>
        <v>-6.2268878700268449</v>
      </c>
      <c r="G6" s="172" t="s">
        <v>81</v>
      </c>
      <c r="H6" s="29"/>
    </row>
    <row r="7" spans="1:40" x14ac:dyDescent="0.15">
      <c r="A7" s="75"/>
      <c r="B7" s="75"/>
      <c r="C7" s="75"/>
      <c r="D7" s="21"/>
      <c r="E7" s="35">
        <v>1945</v>
      </c>
      <c r="F7" s="8">
        <f ca="1">(E7-AVERAGE(E$5:F$5))/(F$5-E$5)*LN(81)</f>
        <v>-4.8709692579703416</v>
      </c>
      <c r="G7" s="24"/>
      <c r="H7" s="29"/>
    </row>
    <row r="8" spans="1:40" x14ac:dyDescent="0.15">
      <c r="A8" s="75"/>
      <c r="B8" s="75"/>
      <c r="C8" s="75"/>
      <c r="D8" s="21"/>
      <c r="E8" s="32">
        <f ca="1">RSQ(OFFSET(K11,E3-D11,0):K200,OFFSET(D11,E3-D11,0):D200)</f>
        <v>0.99946180641657756</v>
      </c>
      <c r="F8" s="129">
        <v>1188.3511024420613</v>
      </c>
      <c r="G8" s="186" t="s">
        <v>73</v>
      </c>
      <c r="H8" s="29"/>
    </row>
    <row r="9" spans="1:40" x14ac:dyDescent="0.15">
      <c r="A9" s="75"/>
      <c r="B9" s="75"/>
      <c r="C9" s="75"/>
      <c r="D9" s="21"/>
      <c r="H9" s="29"/>
    </row>
    <row r="10" spans="1:40" x14ac:dyDescent="0.15">
      <c r="A10" s="75"/>
      <c r="B10" s="75"/>
      <c r="C10" s="75"/>
      <c r="D10" s="195"/>
      <c r="E10" s="17" t="s">
        <v>0</v>
      </c>
      <c r="F10" s="22" t="s">
        <v>1</v>
      </c>
      <c r="G10" s="85" t="s">
        <v>2</v>
      </c>
      <c r="H10" s="209" t="s">
        <v>217</v>
      </c>
      <c r="I10" s="81" t="s">
        <v>20</v>
      </c>
      <c r="J10" s="77" t="s">
        <v>41</v>
      </c>
      <c r="K10" s="81" t="s">
        <v>3</v>
      </c>
      <c r="N10" s="198" t="s">
        <v>166</v>
      </c>
      <c r="O10" s="183" t="s">
        <v>67</v>
      </c>
      <c r="P10" s="181" t="s">
        <v>26</v>
      </c>
      <c r="Q10" s="182" t="s">
        <v>40</v>
      </c>
    </row>
    <row r="11" spans="1:40" x14ac:dyDescent="0.15">
      <c r="A11" s="75"/>
      <c r="B11" s="75"/>
      <c r="C11" s="75"/>
      <c r="D11" s="195">
        <v>1895</v>
      </c>
      <c r="E11" s="18"/>
      <c r="F11" s="22">
        <v>0</v>
      </c>
      <c r="M11" s="15" t="s">
        <v>7</v>
      </c>
      <c r="N11" s="15">
        <v>1913</v>
      </c>
      <c r="O11" s="6">
        <f>LOOKUP(P11,D$12:D$285,F$12:F$285)  + Q11</f>
        <v>995.63728649999996</v>
      </c>
      <c r="P11" s="15">
        <v>1913</v>
      </c>
      <c r="Q11" s="23">
        <v>995.58699999999999</v>
      </c>
      <c r="AD11" s="23"/>
      <c r="AE11" s="23"/>
      <c r="AF11" s="23"/>
      <c r="AG11" s="23"/>
      <c r="AH11" s="23"/>
      <c r="AI11" s="23"/>
      <c r="AJ11" s="23"/>
      <c r="AK11" s="23"/>
      <c r="AL11" s="23"/>
      <c r="AM11" s="23"/>
    </row>
    <row r="12" spans="1:40" x14ac:dyDescent="0.15">
      <c r="A12" s="75"/>
      <c r="B12" s="75"/>
      <c r="C12" s="75"/>
      <c r="D12" s="195">
        <v>1896</v>
      </c>
      <c r="E12" s="19">
        <v>0.48899999999999999</v>
      </c>
      <c r="F12" s="23">
        <f>F11+E12/1000</f>
        <v>4.8899999999999996E-4</v>
      </c>
      <c r="G12" s="30">
        <f t="shared" ref="G12:G75" si="0" xml:space="preserve"> - LN(F$1/F12 - 1)</f>
        <v>-12.557425261375775</v>
      </c>
      <c r="I12" s="23">
        <f t="shared" ref="I12:I43" ca="1" si="1" xml:space="preserve"> (G12/LN(81)*IF(D12&lt;AVERAGE(E$7,E$3),F$5-E$5,F$2-E$2) - D12 + IF(D12&lt;AVERAGE(E$7,E$3),AVERAGE(E$5:F$5),AVERAGE(E$2:F$2)))*12</f>
        <v>-840.54216738006471</v>
      </c>
      <c r="J12" s="23"/>
      <c r="K12" s="30">
        <f t="shared" ref="K12:K43" si="2">NORMSINV(F12/F$8)</f>
        <v>-4.9298354437823653</v>
      </c>
      <c r="M12" s="181" t="s">
        <v>8</v>
      </c>
      <c r="N12" s="35">
        <v>1974</v>
      </c>
      <c r="O12" s="6">
        <f t="shared" ref="O12:O21" si="3">LOOKUP(P12,D$12:D$285,F$12:F$285)  + Q12</f>
        <v>86.8954545</v>
      </c>
      <c r="P12" s="35">
        <v>1974</v>
      </c>
      <c r="Q12" s="23">
        <v>80</v>
      </c>
      <c r="R12" s="23"/>
      <c r="AD12" s="23"/>
      <c r="AE12" s="23"/>
      <c r="AF12" s="23"/>
      <c r="AG12" s="23"/>
      <c r="AH12" s="23"/>
      <c r="AI12" s="23"/>
      <c r="AJ12" s="23"/>
      <c r="AK12" s="23"/>
      <c r="AL12" s="23"/>
      <c r="AM12" s="23"/>
    </row>
    <row r="13" spans="1:40" x14ac:dyDescent="0.15">
      <c r="A13" s="75"/>
      <c r="B13" s="75"/>
      <c r="C13" s="75"/>
      <c r="D13" s="195">
        <v>1897</v>
      </c>
      <c r="E13" s="19">
        <v>0.53900000000000003</v>
      </c>
      <c r="F13" s="23">
        <f t="shared" ref="F13:F76" si="4">F12+E13/1000</f>
        <v>1.0279999999999998E-3</v>
      </c>
      <c r="G13" s="30">
        <f t="shared" si="0"/>
        <v>-11.814413426367199</v>
      </c>
      <c r="I13" s="23">
        <f t="shared" ca="1" si="1"/>
        <v>-714.45203368231159</v>
      </c>
      <c r="J13" s="23"/>
      <c r="K13" s="30">
        <f t="shared" si="2"/>
        <v>-4.7826341574591327</v>
      </c>
      <c r="M13" s="181" t="s">
        <v>9</v>
      </c>
      <c r="N13" s="15">
        <v>1980</v>
      </c>
      <c r="O13" s="6">
        <f t="shared" si="3"/>
        <v>109.2853545</v>
      </c>
      <c r="P13" s="35">
        <v>1980</v>
      </c>
      <c r="Q13" s="23">
        <v>99</v>
      </c>
      <c r="R13" s="23"/>
      <c r="AD13" s="23"/>
      <c r="AE13" s="23"/>
      <c r="AF13" s="23"/>
      <c r="AG13" s="23"/>
      <c r="AH13" s="23"/>
      <c r="AI13" s="23"/>
      <c r="AJ13" s="23"/>
      <c r="AK13" s="23"/>
      <c r="AL13" s="23"/>
      <c r="AM13" s="23"/>
    </row>
    <row r="14" spans="1:40" x14ac:dyDescent="0.15">
      <c r="A14" s="75"/>
      <c r="B14" s="75"/>
      <c r="C14" s="75"/>
      <c r="D14" s="195">
        <v>1898</v>
      </c>
      <c r="E14" s="19">
        <v>0.78300000000000003</v>
      </c>
      <c r="F14" s="23">
        <f t="shared" si="4"/>
        <v>1.8109999999999999E-3</v>
      </c>
      <c r="G14" s="30">
        <f t="shared" si="0"/>
        <v>-11.248143780259282</v>
      </c>
      <c r="I14" s="23">
        <f t="shared" ca="1" si="1"/>
        <v>-621.2097650458727</v>
      </c>
      <c r="J14" s="23"/>
      <c r="K14" s="30">
        <f t="shared" si="2"/>
        <v>-4.6675638301446414</v>
      </c>
      <c r="M14" s="181" t="s">
        <v>11</v>
      </c>
      <c r="N14" s="15">
        <v>1989</v>
      </c>
      <c r="O14" s="6">
        <f t="shared" si="3"/>
        <v>746.46621450000009</v>
      </c>
      <c r="P14" s="35">
        <v>1987</v>
      </c>
      <c r="Q14" s="23">
        <v>730.7</v>
      </c>
      <c r="R14" s="23"/>
      <c r="AD14" s="23"/>
      <c r="AE14" s="23"/>
      <c r="AF14" s="23"/>
      <c r="AG14" s="23"/>
      <c r="AH14" s="23"/>
      <c r="AI14" s="23"/>
      <c r="AJ14" s="23"/>
      <c r="AK14" s="23"/>
      <c r="AL14" s="23"/>
      <c r="AM14" s="23"/>
      <c r="AN14" s="23"/>
    </row>
    <row r="15" spans="1:40" x14ac:dyDescent="0.15">
      <c r="A15" s="75"/>
      <c r="B15" s="75"/>
      <c r="C15" s="75"/>
      <c r="D15" s="195">
        <v>1899</v>
      </c>
      <c r="E15" s="19">
        <v>0.84199999999999997</v>
      </c>
      <c r="F15" s="23">
        <f t="shared" si="4"/>
        <v>2.653E-3</v>
      </c>
      <c r="G15" s="30">
        <f t="shared" si="0"/>
        <v>-10.866325825183127</v>
      </c>
      <c r="I15" s="23">
        <f t="shared" ca="1" si="1"/>
        <v>-562.24818680389944</v>
      </c>
      <c r="J15" s="23"/>
      <c r="K15" s="30">
        <f t="shared" si="2"/>
        <v>-4.58847253500271</v>
      </c>
      <c r="M15" s="181" t="s">
        <v>12</v>
      </c>
      <c r="N15" s="15">
        <v>1992</v>
      </c>
      <c r="O15" s="6">
        <f t="shared" si="3"/>
        <v>133.3801445</v>
      </c>
      <c r="P15" s="35">
        <v>1990</v>
      </c>
      <c r="Q15" s="23">
        <v>114.5</v>
      </c>
      <c r="R15" s="23"/>
      <c r="AD15" s="23"/>
      <c r="AE15" s="23"/>
      <c r="AF15" s="23"/>
      <c r="AG15" s="23"/>
      <c r="AH15" s="23"/>
      <c r="AI15" s="23"/>
      <c r="AJ15" s="23"/>
      <c r="AK15" s="23"/>
      <c r="AL15" s="23"/>
      <c r="AM15" s="23"/>
      <c r="AN15" s="23"/>
    </row>
    <row r="16" spans="1:40" x14ac:dyDescent="0.15">
      <c r="A16" s="75"/>
      <c r="B16" s="75"/>
      <c r="C16" s="75"/>
      <c r="D16" s="195">
        <v>1900</v>
      </c>
      <c r="E16" s="19">
        <v>0.68149999999999999</v>
      </c>
      <c r="F16" s="23">
        <f t="shared" si="4"/>
        <v>3.3344999999999998E-3</v>
      </c>
      <c r="G16" s="30">
        <f t="shared" si="0"/>
        <v>-10.637689253317735</v>
      </c>
      <c r="I16" s="23">
        <f t="shared" ca="1" si="1"/>
        <v>-531.7556539942143</v>
      </c>
      <c r="J16" s="23"/>
      <c r="K16" s="30">
        <f t="shared" si="2"/>
        <v>-4.5405045114408127</v>
      </c>
      <c r="L16" s="32"/>
      <c r="M16" s="181" t="s">
        <v>13</v>
      </c>
      <c r="N16" s="15">
        <v>1995</v>
      </c>
      <c r="O16" s="6">
        <f t="shared" si="3"/>
        <v>136.73460449999999</v>
      </c>
      <c r="P16" s="35">
        <v>1993</v>
      </c>
      <c r="Q16" s="23">
        <v>114.5</v>
      </c>
      <c r="R16" s="23"/>
      <c r="AD16" s="23"/>
      <c r="AE16" s="23"/>
      <c r="AF16" s="23"/>
      <c r="AG16" s="23"/>
      <c r="AH16" s="23"/>
      <c r="AI16" s="23"/>
      <c r="AJ16" s="23"/>
      <c r="AK16" s="23"/>
      <c r="AL16" s="23"/>
      <c r="AM16" s="23"/>
      <c r="AN16" s="23"/>
    </row>
    <row r="17" spans="1:40" x14ac:dyDescent="0.15">
      <c r="A17" s="75"/>
      <c r="B17" s="75"/>
      <c r="C17" s="75"/>
      <c r="D17" s="195">
        <v>1901</v>
      </c>
      <c r="E17" s="19">
        <v>0.52100000000000002</v>
      </c>
      <c r="F17" s="23">
        <f t="shared" si="4"/>
        <v>3.8554999999999996E-3</v>
      </c>
      <c r="G17" s="30">
        <f t="shared" si="0"/>
        <v>-10.492507547094357</v>
      </c>
      <c r="I17" s="23">
        <f t="shared" ca="1" si="1"/>
        <v>-516.77336343268507</v>
      </c>
      <c r="J17" s="23"/>
      <c r="K17" s="30">
        <f t="shared" si="2"/>
        <v>-4.5098017708282532</v>
      </c>
      <c r="L17" s="32"/>
      <c r="M17" s="181" t="s">
        <v>14</v>
      </c>
      <c r="N17" s="15">
        <v>1998</v>
      </c>
      <c r="O17" s="6">
        <f t="shared" si="3"/>
        <v>140.73193449999999</v>
      </c>
      <c r="P17" s="35">
        <v>1996</v>
      </c>
      <c r="Q17" s="23">
        <v>114.5</v>
      </c>
      <c r="R17" s="23"/>
      <c r="AD17" s="23"/>
      <c r="AE17" s="23"/>
      <c r="AF17" s="23"/>
      <c r="AG17" s="23"/>
      <c r="AH17" s="23"/>
      <c r="AI17" s="23"/>
      <c r="AJ17" s="23"/>
      <c r="AK17" s="23"/>
      <c r="AL17" s="23"/>
      <c r="AM17" s="23"/>
      <c r="AN17" s="23"/>
    </row>
    <row r="18" spans="1:40" x14ac:dyDescent="0.15">
      <c r="D18" s="195">
        <v>1902</v>
      </c>
      <c r="E18" s="19">
        <v>0.95399999999999996</v>
      </c>
      <c r="F18" s="23">
        <f t="shared" si="4"/>
        <v>4.8094999999999995E-3</v>
      </c>
      <c r="G18" s="30">
        <f t="shared" si="0"/>
        <v>-10.271408253925069</v>
      </c>
      <c r="I18" s="23">
        <f t="shared" ca="1" si="1"/>
        <v>-487.68164790991068</v>
      </c>
      <c r="J18" s="23"/>
      <c r="K18" s="30">
        <f t="shared" si="2"/>
        <v>-4.46267151474364</v>
      </c>
      <c r="L18" s="32"/>
      <c r="M18" s="181" t="s">
        <v>15</v>
      </c>
      <c r="N18" s="15">
        <v>2001</v>
      </c>
      <c r="O18" s="6">
        <f t="shared" si="3"/>
        <v>144.63475450000001</v>
      </c>
      <c r="P18" s="35">
        <v>1999</v>
      </c>
      <c r="Q18" s="23">
        <v>114.5</v>
      </c>
      <c r="R18" s="23"/>
      <c r="AE18" s="23"/>
      <c r="AF18" s="23"/>
      <c r="AG18" s="23"/>
      <c r="AH18" s="23"/>
      <c r="AI18" s="23"/>
      <c r="AJ18" s="23"/>
      <c r="AK18" s="23"/>
      <c r="AL18" s="23"/>
      <c r="AM18" s="23"/>
      <c r="AN18" s="23"/>
    </row>
    <row r="19" spans="1:40" x14ac:dyDescent="0.15">
      <c r="D19" s="195">
        <v>1903</v>
      </c>
      <c r="E19" s="19">
        <v>1.026</v>
      </c>
      <c r="F19" s="23">
        <f t="shared" si="4"/>
        <v>5.8354999999999995E-3</v>
      </c>
      <c r="G19" s="30">
        <f t="shared" si="0"/>
        <v>-10.078034047661244</v>
      </c>
      <c r="I19" s="23">
        <f t="shared" ca="1" si="1"/>
        <v>-463.74269143775746</v>
      </c>
      <c r="J19" s="23"/>
      <c r="K19" s="30">
        <f t="shared" si="2"/>
        <v>-4.421073592537577</v>
      </c>
      <c r="L19" s="32"/>
      <c r="M19" s="181" t="s">
        <v>16</v>
      </c>
      <c r="N19" s="15">
        <v>2004</v>
      </c>
      <c r="O19" s="6">
        <f t="shared" si="3"/>
        <v>148.77004450000001</v>
      </c>
      <c r="P19" s="35">
        <v>2002</v>
      </c>
      <c r="Q19" s="23">
        <v>114.5</v>
      </c>
      <c r="R19" s="23"/>
      <c r="T19" s="23"/>
      <c r="U19" s="23"/>
      <c r="V19" s="23"/>
      <c r="W19" s="23"/>
      <c r="X19" s="23"/>
      <c r="Y19" s="23"/>
      <c r="Z19" s="23"/>
      <c r="AA19" s="23"/>
      <c r="AB19" s="23"/>
      <c r="AC19" s="23"/>
      <c r="AD19" s="23"/>
      <c r="AE19" s="23"/>
      <c r="AF19" s="23"/>
      <c r="AG19" s="23"/>
      <c r="AH19" s="23"/>
      <c r="AI19" s="23"/>
      <c r="AJ19" s="23"/>
      <c r="AK19" s="23"/>
      <c r="AL19" s="23"/>
      <c r="AM19" s="23"/>
      <c r="AN19" s="23"/>
    </row>
    <row r="20" spans="1:40" x14ac:dyDescent="0.15">
      <c r="D20" s="195">
        <v>1904</v>
      </c>
      <c r="E20" s="19">
        <v>1.274</v>
      </c>
      <c r="F20" s="23">
        <f t="shared" si="4"/>
        <v>7.1094999999999995E-3</v>
      </c>
      <c r="G20" s="30">
        <f t="shared" si="0"/>
        <v>-9.8805529140114867</v>
      </c>
      <c r="I20" s="23">
        <f t="shared" ca="1" si="1"/>
        <v>-439.04045486010546</v>
      </c>
      <c r="J20" s="23"/>
      <c r="K20" s="30">
        <f t="shared" si="2"/>
        <v>-4.3782188096364161</v>
      </c>
      <c r="M20" s="181" t="s">
        <v>17</v>
      </c>
      <c r="N20" s="15">
        <v>2007</v>
      </c>
      <c r="O20" s="6">
        <f t="shared" si="3"/>
        <v>154.69009450000001</v>
      </c>
      <c r="P20" s="35">
        <v>2005</v>
      </c>
      <c r="Q20" s="23">
        <v>114.5</v>
      </c>
      <c r="R20" s="23"/>
      <c r="T20" s="23"/>
      <c r="U20" s="23"/>
      <c r="V20" s="23"/>
      <c r="W20" s="23"/>
      <c r="X20" s="23"/>
      <c r="Y20" s="23"/>
      <c r="Z20" s="23"/>
      <c r="AA20" s="23"/>
      <c r="AB20" s="23"/>
      <c r="AC20" s="23"/>
      <c r="AD20" s="23"/>
      <c r="AE20" s="23"/>
      <c r="AF20" s="23"/>
      <c r="AG20" s="23"/>
      <c r="AH20" s="23"/>
      <c r="AI20" s="23"/>
      <c r="AJ20" s="23"/>
      <c r="AK20" s="23"/>
      <c r="AL20" s="23"/>
      <c r="AM20" s="23"/>
      <c r="AN20" s="23"/>
    </row>
    <row r="21" spans="1:40" x14ac:dyDescent="0.15">
      <c r="D21" s="195">
        <v>1905</v>
      </c>
      <c r="E21" s="19">
        <v>1.345</v>
      </c>
      <c r="F21" s="23">
        <f t="shared" si="4"/>
        <v>8.4545000000000002E-3</v>
      </c>
      <c r="G21" s="30">
        <f t="shared" si="0"/>
        <v>-9.7072763091986261</v>
      </c>
      <c r="I21" s="23">
        <f t="shared" ca="1" si="1"/>
        <v>-418.83667505755693</v>
      </c>
      <c r="J21" s="23"/>
      <c r="K21" s="30">
        <f t="shared" si="2"/>
        <v>-4.3402980323510887</v>
      </c>
      <c r="M21" s="341" t="s">
        <v>297</v>
      </c>
      <c r="N21" s="15">
        <v>2010</v>
      </c>
      <c r="O21" s="6">
        <f t="shared" si="3"/>
        <v>162.39237450000002</v>
      </c>
      <c r="P21" s="15">
        <v>2008</v>
      </c>
      <c r="Q21" s="23">
        <v>114.5</v>
      </c>
      <c r="R21" s="23"/>
      <c r="T21" s="23"/>
      <c r="U21" s="23"/>
      <c r="V21" s="23"/>
      <c r="W21" s="23"/>
      <c r="X21" s="23"/>
      <c r="Y21" s="23"/>
      <c r="Z21" s="23"/>
      <c r="AA21" s="23"/>
      <c r="AB21" s="23"/>
      <c r="AC21" s="23"/>
      <c r="AD21" s="23"/>
      <c r="AE21" s="23"/>
      <c r="AF21" s="23"/>
      <c r="AG21" s="23"/>
      <c r="AH21" s="23"/>
      <c r="AI21" s="23"/>
      <c r="AJ21" s="23"/>
      <c r="AK21" s="23"/>
      <c r="AL21" s="23"/>
      <c r="AM21" s="23"/>
      <c r="AN21" s="23"/>
    </row>
    <row r="22" spans="1:40" x14ac:dyDescent="0.15">
      <c r="D22" s="195">
        <v>1906</v>
      </c>
      <c r="E22" s="19">
        <v>1.696</v>
      </c>
      <c r="F22" s="23">
        <f t="shared" si="4"/>
        <v>1.01505E-2</v>
      </c>
      <c r="G22" s="30">
        <f t="shared" si="0"/>
        <v>-9.5244399832231164</v>
      </c>
      <c r="I22" s="23">
        <f t="shared" ca="1" si="1"/>
        <v>-396.85620326807111</v>
      </c>
      <c r="J22" s="23"/>
      <c r="K22" s="30">
        <f t="shared" si="2"/>
        <v>-4.2999542790980119</v>
      </c>
      <c r="T22" s="23"/>
      <c r="U22" s="23"/>
      <c r="V22" s="23"/>
      <c r="W22" s="23"/>
      <c r="X22" s="23"/>
      <c r="Y22" s="23"/>
      <c r="Z22" s="23"/>
      <c r="AA22" s="23"/>
      <c r="AB22" s="23"/>
      <c r="AC22" s="23"/>
      <c r="AD22" s="23"/>
      <c r="AE22" s="23"/>
      <c r="AF22" s="23"/>
      <c r="AG22" s="23"/>
      <c r="AH22" s="23"/>
      <c r="AI22" s="23"/>
      <c r="AJ22" s="23"/>
      <c r="AK22" s="23"/>
      <c r="AL22" s="23"/>
      <c r="AM22" s="23"/>
      <c r="AN22" s="23"/>
    </row>
    <row r="23" spans="1:40" x14ac:dyDescent="0.15">
      <c r="D23" s="195">
        <v>1907</v>
      </c>
      <c r="E23" s="19">
        <v>2.1890000000000001</v>
      </c>
      <c r="F23" s="23">
        <f t="shared" si="4"/>
        <v>1.23395E-2</v>
      </c>
      <c r="G23" s="30">
        <f t="shared" si="0"/>
        <v>-9.3291416970443652</v>
      </c>
      <c r="I23" s="23">
        <f t="shared" ca="1" si="1"/>
        <v>-372.55965295934766</v>
      </c>
      <c r="J23" s="23"/>
      <c r="K23" s="30">
        <f t="shared" si="2"/>
        <v>-4.2564760045595431</v>
      </c>
      <c r="T23" s="23"/>
      <c r="U23" s="23"/>
      <c r="V23" s="23"/>
      <c r="W23" s="23"/>
      <c r="X23" s="23"/>
      <c r="Y23" s="23"/>
      <c r="Z23" s="23"/>
      <c r="AA23" s="23"/>
      <c r="AB23" s="23"/>
      <c r="AC23" s="23"/>
      <c r="AD23" s="23"/>
      <c r="AE23" s="23"/>
      <c r="AF23" s="23"/>
      <c r="AG23" s="23"/>
      <c r="AH23" s="23"/>
      <c r="AI23" s="23"/>
      <c r="AJ23" s="23"/>
      <c r="AK23" s="23"/>
      <c r="AL23" s="23"/>
      <c r="AM23" s="23"/>
      <c r="AN23" s="23"/>
    </row>
    <row r="24" spans="1:40" x14ac:dyDescent="0.15">
      <c r="D24" s="195">
        <v>1908</v>
      </c>
      <c r="E24" s="19">
        <v>2.7879999999999998</v>
      </c>
      <c r="F24" s="23">
        <f t="shared" si="4"/>
        <v>1.5127499999999999E-2</v>
      </c>
      <c r="G24" s="30">
        <f t="shared" si="0"/>
        <v>-9.1254128531352148</v>
      </c>
      <c r="I24" s="23">
        <f t="shared" ca="1" si="1"/>
        <v>-346.69626779108512</v>
      </c>
      <c r="J24" s="23"/>
      <c r="K24" s="30">
        <f t="shared" si="2"/>
        <v>-4.2106859425656582</v>
      </c>
      <c r="T24" s="23"/>
      <c r="U24" s="23"/>
      <c r="V24" s="23"/>
      <c r="W24" s="23"/>
      <c r="X24" s="23"/>
      <c r="Y24" s="23"/>
      <c r="Z24" s="23"/>
      <c r="AA24" s="23"/>
      <c r="AB24" s="23"/>
      <c r="AC24" s="23"/>
      <c r="AD24" s="23"/>
      <c r="AE24" s="23"/>
      <c r="AF24" s="23"/>
      <c r="AG24" s="23"/>
      <c r="AH24" s="23"/>
      <c r="AI24" s="23"/>
      <c r="AJ24" s="23"/>
      <c r="AK24" s="23"/>
      <c r="AL24" s="23"/>
      <c r="AM24" s="23"/>
      <c r="AN24" s="23"/>
    </row>
    <row r="25" spans="1:40" x14ac:dyDescent="0.15">
      <c r="D25" s="195">
        <v>1909</v>
      </c>
      <c r="E25" s="19">
        <v>3.8679999999999999</v>
      </c>
      <c r="F25" s="23">
        <f t="shared" si="4"/>
        <v>1.8995499999999998E-2</v>
      </c>
      <c r="G25" s="30">
        <f t="shared" si="0"/>
        <v>-8.8976971875070099</v>
      </c>
      <c r="I25" s="23">
        <f t="shared" ca="1" si="1"/>
        <v>-316.374887121141</v>
      </c>
      <c r="J25" s="23"/>
      <c r="K25" s="30">
        <f t="shared" si="2"/>
        <v>-4.1589634251539609</v>
      </c>
      <c r="T25" s="23"/>
      <c r="U25" s="23"/>
      <c r="V25" s="23"/>
      <c r="W25" s="23"/>
      <c r="X25" s="23"/>
      <c r="Y25" s="23"/>
      <c r="Z25" s="23"/>
      <c r="AA25" s="23"/>
      <c r="AB25" s="23"/>
      <c r="AC25" s="23"/>
      <c r="AD25" s="23"/>
      <c r="AE25" s="23"/>
      <c r="AF25" s="23"/>
      <c r="AG25" s="23"/>
      <c r="AH25" s="23"/>
      <c r="AI25" s="23"/>
      <c r="AJ25" s="23"/>
      <c r="AK25" s="23"/>
      <c r="AL25" s="23"/>
      <c r="AM25" s="23"/>
      <c r="AN25" s="23"/>
    </row>
    <row r="26" spans="1:40" x14ac:dyDescent="0.15">
      <c r="D26" s="195">
        <v>1910</v>
      </c>
      <c r="E26" s="19">
        <v>4.2370000000000001</v>
      </c>
      <c r="F26" s="23">
        <f t="shared" si="4"/>
        <v>2.32325E-2</v>
      </c>
      <c r="G26" s="30">
        <f t="shared" si="0"/>
        <v>-8.6963166435298778</v>
      </c>
      <c r="I26" s="23">
        <f t="shared" ca="1" si="1"/>
        <v>-290.94793786991249</v>
      </c>
      <c r="J26" s="23"/>
      <c r="K26" s="30">
        <f t="shared" si="2"/>
        <v>-4.1127321391272336</v>
      </c>
      <c r="T26" s="23"/>
      <c r="U26" s="23"/>
      <c r="V26" s="23"/>
      <c r="W26" s="23"/>
      <c r="X26" s="23"/>
      <c r="Y26" s="23"/>
      <c r="Z26" s="23"/>
      <c r="AA26" s="23"/>
      <c r="AB26" s="23"/>
      <c r="AC26" s="23"/>
      <c r="AD26" s="23"/>
      <c r="AE26" s="23"/>
      <c r="AF26" s="23"/>
      <c r="AG26" s="23"/>
      <c r="AH26" s="23"/>
      <c r="AI26" s="23"/>
      <c r="AJ26" s="23"/>
      <c r="AK26" s="23"/>
      <c r="AL26" s="23"/>
      <c r="AM26" s="23"/>
      <c r="AN26" s="23"/>
    </row>
    <row r="27" spans="1:40" x14ac:dyDescent="0.15">
      <c r="D27" s="195">
        <v>1911</v>
      </c>
      <c r="E27" s="19">
        <v>5.266</v>
      </c>
      <c r="F27" s="23">
        <f t="shared" si="4"/>
        <v>2.84985E-2</v>
      </c>
      <c r="G27" s="30">
        <f t="shared" si="0"/>
        <v>-8.4919794504019297</v>
      </c>
      <c r="I27" s="23">
        <f t="shared" ca="1" si="1"/>
        <v>-264.97148986604043</v>
      </c>
      <c r="J27" s="23"/>
      <c r="K27" s="30">
        <f t="shared" si="2"/>
        <v>-4.0653370414802881</v>
      </c>
      <c r="T27" s="23"/>
      <c r="U27" s="23"/>
      <c r="V27" s="23"/>
      <c r="W27" s="23"/>
      <c r="X27" s="23"/>
      <c r="Y27" s="23"/>
      <c r="Z27" s="23"/>
      <c r="AA27" s="23"/>
      <c r="AB27" s="23"/>
      <c r="AC27" s="23"/>
      <c r="AD27" s="23"/>
      <c r="AE27" s="23"/>
      <c r="AF27" s="23"/>
      <c r="AG27" s="23"/>
      <c r="AH27" s="23"/>
      <c r="AI27" s="23"/>
      <c r="AJ27" s="23"/>
      <c r="AK27" s="23"/>
      <c r="AL27" s="23"/>
      <c r="AM27" s="23"/>
      <c r="AN27" s="23"/>
    </row>
    <row r="28" spans="1:40" x14ac:dyDescent="0.15">
      <c r="D28" s="195">
        <v>1912</v>
      </c>
      <c r="E28" s="19">
        <v>8.9879999999999995</v>
      </c>
      <c r="F28" s="23">
        <f t="shared" si="4"/>
        <v>3.7486499999999999E-2</v>
      </c>
      <c r="G28" s="30">
        <f t="shared" si="0"/>
        <v>-8.2177853468284177</v>
      </c>
      <c r="I28" s="23">
        <f t="shared" ca="1" si="1"/>
        <v>-226.01200491898635</v>
      </c>
      <c r="J28" s="23"/>
      <c r="K28" s="30">
        <f t="shared" si="2"/>
        <v>-4.0009453068496734</v>
      </c>
      <c r="T28" s="23"/>
      <c r="U28" s="23"/>
      <c r="V28" s="23"/>
      <c r="W28" s="23"/>
      <c r="X28" s="23"/>
      <c r="Y28" s="23"/>
      <c r="Z28" s="23"/>
      <c r="AA28" s="23"/>
      <c r="AB28" s="23"/>
      <c r="AC28" s="23"/>
      <c r="AD28" s="23"/>
      <c r="AE28" s="23"/>
      <c r="AF28" s="23"/>
      <c r="AG28" s="23"/>
      <c r="AH28" s="23"/>
      <c r="AI28" s="23"/>
      <c r="AJ28" s="23"/>
      <c r="AK28" s="23"/>
      <c r="AL28" s="23"/>
      <c r="AM28" s="23"/>
      <c r="AN28" s="23"/>
    </row>
    <row r="29" spans="1:40" x14ac:dyDescent="0.15">
      <c r="D29" s="195">
        <v>1913</v>
      </c>
      <c r="E29" s="19">
        <v>12.8</v>
      </c>
      <c r="F29" s="23">
        <f t="shared" si="4"/>
        <v>5.0286499999999998E-2</v>
      </c>
      <c r="G29" s="30">
        <f t="shared" si="0"/>
        <v>-7.9239374303478636</v>
      </c>
      <c r="I29" s="23">
        <f t="shared" ca="1" si="1"/>
        <v>-183.39982222994513</v>
      </c>
      <c r="J29" s="23"/>
      <c r="K29" s="30">
        <f t="shared" si="2"/>
        <v>-3.9308888466799985</v>
      </c>
      <c r="T29" s="23"/>
      <c r="U29" s="23"/>
      <c r="V29" s="23"/>
      <c r="W29" s="23"/>
      <c r="X29" s="23"/>
      <c r="Y29" s="23"/>
      <c r="Z29" s="23"/>
      <c r="AA29" s="23"/>
      <c r="AB29" s="23"/>
      <c r="AC29" s="23"/>
      <c r="AD29" s="23"/>
      <c r="AE29" s="23"/>
      <c r="AF29" s="23"/>
      <c r="AG29" s="23"/>
      <c r="AH29" s="23"/>
      <c r="AI29" s="23"/>
      <c r="AJ29" s="23"/>
      <c r="AK29" s="23"/>
      <c r="AL29" s="23"/>
      <c r="AM29" s="23"/>
      <c r="AN29" s="23"/>
    </row>
    <row r="30" spans="1:40" x14ac:dyDescent="0.15">
      <c r="D30" s="195">
        <v>1914</v>
      </c>
      <c r="E30" s="19">
        <v>14.102</v>
      </c>
      <c r="F30" s="23">
        <f t="shared" si="4"/>
        <v>6.4388500000000001E-2</v>
      </c>
      <c r="G30" s="30">
        <f t="shared" si="0"/>
        <v>-7.6766375213073559</v>
      </c>
      <c r="I30" s="23">
        <f t="shared" ca="1" si="1"/>
        <v>-149.43867343821512</v>
      </c>
      <c r="J30" s="23"/>
      <c r="K30" s="30">
        <f t="shared" si="2"/>
        <v>-3.8710532335756365</v>
      </c>
      <c r="T30" s="23"/>
      <c r="U30" s="23"/>
      <c r="V30" s="23"/>
      <c r="W30" s="23"/>
      <c r="X30" s="23"/>
      <c r="Y30" s="23"/>
      <c r="Z30" s="23"/>
      <c r="AA30" s="23"/>
      <c r="AB30" s="23"/>
      <c r="AC30" s="23"/>
      <c r="AD30" s="23"/>
      <c r="AE30" s="23"/>
      <c r="AF30" s="23"/>
      <c r="AG30" s="23"/>
      <c r="AH30" s="23"/>
      <c r="AI30" s="23"/>
      <c r="AJ30" s="23"/>
      <c r="AK30" s="23"/>
      <c r="AL30" s="23"/>
      <c r="AM30" s="23"/>
      <c r="AN30" s="23"/>
    </row>
    <row r="31" spans="1:40" x14ac:dyDescent="0.15">
      <c r="D31" s="195">
        <v>1915</v>
      </c>
      <c r="E31" s="19">
        <v>13.417</v>
      </c>
      <c r="F31" s="23">
        <f t="shared" si="4"/>
        <v>7.78055E-2</v>
      </c>
      <c r="G31" s="30">
        <f t="shared" si="0"/>
        <v>-7.4872638510218446</v>
      </c>
      <c r="I31" s="23">
        <f t="shared" ca="1" si="1"/>
        <v>-126.24322403025326</v>
      </c>
      <c r="J31" s="23"/>
      <c r="K31" s="30">
        <f t="shared" si="2"/>
        <v>-3.8246707051426214</v>
      </c>
      <c r="T31" s="23"/>
      <c r="U31" s="23"/>
      <c r="V31" s="23"/>
      <c r="W31" s="23"/>
      <c r="X31" s="23"/>
      <c r="Y31" s="23"/>
      <c r="Z31" s="23"/>
      <c r="AA31" s="23"/>
      <c r="AB31" s="23"/>
      <c r="AC31" s="23"/>
      <c r="AD31" s="23"/>
      <c r="AE31" s="23"/>
      <c r="AF31" s="23"/>
      <c r="AG31" s="23"/>
      <c r="AH31" s="23"/>
      <c r="AI31" s="23"/>
      <c r="AJ31" s="23"/>
      <c r="AK31" s="23"/>
      <c r="AL31" s="23"/>
      <c r="AM31" s="23"/>
      <c r="AN31" s="23"/>
    </row>
    <row r="32" spans="1:40" x14ac:dyDescent="0.15">
      <c r="D32" s="195">
        <v>1916</v>
      </c>
      <c r="E32" s="19">
        <v>15.903</v>
      </c>
      <c r="F32" s="23">
        <f t="shared" si="4"/>
        <v>9.37085E-2</v>
      </c>
      <c r="G32" s="30">
        <f t="shared" si="0"/>
        <v>-7.3011725707791868</v>
      </c>
      <c r="I32" s="23">
        <f t="shared" ca="1" si="1"/>
        <v>-103.65781292653992</v>
      </c>
      <c r="J32" s="23"/>
      <c r="K32" s="30">
        <f t="shared" si="2"/>
        <v>-3.778601124013528</v>
      </c>
      <c r="T32" s="23"/>
      <c r="U32" s="23"/>
      <c r="V32" s="23"/>
      <c r="W32" s="23"/>
      <c r="X32" s="23"/>
      <c r="Y32" s="23"/>
      <c r="Z32" s="23"/>
      <c r="AA32" s="23"/>
      <c r="AB32" s="23"/>
      <c r="AC32" s="23"/>
      <c r="AD32" s="23"/>
      <c r="AE32" s="23"/>
      <c r="AF32" s="23"/>
      <c r="AG32" s="23"/>
      <c r="AH32" s="23"/>
      <c r="AI32" s="23"/>
      <c r="AJ32" s="23"/>
      <c r="AK32" s="23"/>
      <c r="AL32" s="23"/>
      <c r="AM32" s="23"/>
      <c r="AN32" s="23"/>
    </row>
    <row r="33" spans="4:11" x14ac:dyDescent="0.15">
      <c r="D33" s="195">
        <v>1917</v>
      </c>
      <c r="E33" s="19">
        <v>16.902000000000001</v>
      </c>
      <c r="F33" s="23">
        <f t="shared" si="4"/>
        <v>0.1106105</v>
      </c>
      <c r="G33" s="30">
        <f t="shared" si="0"/>
        <v>-7.1352247395770423</v>
      </c>
      <c r="I33" s="23">
        <f t="shared" ca="1" si="1"/>
        <v>-84.816099352362471</v>
      </c>
      <c r="J33" s="23"/>
      <c r="K33" s="30">
        <f t="shared" si="2"/>
        <v>-3.7370958869236133</v>
      </c>
    </row>
    <row r="34" spans="4:11" x14ac:dyDescent="0.15">
      <c r="D34" s="195">
        <v>1918</v>
      </c>
      <c r="E34" s="19">
        <v>18.34</v>
      </c>
      <c r="F34" s="23">
        <f t="shared" si="4"/>
        <v>0.1289505</v>
      </c>
      <c r="G34" s="30">
        <f t="shared" si="0"/>
        <v>-6.9816790692925252</v>
      </c>
      <c r="I34" s="23">
        <f t="shared" ca="1" si="1"/>
        <v>-68.27935048879317</v>
      </c>
      <c r="J34" s="23"/>
      <c r="K34" s="30">
        <f t="shared" si="2"/>
        <v>-3.6983281053394381</v>
      </c>
    </row>
    <row r="35" spans="4:11" x14ac:dyDescent="0.15">
      <c r="D35" s="195">
        <v>1919</v>
      </c>
      <c r="E35" s="19">
        <v>20.055</v>
      </c>
      <c r="F35" s="23">
        <f t="shared" si="4"/>
        <v>0.14900549999999999</v>
      </c>
      <c r="G35" s="30">
        <f t="shared" si="0"/>
        <v>-6.836980008153807</v>
      </c>
      <c r="I35" s="23">
        <f t="shared" ca="1" si="1"/>
        <v>-53.386760415372009</v>
      </c>
      <c r="J35" s="23"/>
      <c r="K35" s="30">
        <f t="shared" si="2"/>
        <v>-3.6614652345073706</v>
      </c>
    </row>
    <row r="36" spans="4:11" x14ac:dyDescent="0.15">
      <c r="D36" s="195">
        <v>1920</v>
      </c>
      <c r="E36" s="19">
        <v>21.26</v>
      </c>
      <c r="F36" s="23">
        <f t="shared" si="4"/>
        <v>0.17026549999999999</v>
      </c>
      <c r="G36" s="30">
        <f t="shared" si="0"/>
        <v>-6.7034510875771041</v>
      </c>
      <c r="I36" s="23">
        <f t="shared" ca="1" si="1"/>
        <v>-40.570161774327971</v>
      </c>
      <c r="J36" s="23"/>
      <c r="K36" s="30">
        <f t="shared" si="2"/>
        <v>-3.6271583523322954</v>
      </c>
    </row>
    <row r="37" spans="4:11" x14ac:dyDescent="0.15">
      <c r="D37" s="195">
        <v>1921</v>
      </c>
      <c r="E37" s="19">
        <v>20.459</v>
      </c>
      <c r="F37" s="23">
        <f t="shared" si="4"/>
        <v>0.19072449999999999</v>
      </c>
      <c r="G37" s="30">
        <f t="shared" si="0"/>
        <v>-6.5898326857080445</v>
      </c>
      <c r="I37" s="23">
        <f t="shared" ca="1" si="1"/>
        <v>-31.453970126527565</v>
      </c>
      <c r="J37" s="23"/>
      <c r="K37" s="30">
        <f t="shared" si="2"/>
        <v>-3.5977433274282533</v>
      </c>
    </row>
    <row r="38" spans="4:11" x14ac:dyDescent="0.15">
      <c r="D38" s="195">
        <v>1922</v>
      </c>
      <c r="E38" s="19">
        <v>21.097000000000001</v>
      </c>
      <c r="F38" s="23">
        <f t="shared" si="4"/>
        <v>0.2118215</v>
      </c>
      <c r="G38" s="30">
        <f t="shared" si="0"/>
        <v>-6.4847666987444912</v>
      </c>
      <c r="I38" s="23">
        <f t="shared" ca="1" si="1"/>
        <v>-23.927260721263337</v>
      </c>
      <c r="J38" s="23"/>
      <c r="K38" s="30">
        <f t="shared" si="2"/>
        <v>-3.5703559264595097</v>
      </c>
    </row>
    <row r="39" spans="4:11" x14ac:dyDescent="0.15">
      <c r="D39" s="195">
        <v>1923</v>
      </c>
      <c r="E39" s="19">
        <v>24.552</v>
      </c>
      <c r="F39" s="23">
        <f t="shared" si="4"/>
        <v>0.23637349999999999</v>
      </c>
      <c r="G39" s="30">
        <f t="shared" si="0"/>
        <v>-6.3749205039426622</v>
      </c>
      <c r="I39" s="23">
        <f t="shared" ca="1" si="1"/>
        <v>-15.512140784178882</v>
      </c>
      <c r="J39" s="23"/>
      <c r="K39" s="30">
        <f t="shared" si="2"/>
        <v>-3.5415273500888365</v>
      </c>
    </row>
    <row r="40" spans="4:11" x14ac:dyDescent="0.15">
      <c r="D40" s="195">
        <v>1924</v>
      </c>
      <c r="E40" s="19">
        <v>25.780999999999999</v>
      </c>
      <c r="F40" s="23">
        <f t="shared" si="4"/>
        <v>0.26215449999999996</v>
      </c>
      <c r="G40" s="30">
        <f t="shared" si="0"/>
        <v>-6.2712138164423488</v>
      </c>
      <c r="I40" s="23">
        <f t="shared" ca="1" si="1"/>
        <v>-8.2380597164055871</v>
      </c>
      <c r="J40" s="23">
        <f t="shared" ref="J40:J61" ca="1" si="5">F$1/(1+EXP((IF(D40&lt;E$3,AVERAGE(E$5:F$5),AVERAGE(E$2:F$2))-D40)*LN(81)/IF(D40&lt;E$3,F$5-E$5,F$2-E$2)))</f>
        <v>0.27401270633323371</v>
      </c>
      <c r="K40" s="30">
        <f t="shared" si="2"/>
        <v>-3.5141237919731214</v>
      </c>
    </row>
    <row r="41" spans="4:11" x14ac:dyDescent="0.15">
      <c r="D41" s="195">
        <v>1925</v>
      </c>
      <c r="E41" s="19">
        <v>24.254999999999999</v>
      </c>
      <c r="F41" s="23">
        <f t="shared" si="4"/>
        <v>0.28640949999999998</v>
      </c>
      <c r="G41" s="30">
        <f t="shared" si="0"/>
        <v>-6.1825503608682784</v>
      </c>
      <c r="I41" s="23">
        <f t="shared" ca="1" si="1"/>
        <v>-3.7597913262552538</v>
      </c>
      <c r="J41" s="23">
        <f t="shared" ca="1" si="5"/>
        <v>0.29225027255950364</v>
      </c>
      <c r="K41" s="30">
        <f t="shared" si="2"/>
        <v>-3.4905494400473525</v>
      </c>
    </row>
    <row r="42" spans="4:11" x14ac:dyDescent="0.15">
      <c r="D42" s="195">
        <v>1926</v>
      </c>
      <c r="E42" s="19">
        <v>23.04</v>
      </c>
      <c r="F42" s="23">
        <f t="shared" si="4"/>
        <v>0.30944949999999999</v>
      </c>
      <c r="G42" s="30">
        <f t="shared" si="0"/>
        <v>-6.1050119097775672</v>
      </c>
      <c r="I42" s="23">
        <f t="shared" ca="1" si="1"/>
        <v>-1.3491257441810376</v>
      </c>
      <c r="J42" s="23">
        <f t="shared" ca="1" si="5"/>
        <v>0.31169895542902615</v>
      </c>
      <c r="K42" s="30">
        <f t="shared" si="2"/>
        <v>-3.4698212527129266</v>
      </c>
    </row>
    <row r="43" spans="4:11" x14ac:dyDescent="0.15">
      <c r="D43" s="195">
        <v>1927</v>
      </c>
      <c r="E43" s="19">
        <v>24.172000000000001</v>
      </c>
      <c r="F43" s="23">
        <f t="shared" si="4"/>
        <v>0.33362150000000002</v>
      </c>
      <c r="G43" s="30">
        <f t="shared" si="0"/>
        <v>-6.0296253691038411</v>
      </c>
      <c r="I43" s="23">
        <f t="shared" ca="1" si="1"/>
        <v>0.66160327809302544</v>
      </c>
      <c r="J43" s="23">
        <f t="shared" ca="1" si="5"/>
        <v>0.3324388074642895</v>
      </c>
      <c r="K43" s="30">
        <f t="shared" si="2"/>
        <v>-3.4495669819048369</v>
      </c>
    </row>
    <row r="44" spans="4:11" x14ac:dyDescent="0.15">
      <c r="D44" s="195">
        <v>1928</v>
      </c>
      <c r="E44" s="19">
        <v>25.091999999999999</v>
      </c>
      <c r="F44" s="23">
        <f t="shared" si="4"/>
        <v>0.35871350000000002</v>
      </c>
      <c r="G44" s="30">
        <f t="shared" si="0"/>
        <v>-5.956927462484785</v>
      </c>
      <c r="I44" s="23">
        <f t="shared" ref="I44:I75" ca="1" si="6" xml:space="preserve"> (G44/LN(81)*IF(D44&lt;AVERAGE(E$7,E$3),F$5-E$5,F$2-E$2) - D44 + IF(D44&lt;AVERAGE(E$7,E$3),AVERAGE(E$5:F$5),AVERAGE(E$2:F$2)))*12</f>
        <v>2.1726446526317886</v>
      </c>
      <c r="J44" s="23">
        <f t="shared" ca="1" si="5"/>
        <v>0.35455512095399344</v>
      </c>
      <c r="K44" s="30">
        <f t="shared" ref="K44:K75" si="7">NORMSINV(F44/F$8)</f>
        <v>-3.4299392683661378</v>
      </c>
    </row>
    <row r="45" spans="4:11" x14ac:dyDescent="0.15">
      <c r="D45" s="195">
        <v>1929</v>
      </c>
      <c r="E45" s="19">
        <v>25.437000000000001</v>
      </c>
      <c r="F45" s="23">
        <f t="shared" si="4"/>
        <v>0.38415050000000001</v>
      </c>
      <c r="G45" s="30">
        <f t="shared" si="0"/>
        <v>-5.8882335534634889</v>
      </c>
      <c r="I45" s="23">
        <f t="shared" ca="1" si="6"/>
        <v>2.9395356145523692</v>
      </c>
      <c r="J45" s="23">
        <f t="shared" ca="1" si="5"/>
        <v>0.37813876382586392</v>
      </c>
      <c r="K45" s="30">
        <f t="shared" si="7"/>
        <v>-3.4113051416556455</v>
      </c>
    </row>
    <row r="46" spans="4:11" x14ac:dyDescent="0.15">
      <c r="D46" s="195">
        <v>1930</v>
      </c>
      <c r="E46" s="19">
        <v>26.036999999999999</v>
      </c>
      <c r="F46" s="23">
        <f t="shared" si="4"/>
        <v>0.41018749999999998</v>
      </c>
      <c r="G46" s="30">
        <f t="shared" si="0"/>
        <v>-5.8224656944060138</v>
      </c>
      <c r="I46" s="23">
        <f t="shared" ca="1" si="6"/>
        <v>3.1626147397419118</v>
      </c>
      <c r="J46" s="23">
        <f t="shared" ca="1" si="5"/>
        <v>0.40328653607010911</v>
      </c>
      <c r="K46" s="30">
        <f t="shared" si="7"/>
        <v>-3.3933842295973311</v>
      </c>
    </row>
    <row r="47" spans="4:11" x14ac:dyDescent="0.15">
      <c r="D47" s="195">
        <v>1931</v>
      </c>
      <c r="E47" s="19">
        <v>27.245000000000001</v>
      </c>
      <c r="F47" s="23">
        <f t="shared" si="4"/>
        <v>0.4374325</v>
      </c>
      <c r="G47" s="30">
        <f t="shared" si="0"/>
        <v>-5.7579610137041772</v>
      </c>
      <c r="I47" s="23">
        <f t="shared" ca="1" si="6"/>
        <v>3.1509298143528213</v>
      </c>
      <c r="J47" s="23">
        <f t="shared" ca="1" si="5"/>
        <v>0.43010154783417914</v>
      </c>
      <c r="K47" s="30">
        <f t="shared" si="7"/>
        <v>-3.3757301915136408</v>
      </c>
    </row>
    <row r="48" spans="4:11" x14ac:dyDescent="0.15">
      <c r="D48" s="195">
        <v>1932</v>
      </c>
      <c r="E48" s="19">
        <v>26.376000000000001</v>
      </c>
      <c r="F48" s="23">
        <f t="shared" si="4"/>
        <v>0.46380850000000001</v>
      </c>
      <c r="G48" s="30">
        <f t="shared" si="0"/>
        <v>-5.6992212608983301</v>
      </c>
      <c r="I48" s="23">
        <f t="shared" ca="1" si="6"/>
        <v>2.0678222999758873</v>
      </c>
      <c r="J48" s="23">
        <f t="shared" ca="1" si="5"/>
        <v>0.45869362035086553</v>
      </c>
      <c r="K48" s="30">
        <f t="shared" si="7"/>
        <v>-3.3595866451499505</v>
      </c>
    </row>
    <row r="49" spans="4:11" x14ac:dyDescent="0.15">
      <c r="D49" s="195">
        <v>1933</v>
      </c>
      <c r="E49" s="19">
        <v>28.359000000000002</v>
      </c>
      <c r="F49" s="23">
        <f t="shared" si="4"/>
        <v>0.49216750000000004</v>
      </c>
      <c r="G49" s="30">
        <f t="shared" si="0"/>
        <v>-5.6396691414251654</v>
      </c>
      <c r="I49" s="23">
        <f t="shared" ca="1" si="6"/>
        <v>1.1356946440801039</v>
      </c>
      <c r="J49" s="23">
        <f t="shared" ca="1" si="5"/>
        <v>0.48917971090153006</v>
      </c>
      <c r="K49" s="30">
        <f t="shared" si="7"/>
        <v>-3.3431537207411486</v>
      </c>
    </row>
    <row r="50" spans="4:11" x14ac:dyDescent="0.15">
      <c r="D50" s="195">
        <v>1934</v>
      </c>
      <c r="E50" s="19">
        <v>32.725000000000001</v>
      </c>
      <c r="F50" s="23">
        <f t="shared" si="4"/>
        <v>0.52489249999999998</v>
      </c>
      <c r="G50" s="30">
        <f t="shared" si="0"/>
        <v>-5.5750584254403979</v>
      </c>
      <c r="I50" s="23">
        <f t="shared" ca="1" si="6"/>
        <v>1.1437165735578674</v>
      </c>
      <c r="J50" s="23">
        <f t="shared" ca="1" si="5"/>
        <v>0.52168436305374932</v>
      </c>
      <c r="K50" s="30">
        <f t="shared" si="7"/>
        <v>-3.3252489015013165</v>
      </c>
    </row>
    <row r="51" spans="4:11" x14ac:dyDescent="0.15">
      <c r="D51" s="195">
        <v>1935</v>
      </c>
      <c r="E51" s="19">
        <v>38.031999999999996</v>
      </c>
      <c r="F51" s="23">
        <f t="shared" si="4"/>
        <v>0.56292449999999994</v>
      </c>
      <c r="G51" s="30">
        <f t="shared" si="0"/>
        <v>-5.5048316493809049</v>
      </c>
      <c r="I51" s="23">
        <f t="shared" ca="1" si="6"/>
        <v>2.1954937301179598</v>
      </c>
      <c r="J51" s="23">
        <f t="shared" ca="1" si="5"/>
        <v>0.55634018344710312</v>
      </c>
      <c r="K51" s="30">
        <f t="shared" si="7"/>
        <v>-3.3056971288698724</v>
      </c>
    </row>
    <row r="52" spans="4:11" x14ac:dyDescent="0.15">
      <c r="D52" s="195">
        <v>1936</v>
      </c>
      <c r="E52" s="19">
        <v>39.341999999999999</v>
      </c>
      <c r="F52" s="23">
        <f t="shared" si="4"/>
        <v>0.60226649999999993</v>
      </c>
      <c r="G52" s="30">
        <f t="shared" si="0"/>
        <v>-5.4369928447084437</v>
      </c>
      <c r="I52" s="23">
        <f t="shared" ca="1" si="6"/>
        <v>2.8034619558275153</v>
      </c>
      <c r="J52" s="23">
        <f t="shared" ca="1" si="5"/>
        <v>0.59328834643132533</v>
      </c>
      <c r="K52" s="30">
        <f t="shared" si="7"/>
        <v>-3.2867195933501723</v>
      </c>
    </row>
    <row r="53" spans="4:11" x14ac:dyDescent="0.15">
      <c r="D53" s="195">
        <v>1937</v>
      </c>
      <c r="E53" s="19">
        <v>36.912999999999997</v>
      </c>
      <c r="F53" s="23">
        <f t="shared" si="4"/>
        <v>0.6391794999999999</v>
      </c>
      <c r="G53" s="30">
        <f t="shared" si="0"/>
        <v>-5.3772407563403748</v>
      </c>
      <c r="I53" s="23">
        <f t="shared" ca="1" si="6"/>
        <v>1.908498891576528</v>
      </c>
      <c r="J53" s="23">
        <f t="shared" ca="1" si="5"/>
        <v>0.63267912788656522</v>
      </c>
      <c r="K53" s="30">
        <f t="shared" si="7"/>
        <v>-3.2699297822260531</v>
      </c>
    </row>
    <row r="54" spans="4:11" x14ac:dyDescent="0.15">
      <c r="D54" s="195">
        <v>1938</v>
      </c>
      <c r="E54" s="19">
        <v>31.943000000000001</v>
      </c>
      <c r="F54" s="23">
        <f t="shared" si="4"/>
        <v>0.67112249999999984</v>
      </c>
      <c r="G54" s="30">
        <f t="shared" si="0"/>
        <v>-5.3282434564292069</v>
      </c>
      <c r="I54" s="23">
        <f t="shared" ca="1" si="6"/>
        <v>-0.98526164255781623</v>
      </c>
      <c r="J54" s="23">
        <f t="shared" ca="1" si="5"/>
        <v>0.67467246957482851</v>
      </c>
      <c r="K54" s="30">
        <f t="shared" si="7"/>
        <v>-3.2561094435733251</v>
      </c>
    </row>
    <row r="55" spans="4:11" x14ac:dyDescent="0.15">
      <c r="D55" s="195">
        <v>1939</v>
      </c>
      <c r="E55" s="19">
        <v>38.542000000000002</v>
      </c>
      <c r="F55" s="23">
        <f t="shared" si="4"/>
        <v>0.70966449999999981</v>
      </c>
      <c r="G55" s="30">
        <f t="shared" si="0"/>
        <v>-5.2721240981486721</v>
      </c>
      <c r="I55" s="23">
        <f t="shared" ca="1" si="6"/>
        <v>-2.5553743610144011</v>
      </c>
      <c r="J55" s="23">
        <f t="shared" ca="1" si="5"/>
        <v>0.71943857538344791</v>
      </c>
      <c r="K55" s="30">
        <f t="shared" si="7"/>
        <v>-3.2402215998071826</v>
      </c>
    </row>
    <row r="56" spans="4:11" x14ac:dyDescent="0.15">
      <c r="D56" s="195">
        <v>1940</v>
      </c>
      <c r="E56" s="19">
        <v>46.828000000000003</v>
      </c>
      <c r="F56" s="23">
        <f t="shared" si="4"/>
        <v>0.75649249999999979</v>
      </c>
      <c r="G56" s="30">
        <f t="shared" si="0"/>
        <v>-5.2078850581377942</v>
      </c>
      <c r="I56" s="23">
        <f t="shared" ca="1" si="6"/>
        <v>-2.6164291036811846</v>
      </c>
      <c r="J56" s="23">
        <f t="shared" ca="1" si="5"/>
        <v>0.76715854082407731</v>
      </c>
      <c r="K56" s="30">
        <f t="shared" si="7"/>
        <v>-3.2219575156765092</v>
      </c>
    </row>
    <row r="57" spans="4:11" x14ac:dyDescent="0.15">
      <c r="D57" s="195">
        <v>1941</v>
      </c>
      <c r="E57" s="19">
        <v>58.823</v>
      </c>
      <c r="F57" s="23">
        <f t="shared" si="4"/>
        <v>0.81531549999999975</v>
      </c>
      <c r="G57" s="30">
        <f t="shared" si="0"/>
        <v>-5.1325768462791261</v>
      </c>
      <c r="I57" s="23">
        <f t="shared" ca="1" si="6"/>
        <v>-0.6202576376063007</v>
      </c>
      <c r="J57" s="23">
        <f t="shared" ca="1" si="5"/>
        <v>0.81802501714240661</v>
      </c>
      <c r="K57" s="30">
        <f t="shared" si="7"/>
        <v>-3.2004399732715707</v>
      </c>
    </row>
    <row r="58" spans="4:11" x14ac:dyDescent="0.15">
      <c r="D58" s="195">
        <v>1942</v>
      </c>
      <c r="E58" s="19">
        <v>65.686000000000007</v>
      </c>
      <c r="F58" s="23">
        <f t="shared" si="4"/>
        <v>0.88100149999999977</v>
      </c>
      <c r="G58" s="30">
        <f t="shared" si="0"/>
        <v>-5.0546171178214454</v>
      </c>
      <c r="I58" s="23">
        <f t="shared" ca="1" si="6"/>
        <v>1.8687031279214352</v>
      </c>
      <c r="J58" s="23">
        <f t="shared" ca="1" si="5"/>
        <v>0.8722429113725213</v>
      </c>
      <c r="K58" s="30">
        <f t="shared" si="7"/>
        <v>-3.1780426654795231</v>
      </c>
    </row>
    <row r="59" spans="4:11" x14ac:dyDescent="0.15">
      <c r="D59" s="195">
        <v>1943</v>
      </c>
      <c r="E59" s="19">
        <v>56.686999999999998</v>
      </c>
      <c r="F59" s="23">
        <f t="shared" si="4"/>
        <v>0.93768849999999981</v>
      </c>
      <c r="G59" s="30">
        <f t="shared" si="0"/>
        <v>-4.9918480565195429</v>
      </c>
      <c r="I59" s="23">
        <f t="shared" ca="1" si="6"/>
        <v>1.5344501037570808</v>
      </c>
      <c r="J59" s="23">
        <f t="shared" ca="1" si="5"/>
        <v>0.93003012363324666</v>
      </c>
      <c r="K59" s="30">
        <f t="shared" si="7"/>
        <v>-3.159918315126391</v>
      </c>
    </row>
    <row r="60" spans="4:11" x14ac:dyDescent="0.15">
      <c r="D60" s="195">
        <v>1944</v>
      </c>
      <c r="E60" s="19">
        <v>53.781999999999996</v>
      </c>
      <c r="F60" s="23">
        <f t="shared" si="4"/>
        <v>0.99147049999999981</v>
      </c>
      <c r="G60" s="30">
        <f t="shared" si="0"/>
        <v>-4.9356869657470712</v>
      </c>
      <c r="I60" s="23">
        <f t="shared" ca="1" si="6"/>
        <v>-2.7906553329557937E-2</v>
      </c>
      <c r="J60" s="23">
        <f t="shared" ca="1" si="5"/>
        <v>0.99161832290932095</v>
      </c>
      <c r="K60" s="30">
        <f t="shared" si="7"/>
        <v>-3.1436324004749903</v>
      </c>
    </row>
    <row r="61" spans="4:11" x14ac:dyDescent="0.15">
      <c r="D61" s="195">
        <v>1945</v>
      </c>
      <c r="E61" s="19">
        <v>29.206</v>
      </c>
      <c r="F61" s="23">
        <f t="shared" si="4"/>
        <v>1.0206764999999998</v>
      </c>
      <c r="G61" s="30">
        <f t="shared" si="0"/>
        <v>-4.9064435504418684</v>
      </c>
      <c r="I61" s="23">
        <f t="shared" ca="1" si="6"/>
        <v>-6.5929633411142277</v>
      </c>
      <c r="J61" s="23">
        <f t="shared" ca="1" si="5"/>
        <v>1.0572537624848042</v>
      </c>
      <c r="K61" s="30">
        <f t="shared" si="7"/>
        <v>-3.1351260335018671</v>
      </c>
    </row>
    <row r="62" spans="4:11" x14ac:dyDescent="0.15">
      <c r="D62" s="195">
        <v>1946</v>
      </c>
      <c r="E62" s="19">
        <v>18.898</v>
      </c>
      <c r="F62" s="23">
        <f t="shared" si="4"/>
        <v>1.0395744999999998</v>
      </c>
      <c r="G62" s="30">
        <f t="shared" si="0"/>
        <v>-4.8879606997729228</v>
      </c>
      <c r="I62" s="23">
        <f t="shared" ca="1" si="6"/>
        <v>-15.157891112474317</v>
      </c>
      <c r="J62" s="23"/>
      <c r="K62" s="30">
        <f t="shared" si="7"/>
        <v>-3.1297404215445725</v>
      </c>
    </row>
    <row r="63" spans="4:11" x14ac:dyDescent="0.15">
      <c r="D63" s="195">
        <v>1947</v>
      </c>
      <c r="E63" s="19">
        <v>21.904</v>
      </c>
      <c r="F63" s="23">
        <f t="shared" si="4"/>
        <v>1.0614784999999998</v>
      </c>
      <c r="G63" s="30">
        <f t="shared" si="0"/>
        <v>-4.8669506333026833</v>
      </c>
      <c r="I63" s="23">
        <f t="shared" ca="1" si="6"/>
        <v>-23.253131119195132</v>
      </c>
      <c r="J63" s="23"/>
      <c r="K63" s="30">
        <f t="shared" si="7"/>
        <v>-3.12360965094445</v>
      </c>
    </row>
    <row r="64" spans="4:11" x14ac:dyDescent="0.15">
      <c r="D64" s="195">
        <v>1948</v>
      </c>
      <c r="E64" s="19">
        <v>20.106000000000002</v>
      </c>
      <c r="F64" s="23">
        <f t="shared" si="4"/>
        <v>1.0815844999999997</v>
      </c>
      <c r="G64" s="30">
        <f t="shared" si="0"/>
        <v>-4.8480404857192774</v>
      </c>
      <c r="I64" s="23">
        <f t="shared" ca="1" si="6"/>
        <v>-31.738644962984836</v>
      </c>
      <c r="J64" s="23"/>
      <c r="K64" s="30">
        <f t="shared" si="7"/>
        <v>-3.1180836434002948</v>
      </c>
    </row>
    <row r="65" spans="4:18" x14ac:dyDescent="0.15">
      <c r="D65" s="195">
        <v>1949</v>
      </c>
      <c r="E65" s="19">
        <v>32.43</v>
      </c>
      <c r="F65" s="23">
        <f t="shared" si="4"/>
        <v>1.1140144999999997</v>
      </c>
      <c r="G65" s="30">
        <f t="shared" si="0"/>
        <v>-4.8182622112561626</v>
      </c>
      <c r="I65" s="23">
        <f t="shared" ca="1" si="6"/>
        <v>-38.204297179881905</v>
      </c>
      <c r="J65" s="23"/>
      <c r="K65" s="30">
        <f t="shared" si="7"/>
        <v>-3.1093663000973666</v>
      </c>
    </row>
    <row r="66" spans="4:18" x14ac:dyDescent="0.15">
      <c r="D66" s="195">
        <v>1950</v>
      </c>
      <c r="E66" s="19">
        <v>42.92</v>
      </c>
      <c r="F66" s="23">
        <f t="shared" si="4"/>
        <v>1.1569344999999998</v>
      </c>
      <c r="G66" s="30">
        <f t="shared" si="0"/>
        <v>-4.7801471533797537</v>
      </c>
      <c r="I66" s="23">
        <f t="shared" ca="1" si="6"/>
        <v>-43.120542668770213</v>
      </c>
      <c r="J66" s="23"/>
      <c r="K66" s="30">
        <f t="shared" si="7"/>
        <v>-3.0981808410387046</v>
      </c>
    </row>
    <row r="67" spans="4:18" x14ac:dyDescent="0.15">
      <c r="D67" s="195">
        <v>1951</v>
      </c>
      <c r="E67" s="19">
        <v>53.08</v>
      </c>
      <c r="F67" s="23">
        <f t="shared" si="4"/>
        <v>1.2100144999999998</v>
      </c>
      <c r="G67" s="30">
        <f t="shared" si="0"/>
        <v>-4.7349034202354972</v>
      </c>
      <c r="H67" s="33"/>
      <c r="I67" s="23">
        <f t="shared" ca="1" si="6"/>
        <v>-46.711910579076175</v>
      </c>
      <c r="J67" s="23"/>
      <c r="K67" s="30">
        <f t="shared" si="7"/>
        <v>-3.0848629630748285</v>
      </c>
    </row>
    <row r="68" spans="4:18" x14ac:dyDescent="0.15">
      <c r="D68" s="195">
        <v>1952</v>
      </c>
      <c r="E68" s="19">
        <v>66.489999999999995</v>
      </c>
      <c r="F68" s="23">
        <f t="shared" si="4"/>
        <v>1.2765044999999997</v>
      </c>
      <c r="G68" s="30">
        <f t="shared" si="0"/>
        <v>-4.6809275237573731</v>
      </c>
      <c r="H68" s="33"/>
      <c r="I68" s="23">
        <f t="shared" ca="1" si="6"/>
        <v>-48.680389666579686</v>
      </c>
      <c r="J68" s="23"/>
      <c r="K68" s="30">
        <f t="shared" si="7"/>
        <v>-3.0689170206674401</v>
      </c>
    </row>
    <row r="69" spans="4:18" x14ac:dyDescent="0.15">
      <c r="D69" s="195">
        <v>1953</v>
      </c>
      <c r="E69" s="19">
        <v>69.680000000000007</v>
      </c>
      <c r="F69" s="23">
        <f t="shared" si="4"/>
        <v>1.3461844999999997</v>
      </c>
      <c r="G69" s="30">
        <f t="shared" si="0"/>
        <v>-4.6272725440533424</v>
      </c>
      <c r="H69" s="33"/>
      <c r="I69" s="23">
        <f t="shared" ca="1" si="6"/>
        <v>-52.248682298760286</v>
      </c>
      <c r="J69" s="23"/>
      <c r="K69" s="30">
        <f t="shared" si="7"/>
        <v>-3.0530033242828134</v>
      </c>
    </row>
    <row r="70" spans="4:18" x14ac:dyDescent="0.15">
      <c r="D70" s="195">
        <v>1954</v>
      </c>
      <c r="E70" s="19">
        <v>83.66</v>
      </c>
      <c r="F70" s="23">
        <f t="shared" si="4"/>
        <v>1.4298444999999997</v>
      </c>
      <c r="G70" s="30">
        <f t="shared" si="0"/>
        <v>-4.5663730816756676</v>
      </c>
      <c r="H70" s="33"/>
      <c r="I70" s="23">
        <f t="shared" ca="1" si="6"/>
        <v>-53.280320433070301</v>
      </c>
      <c r="J70" s="23"/>
      <c r="K70" s="30">
        <f t="shared" si="7"/>
        <v>-3.034864916552606</v>
      </c>
    </row>
    <row r="71" spans="4:18" x14ac:dyDescent="0.15">
      <c r="D71" s="195">
        <v>1955</v>
      </c>
      <c r="E71" s="19">
        <v>98.3</v>
      </c>
      <c r="F71" s="23">
        <f t="shared" si="4"/>
        <v>1.5281444999999998</v>
      </c>
      <c r="G71" s="30">
        <f t="shared" si="0"/>
        <v>-4.4991695849028552</v>
      </c>
      <c r="H71" s="33"/>
      <c r="I71" s="23">
        <f t="shared" ca="1" si="6"/>
        <v>-53.176563807558523</v>
      </c>
      <c r="J71" s="23"/>
      <c r="K71" s="30">
        <f t="shared" si="7"/>
        <v>-3.0147544568797033</v>
      </c>
    </row>
    <row r="72" spans="4:18" x14ac:dyDescent="0.15">
      <c r="D72" s="195">
        <v>1956</v>
      </c>
      <c r="E72" s="19">
        <v>110.36</v>
      </c>
      <c r="F72" s="23">
        <f t="shared" si="4"/>
        <v>1.6385044999999998</v>
      </c>
      <c r="G72" s="30">
        <f t="shared" si="0"/>
        <v>-4.4286366417870742</v>
      </c>
      <c r="H72" s="33"/>
      <c r="I72" s="23">
        <f t="shared" ca="1" si="6"/>
        <v>-52.473153738873407</v>
      </c>
      <c r="J72" s="23"/>
      <c r="K72" s="30">
        <f t="shared" si="7"/>
        <v>-2.9935403860606566</v>
      </c>
    </row>
    <row r="73" spans="4:18" x14ac:dyDescent="0.15">
      <c r="D73" s="195">
        <v>1957</v>
      </c>
      <c r="E73" s="19">
        <v>130.72999999999999</v>
      </c>
      <c r="F73" s="23">
        <f t="shared" si="4"/>
        <v>1.7692344999999998</v>
      </c>
      <c r="G73" s="30">
        <f t="shared" si="0"/>
        <v>-4.3509212484241724</v>
      </c>
      <c r="H73" s="33"/>
      <c r="I73" s="23">
        <f t="shared" ca="1" si="6"/>
        <v>-50.476140897404548</v>
      </c>
      <c r="J73" s="23"/>
      <c r="K73" s="30">
        <f t="shared" si="7"/>
        <v>-2.9700379884824422</v>
      </c>
    </row>
    <row r="74" spans="4:18" x14ac:dyDescent="0.15">
      <c r="D74" s="195">
        <v>1958</v>
      </c>
      <c r="E74" s="19">
        <v>270</v>
      </c>
      <c r="F74" s="23">
        <f t="shared" si="4"/>
        <v>2.0392345000000001</v>
      </c>
      <c r="G74" s="30">
        <f t="shared" si="0"/>
        <v>-4.2069239104979186</v>
      </c>
      <c r="H74" s="33"/>
      <c r="I74" s="23">
        <f t="shared" ca="1" si="6"/>
        <v>-36.541348562519488</v>
      </c>
      <c r="J74" s="23"/>
      <c r="K74" s="30">
        <f t="shared" si="7"/>
        <v>-2.9261331243298105</v>
      </c>
    </row>
    <row r="75" spans="4:18" x14ac:dyDescent="0.15">
      <c r="D75" s="195">
        <v>1959</v>
      </c>
      <c r="E75" s="19">
        <v>368.79</v>
      </c>
      <c r="F75" s="23">
        <f t="shared" si="4"/>
        <v>2.4080245000000002</v>
      </c>
      <c r="G75" s="30">
        <f t="shared" si="0"/>
        <v>-4.0379948708144653</v>
      </c>
      <c r="H75" s="33"/>
      <c r="I75" s="23">
        <f t="shared" ca="1" si="6"/>
        <v>-18.116205802130935</v>
      </c>
      <c r="J75" s="23"/>
      <c r="K75" s="30">
        <f t="shared" si="7"/>
        <v>-2.8740291504009625</v>
      </c>
    </row>
    <row r="76" spans="4:18" x14ac:dyDescent="0.15">
      <c r="D76" s="195">
        <v>1960</v>
      </c>
      <c r="E76" s="19">
        <v>397.21</v>
      </c>
      <c r="F76" s="23">
        <f t="shared" si="4"/>
        <v>2.8052345000000001</v>
      </c>
      <c r="G76" s="30">
        <f t="shared" ref="G76:G125" si="8" xml:space="preserve"> - LN(F$1/F76 - 1)</f>
        <v>-3.8824016225375297</v>
      </c>
      <c r="H76" s="33"/>
      <c r="I76" s="23">
        <f t="shared" ref="I76:I107" ca="1" si="9" xml:space="preserve"> (G76/LN(81)*IF(D76&lt;AVERAGE(E$7,E$3),F$5-E$5,F$2-E$2) - D76 + IF(D76&lt;AVERAGE(E$7,E$3),AVERAGE(E$5:F$5),AVERAGE(E$2:F$2)))*12</f>
        <v>-2.0929198102785449</v>
      </c>
      <c r="J76" s="23">
        <f t="shared" ref="J76:J107" ca="1" si="10">F$1/(1+EXP((IF(D76&lt;E$3,AVERAGE(E$5:F$5),AVERAGE(E$2:F$2))-D76)*LN(81)/IF(D76&lt;E$3,F$5-E$5,F$2-E$2)))</f>
        <v>2.8373534015200792</v>
      </c>
      <c r="K76" s="30">
        <f t="shared" ref="K76:K107" si="11">NORMSINV(F76/F$8)</f>
        <v>-2.8254638374101448</v>
      </c>
    </row>
    <row r="77" spans="4:18" x14ac:dyDescent="0.15">
      <c r="D77" s="195">
        <v>1961</v>
      </c>
      <c r="E77" s="19">
        <v>277.62</v>
      </c>
      <c r="F77" s="23">
        <f t="shared" ref="F77:F125" si="12">F76+E77/1000</f>
        <v>3.0828544999999998</v>
      </c>
      <c r="G77" s="30">
        <f t="shared" si="8"/>
        <v>-3.7859919176881949</v>
      </c>
      <c r="H77" s="34"/>
      <c r="I77" s="23">
        <f t="shared" ca="1" si="9"/>
        <v>3.2710517071373033</v>
      </c>
      <c r="J77" s="23">
        <f t="shared" ca="1" si="10"/>
        <v>3.0285788197439945</v>
      </c>
      <c r="K77" s="30">
        <f t="shared" si="11"/>
        <v>-2.795094330970453</v>
      </c>
      <c r="L77" s="34"/>
      <c r="M77" s="34"/>
      <c r="N77" s="34"/>
      <c r="O77" s="34"/>
      <c r="P77" s="34"/>
      <c r="Q77" s="34"/>
      <c r="R77" s="34"/>
    </row>
    <row r="78" spans="4:18" x14ac:dyDescent="0.15">
      <c r="D78" s="195">
        <v>1962</v>
      </c>
      <c r="E78" s="19">
        <v>219.55</v>
      </c>
      <c r="F78" s="23">
        <f t="shared" si="12"/>
        <v>3.3024044999999997</v>
      </c>
      <c r="G78" s="30">
        <f t="shared" si="8"/>
        <v>-3.7155800835659187</v>
      </c>
      <c r="H78" s="34"/>
      <c r="I78" s="23">
        <f t="shared" ca="1" si="9"/>
        <v>3.9526493128851143</v>
      </c>
      <c r="J78" s="23">
        <f t="shared" ca="1" si="10"/>
        <v>3.2323860037308503</v>
      </c>
      <c r="K78" s="30">
        <f t="shared" si="11"/>
        <v>-2.7727804230700013</v>
      </c>
      <c r="L78" s="34"/>
      <c r="M78" s="34"/>
      <c r="N78" s="34"/>
      <c r="O78" s="34"/>
      <c r="P78" s="34"/>
      <c r="Q78" s="34"/>
      <c r="R78" s="34"/>
    </row>
    <row r="79" spans="4:18" x14ac:dyDescent="0.15">
      <c r="D79" s="195">
        <v>1963</v>
      </c>
      <c r="E79" s="19">
        <v>217.07</v>
      </c>
      <c r="F79" s="23">
        <f t="shared" si="12"/>
        <v>3.5194744999999998</v>
      </c>
      <c r="G79" s="30">
        <f t="shared" si="8"/>
        <v>-3.6503179765256544</v>
      </c>
      <c r="H79" s="34"/>
      <c r="I79" s="23">
        <f t="shared" ca="1" si="9"/>
        <v>3.7067498941969461</v>
      </c>
      <c r="J79" s="23">
        <f t="shared" ca="1" si="10"/>
        <v>3.4495603047832852</v>
      </c>
      <c r="K79" s="30">
        <f t="shared" si="11"/>
        <v>-2.7519978669354992</v>
      </c>
      <c r="L79" s="34"/>
      <c r="M79" s="34"/>
      <c r="N79" s="34"/>
      <c r="O79" s="34"/>
      <c r="P79" s="34"/>
      <c r="Q79" s="34"/>
      <c r="R79" s="34"/>
    </row>
    <row r="80" spans="4:18" x14ac:dyDescent="0.15">
      <c r="D80" s="195">
        <v>1964</v>
      </c>
      <c r="E80" s="19">
        <v>214.57</v>
      </c>
      <c r="F80" s="23">
        <f t="shared" si="12"/>
        <v>3.7340445</v>
      </c>
      <c r="G80" s="30">
        <f t="shared" si="8"/>
        <v>-3.5895523626070194</v>
      </c>
      <c r="H80" s="34"/>
      <c r="I80" s="23">
        <f t="shared" ca="1" si="9"/>
        <v>2.6510048420823296</v>
      </c>
      <c r="J80" s="23">
        <f t="shared" ca="1" si="10"/>
        <v>3.6809302172936453</v>
      </c>
      <c r="K80" s="30">
        <f t="shared" si="11"/>
        <v>-2.7325604973217068</v>
      </c>
      <c r="L80" s="34"/>
      <c r="M80" s="34"/>
      <c r="N80" s="34"/>
      <c r="O80" s="34"/>
      <c r="P80" s="34"/>
      <c r="Q80" s="34"/>
      <c r="R80" s="34"/>
    </row>
    <row r="81" spans="3:18" x14ac:dyDescent="0.15">
      <c r="D81" s="195">
        <v>1965</v>
      </c>
      <c r="E81" s="19">
        <v>231.8</v>
      </c>
      <c r="F81" s="23">
        <f t="shared" si="12"/>
        <v>3.9658445000000002</v>
      </c>
      <c r="G81" s="30">
        <f t="shared" si="8"/>
        <v>-3.5276100321842412</v>
      </c>
      <c r="H81" s="34"/>
      <c r="I81" s="23">
        <f t="shared" ca="1" si="9"/>
        <v>1.8071935563239094</v>
      </c>
      <c r="J81" s="23">
        <f t="shared" ca="1" si="10"/>
        <v>3.9273689254491511</v>
      </c>
      <c r="K81" s="30">
        <f t="shared" si="11"/>
        <v>-2.7126610805942857</v>
      </c>
      <c r="L81" s="34"/>
      <c r="M81" s="34"/>
      <c r="N81" s="34"/>
      <c r="O81" s="34"/>
      <c r="P81" s="34"/>
      <c r="Q81" s="34"/>
      <c r="R81" s="34"/>
    </row>
    <row r="82" spans="3:18" x14ac:dyDescent="0.15">
      <c r="D82" s="195">
        <v>1966</v>
      </c>
      <c r="E82" s="19">
        <v>251.47</v>
      </c>
      <c r="F82" s="23">
        <f t="shared" si="12"/>
        <v>4.2173145000000005</v>
      </c>
      <c r="G82" s="30">
        <f t="shared" si="8"/>
        <v>-3.4642659252875352</v>
      </c>
      <c r="H82" s="34"/>
      <c r="I82" s="23">
        <f t="shared" ca="1" si="9"/>
        <v>1.2158507000149257</v>
      </c>
      <c r="J82" s="23">
        <f t="shared" ca="1" si="10"/>
        <v>4.1897957816657163</v>
      </c>
      <c r="K82" s="30">
        <f t="shared" si="11"/>
        <v>-2.6922224597796882</v>
      </c>
      <c r="L82" s="34"/>
      <c r="M82" s="34"/>
      <c r="N82" s="34"/>
      <c r="O82" s="34"/>
      <c r="P82" s="34"/>
      <c r="Q82" s="34"/>
      <c r="R82" s="34"/>
    </row>
    <row r="83" spans="3:18" x14ac:dyDescent="0.15">
      <c r="D83" s="195">
        <v>1967</v>
      </c>
      <c r="E83" s="19">
        <v>205.7</v>
      </c>
      <c r="F83" s="23">
        <f t="shared" si="12"/>
        <v>4.4230145000000007</v>
      </c>
      <c r="G83" s="30">
        <f t="shared" si="8"/>
        <v>-3.4151153683571018</v>
      </c>
      <c r="H83" s="34"/>
      <c r="I83" s="23">
        <f t="shared" ca="1" si="9"/>
        <v>-1.9318364343962457</v>
      </c>
      <c r="J83" s="23">
        <f t="shared" ca="1" si="10"/>
        <v>4.4691776928355615</v>
      </c>
      <c r="K83" s="30">
        <f t="shared" si="11"/>
        <v>-2.6763020529850916</v>
      </c>
      <c r="L83" s="34"/>
      <c r="M83" s="34"/>
      <c r="N83" s="34"/>
      <c r="O83" s="34"/>
      <c r="P83" s="34"/>
      <c r="Q83" s="34"/>
      <c r="R83" s="34"/>
    </row>
    <row r="84" spans="3:18" x14ac:dyDescent="0.15">
      <c r="D84" s="195">
        <v>1968</v>
      </c>
      <c r="E84" s="19">
        <v>219.59</v>
      </c>
      <c r="F84" s="23">
        <f t="shared" si="12"/>
        <v>4.6426045000000009</v>
      </c>
      <c r="G84" s="30">
        <f t="shared" si="8"/>
        <v>-3.3650279578058915</v>
      </c>
      <c r="H84" s="34"/>
      <c r="I84" s="23">
        <f t="shared" ca="1" si="9"/>
        <v>-4.9107905599030346</v>
      </c>
      <c r="J84" s="23">
        <f t="shared" ca="1" si="10"/>
        <v>4.7665303871896052</v>
      </c>
      <c r="K84" s="30">
        <f t="shared" si="11"/>
        <v>-2.6600233570421743</v>
      </c>
      <c r="L84" s="34"/>
      <c r="M84" s="34"/>
      <c r="N84" s="34"/>
      <c r="O84" s="34"/>
      <c r="P84" s="34"/>
      <c r="Q84" s="34"/>
      <c r="R84" s="34"/>
    </row>
    <row r="85" spans="3:18" x14ac:dyDescent="0.15">
      <c r="D85" s="195">
        <v>1969</v>
      </c>
      <c r="E85" s="19">
        <v>265.95</v>
      </c>
      <c r="F85" s="23">
        <f t="shared" si="12"/>
        <v>4.908554500000001</v>
      </c>
      <c r="G85" s="30">
        <f t="shared" si="8"/>
        <v>-3.3073422016750067</v>
      </c>
      <c r="H85" s="34"/>
      <c r="I85" s="23">
        <f t="shared" ca="1" si="9"/>
        <v>-6.5212366453606592</v>
      </c>
      <c r="J85" s="23">
        <f t="shared" ca="1" si="10"/>
        <v>5.08291953103108</v>
      </c>
      <c r="K85" s="30">
        <f t="shared" si="11"/>
        <v>-2.6412071866346922</v>
      </c>
      <c r="L85" s="34"/>
      <c r="M85" s="34"/>
      <c r="N85" s="34"/>
      <c r="O85" s="34"/>
      <c r="P85" s="34"/>
      <c r="Q85" s="34"/>
      <c r="R85" s="34"/>
    </row>
    <row r="86" spans="3:18" x14ac:dyDescent="0.15">
      <c r="D86" s="195">
        <v>1970</v>
      </c>
      <c r="E86" s="19">
        <v>353.99</v>
      </c>
      <c r="F86" s="23">
        <f t="shared" si="12"/>
        <v>5.2625445000000006</v>
      </c>
      <c r="G86" s="30">
        <f t="shared" si="8"/>
        <v>-3.2350631101236536</v>
      </c>
      <c r="H86" s="34"/>
      <c r="I86" s="23">
        <f t="shared" ca="1" si="9"/>
        <v>-5.5033346720701957</v>
      </c>
      <c r="J86" s="23">
        <f t="shared" ca="1" si="10"/>
        <v>5.4194616608014252</v>
      </c>
      <c r="K86" s="30">
        <f t="shared" si="11"/>
        <v>-2.6175294334509149</v>
      </c>
      <c r="L86" s="34"/>
      <c r="M86" s="34"/>
      <c r="N86" s="34"/>
      <c r="O86" s="34"/>
      <c r="P86" s="34"/>
      <c r="Q86" s="34"/>
      <c r="R86" s="34"/>
    </row>
    <row r="87" spans="3:18" x14ac:dyDescent="0.15">
      <c r="D87" s="195">
        <v>1971</v>
      </c>
      <c r="E87" s="19">
        <v>392.3</v>
      </c>
      <c r="F87" s="23">
        <f t="shared" si="12"/>
        <v>5.6548445000000003</v>
      </c>
      <c r="G87" s="30">
        <f t="shared" si="8"/>
        <v>-3.1602268929027719</v>
      </c>
      <c r="H87" s="34"/>
      <c r="I87" s="23">
        <f t="shared" ca="1" si="9"/>
        <v>-4.0248788846029129</v>
      </c>
      <c r="J87" s="23">
        <f t="shared" ca="1" si="10"/>
        <v>5.7773248919114533</v>
      </c>
      <c r="K87" s="30">
        <f t="shared" si="11"/>
        <v>-2.5928969752908659</v>
      </c>
      <c r="L87" s="34"/>
      <c r="M87" s="34"/>
      <c r="N87" s="34"/>
      <c r="O87" s="34"/>
      <c r="P87" s="34"/>
      <c r="Q87" s="34"/>
      <c r="R87" s="34"/>
    </row>
    <row r="88" spans="3:18" x14ac:dyDescent="0.15">
      <c r="D88" s="195">
        <v>1972</v>
      </c>
      <c r="E88" s="19">
        <v>410.47</v>
      </c>
      <c r="F88" s="23">
        <f t="shared" si="12"/>
        <v>6.0653145000000004</v>
      </c>
      <c r="G88" s="30">
        <f t="shared" si="8"/>
        <v>-3.0870694867324202</v>
      </c>
      <c r="H88" s="34"/>
      <c r="I88" s="23">
        <f t="shared" ca="1" si="9"/>
        <v>-2.8487871310280752</v>
      </c>
      <c r="J88" s="23">
        <f t="shared" ca="1" si="10"/>
        <v>6.1577293615384763</v>
      </c>
      <c r="K88" s="30">
        <f t="shared" si="11"/>
        <v>-2.5687043610180038</v>
      </c>
      <c r="L88" s="34"/>
      <c r="M88" s="34"/>
      <c r="N88" s="34"/>
      <c r="O88" s="34"/>
      <c r="P88" s="34"/>
      <c r="Q88" s="34"/>
      <c r="R88" s="34"/>
    </row>
    <row r="89" spans="3:18" x14ac:dyDescent="0.15">
      <c r="D89" s="195">
        <v>1973</v>
      </c>
      <c r="E89" s="19">
        <v>416.97</v>
      </c>
      <c r="F89" s="23">
        <f t="shared" si="12"/>
        <v>6.4822845000000004</v>
      </c>
      <c r="G89" s="30">
        <f t="shared" si="8"/>
        <v>-3.0174406696182272</v>
      </c>
      <c r="H89" s="34"/>
      <c r="I89" s="23">
        <f t="shared" ca="1" si="9"/>
        <v>-2.3082156288992337</v>
      </c>
      <c r="J89" s="23">
        <f t="shared" ca="1" si="10"/>
        <v>6.5619473581954493</v>
      </c>
      <c r="K89" s="30">
        <f t="shared" si="11"/>
        <v>-2.5455775562876539</v>
      </c>
      <c r="L89" s="34"/>
      <c r="M89" s="34"/>
      <c r="N89" s="34"/>
      <c r="O89" s="34"/>
      <c r="P89" s="34"/>
      <c r="Q89" s="34"/>
      <c r="R89" s="34"/>
    </row>
    <row r="90" spans="3:18" x14ac:dyDescent="0.15">
      <c r="D90" s="195">
        <v>1974</v>
      </c>
      <c r="E90" s="19">
        <v>413.17</v>
      </c>
      <c r="F90" s="23">
        <f t="shared" si="12"/>
        <v>6.8954545000000005</v>
      </c>
      <c r="G90" s="30">
        <f t="shared" si="8"/>
        <v>-2.9525278858953126</v>
      </c>
      <c r="H90" s="34"/>
      <c r="I90" s="23">
        <f t="shared" ca="1" si="9"/>
        <v>-2.617030291879928</v>
      </c>
      <c r="J90" s="23">
        <f t="shared" ca="1" si="10"/>
        <v>6.9913030863774148</v>
      </c>
      <c r="K90" s="30">
        <f t="shared" si="11"/>
        <v>-2.5239307261343473</v>
      </c>
      <c r="L90" s="34"/>
      <c r="M90" s="34"/>
      <c r="N90" s="34"/>
      <c r="O90" s="34"/>
      <c r="P90" s="34"/>
      <c r="Q90" s="34"/>
      <c r="R90" s="34"/>
    </row>
    <row r="91" spans="3:18" x14ac:dyDescent="0.15">
      <c r="D91" s="195">
        <v>1975</v>
      </c>
      <c r="E91" s="19">
        <v>482.24</v>
      </c>
      <c r="F91" s="23">
        <f t="shared" si="12"/>
        <v>7.3776945000000005</v>
      </c>
      <c r="G91" s="30">
        <f t="shared" si="8"/>
        <v>-2.8812712546427308</v>
      </c>
      <c r="H91" s="34"/>
      <c r="I91" s="23">
        <f t="shared" ca="1" si="9"/>
        <v>-1.7832796084758229</v>
      </c>
      <c r="J91" s="23">
        <f t="shared" ca="1" si="10"/>
        <v>7.4471720100582752</v>
      </c>
      <c r="K91" s="30">
        <f t="shared" si="11"/>
        <v>-2.5000752904558139</v>
      </c>
      <c r="L91" s="34"/>
      <c r="M91" s="34"/>
      <c r="N91" s="34"/>
      <c r="O91" s="34"/>
      <c r="P91" s="34"/>
      <c r="Q91" s="34"/>
      <c r="R91" s="34"/>
    </row>
    <row r="92" spans="3:18" x14ac:dyDescent="0.15">
      <c r="D92" s="195">
        <v>1976</v>
      </c>
      <c r="E92" s="19">
        <v>483.45</v>
      </c>
      <c r="F92" s="23">
        <f t="shared" si="12"/>
        <v>7.8611445000000009</v>
      </c>
      <c r="G92" s="30">
        <f t="shared" si="8"/>
        <v>-2.8141197154910587</v>
      </c>
      <c r="H92" s="34"/>
      <c r="I92" s="23">
        <f t="shared" ca="1" si="9"/>
        <v>-1.688880865088322</v>
      </c>
      <c r="J92" s="23">
        <f t="shared" ca="1" si="10"/>
        <v>7.9309797143418548</v>
      </c>
      <c r="K92" s="30">
        <f t="shared" si="11"/>
        <v>-2.4775081182164072</v>
      </c>
      <c r="L92" s="34"/>
      <c r="M92" s="34"/>
      <c r="N92" s="34"/>
      <c r="O92" s="34"/>
      <c r="P92" s="34"/>
      <c r="Q92" s="34"/>
      <c r="R92" s="34"/>
    </row>
    <row r="93" spans="3:18" x14ac:dyDescent="0.15">
      <c r="D93" s="195">
        <v>1977</v>
      </c>
      <c r="E93" s="19">
        <v>550.67999999999995</v>
      </c>
      <c r="F93" s="23">
        <f t="shared" si="12"/>
        <v>8.4118245000000016</v>
      </c>
      <c r="G93" s="30">
        <f t="shared" si="8"/>
        <v>-2.7422046091557553</v>
      </c>
      <c r="H93" s="34"/>
      <c r="I93" s="23">
        <f t="shared" ca="1" si="9"/>
        <v>-0.73653483281304943</v>
      </c>
      <c r="J93" s="23">
        <f t="shared" ca="1" si="10"/>
        <v>8.4442002202826316</v>
      </c>
      <c r="K93" s="30">
        <f t="shared" si="11"/>
        <v>-2.4532513767976898</v>
      </c>
      <c r="L93" s="34"/>
      <c r="M93" s="34"/>
      <c r="N93" s="34"/>
      <c r="O93" s="34"/>
      <c r="P93" s="34"/>
      <c r="Q93" s="34"/>
      <c r="R93" s="34"/>
    </row>
    <row r="94" spans="3:18" x14ac:dyDescent="0.15">
      <c r="D94" s="195">
        <v>1978</v>
      </c>
      <c r="E94" s="19">
        <v>617.86</v>
      </c>
      <c r="F94" s="23">
        <f t="shared" si="12"/>
        <v>9.0296845000000019</v>
      </c>
      <c r="G94" s="30">
        <f t="shared" si="8"/>
        <v>-2.6665820073233557</v>
      </c>
      <c r="H94" s="34"/>
      <c r="I94" s="23">
        <f t="shared" ca="1" si="9"/>
        <v>0.88355358404169237</v>
      </c>
      <c r="J94" s="23">
        <f t="shared" ca="1" si="10"/>
        <v>8.9883536839274143</v>
      </c>
      <c r="K94" s="30">
        <f t="shared" si="11"/>
        <v>-2.4276500807019215</v>
      </c>
      <c r="L94" s="34"/>
      <c r="M94" s="34"/>
      <c r="N94" s="34"/>
      <c r="O94" s="34"/>
      <c r="P94" s="34"/>
      <c r="Q94" s="34"/>
      <c r="R94" s="34"/>
    </row>
    <row r="95" spans="3:18" x14ac:dyDescent="0.15">
      <c r="D95" s="195">
        <v>1979</v>
      </c>
      <c r="E95" s="19">
        <v>635.54</v>
      </c>
      <c r="F95" s="23">
        <f t="shared" si="12"/>
        <v>9.6652245000000025</v>
      </c>
      <c r="G95" s="30">
        <f t="shared" si="8"/>
        <v>-2.5936621985578121</v>
      </c>
      <c r="H95" s="34"/>
      <c r="I95" s="23">
        <f t="shared" ca="1" si="9"/>
        <v>2.0168526065726837</v>
      </c>
      <c r="J95" s="23">
        <f t="shared" ca="1" si="10"/>
        <v>9.5650034071603702</v>
      </c>
      <c r="K95" s="30">
        <f t="shared" si="11"/>
        <v>-2.4028779774368347</v>
      </c>
      <c r="L95" s="34"/>
      <c r="M95" s="34"/>
      <c r="N95" s="34"/>
      <c r="O95" s="34"/>
      <c r="P95" s="34"/>
      <c r="Q95" s="34"/>
      <c r="R95" s="34"/>
    </row>
    <row r="96" spans="3:18" x14ac:dyDescent="0.15">
      <c r="C96" s="129"/>
      <c r="D96" s="195">
        <v>1980</v>
      </c>
      <c r="E96" s="19">
        <v>620.13</v>
      </c>
      <c r="F96" s="23">
        <f t="shared" si="12"/>
        <v>10.285354500000002</v>
      </c>
      <c r="G96" s="30">
        <f t="shared" si="8"/>
        <v>-2.526668250424295</v>
      </c>
      <c r="H96" s="34"/>
      <c r="I96" s="23">
        <f t="shared" ca="1" si="9"/>
        <v>2.0828682535202461</v>
      </c>
      <c r="J96" s="23">
        <f t="shared" ca="1" si="10"/>
        <v>10.175752085161591</v>
      </c>
      <c r="K96" s="30">
        <f t="shared" si="11"/>
        <v>-2.380049858957531</v>
      </c>
      <c r="L96" s="34"/>
      <c r="M96" s="34"/>
      <c r="N96" s="34"/>
      <c r="O96" s="34"/>
      <c r="P96" s="34"/>
      <c r="Q96" s="34"/>
      <c r="R96" s="34"/>
    </row>
    <row r="97" spans="3:18" x14ac:dyDescent="0.15">
      <c r="C97" s="129"/>
      <c r="D97" s="195">
        <v>1981</v>
      </c>
      <c r="E97" s="19">
        <v>616.5</v>
      </c>
      <c r="F97" s="23">
        <f t="shared" si="12"/>
        <v>10.901854500000002</v>
      </c>
      <c r="G97" s="30">
        <f t="shared" si="8"/>
        <v>-2.463654151936836</v>
      </c>
      <c r="H97" s="34"/>
      <c r="I97" s="23">
        <f t="shared" ca="1" si="9"/>
        <v>1.4320888848033064</v>
      </c>
      <c r="J97" s="23">
        <f t="shared" ca="1" si="10"/>
        <v>10.822237213445943</v>
      </c>
      <c r="K97" s="30">
        <f t="shared" si="11"/>
        <v>-2.3585220877337707</v>
      </c>
      <c r="L97" s="34"/>
      <c r="M97" s="34"/>
      <c r="N97" s="34"/>
      <c r="O97" s="34"/>
      <c r="P97" s="34"/>
      <c r="Q97" s="34"/>
      <c r="R97" s="34"/>
    </row>
    <row r="98" spans="3:18" x14ac:dyDescent="0.15">
      <c r="C98" s="129"/>
      <c r="D98" s="195">
        <v>1982</v>
      </c>
      <c r="E98" s="19">
        <v>666.32</v>
      </c>
      <c r="F98" s="23">
        <f t="shared" si="12"/>
        <v>11.568174500000003</v>
      </c>
      <c r="G98" s="30">
        <f t="shared" si="8"/>
        <v>-2.3991130056702175</v>
      </c>
      <c r="H98" s="34"/>
      <c r="I98" s="23">
        <f t="shared" ca="1" si="9"/>
        <v>1.0563400660130355</v>
      </c>
      <c r="J98" s="23">
        <f t="shared" ca="1" si="10"/>
        <v>11.506125576798274</v>
      </c>
      <c r="K98" s="30">
        <f t="shared" si="11"/>
        <v>-2.3364214464338016</v>
      </c>
      <c r="L98" s="34"/>
      <c r="M98" s="34"/>
      <c r="N98" s="34"/>
      <c r="O98" s="34"/>
      <c r="P98" s="34"/>
      <c r="Q98" s="34"/>
      <c r="R98" s="34"/>
    </row>
    <row r="99" spans="3:18" x14ac:dyDescent="0.15">
      <c r="C99" s="129"/>
      <c r="D99" s="195">
        <v>1983</v>
      </c>
      <c r="E99" s="19">
        <v>714.53</v>
      </c>
      <c r="F99" s="23">
        <f t="shared" si="12"/>
        <v>12.282704500000003</v>
      </c>
      <c r="G99" s="30">
        <f t="shared" si="8"/>
        <v>-2.3335544983616936</v>
      </c>
      <c r="H99" s="34"/>
      <c r="I99" s="23">
        <f t="shared" ca="1" si="9"/>
        <v>0.86382413007413561</v>
      </c>
      <c r="J99" s="23">
        <f t="shared" ca="1" si="10"/>
        <v>12.229106743255903</v>
      </c>
      <c r="K99" s="30">
        <f t="shared" si="11"/>
        <v>-2.3139248574344937</v>
      </c>
      <c r="L99" s="34"/>
      <c r="M99" s="34"/>
      <c r="N99" s="34"/>
      <c r="O99" s="34"/>
      <c r="P99" s="34"/>
      <c r="Q99" s="34"/>
      <c r="R99" s="34"/>
    </row>
    <row r="100" spans="3:18" x14ac:dyDescent="0.15">
      <c r="C100" s="129"/>
      <c r="D100" s="195">
        <v>1984</v>
      </c>
      <c r="E100" s="19">
        <v>789.23</v>
      </c>
      <c r="F100" s="23">
        <f t="shared" si="12"/>
        <v>13.071934500000003</v>
      </c>
      <c r="G100" s="30">
        <f t="shared" si="8"/>
        <v>-2.2650300267620578</v>
      </c>
      <c r="H100" s="34"/>
      <c r="I100" s="23">
        <f t="shared" ca="1" si="9"/>
        <v>1.2054963192122159</v>
      </c>
      <c r="J100" s="23">
        <f t="shared" ca="1" si="10"/>
        <v>12.992885488932041</v>
      </c>
      <c r="K100" s="30">
        <f t="shared" si="11"/>
        <v>-2.2903657749037656</v>
      </c>
      <c r="L100" s="34"/>
      <c r="M100" s="34"/>
      <c r="N100" s="34"/>
      <c r="O100" s="34"/>
      <c r="P100" s="34"/>
      <c r="Q100" s="34"/>
      <c r="R100" s="34"/>
    </row>
    <row r="101" spans="3:18" x14ac:dyDescent="0.15">
      <c r="C101" s="129"/>
      <c r="D101" s="195">
        <v>1985</v>
      </c>
      <c r="E101" s="19">
        <v>872.28</v>
      </c>
      <c r="F101" s="23">
        <f t="shared" si="12"/>
        <v>13.944214500000003</v>
      </c>
      <c r="G101" s="30">
        <f t="shared" si="8"/>
        <v>-2.1934804618316757</v>
      </c>
      <c r="H101" s="39"/>
      <c r="I101" s="23">
        <f t="shared" ca="1" si="9"/>
        <v>2.0920061314391205</v>
      </c>
      <c r="J101" s="23">
        <f t="shared" ca="1" si="10"/>
        <v>13.799173084266124</v>
      </c>
      <c r="K101" s="30">
        <f t="shared" si="11"/>
        <v>-2.2657258666547637</v>
      </c>
      <c r="L101" s="39"/>
      <c r="M101" s="39"/>
      <c r="N101" s="39"/>
      <c r="O101" s="39"/>
      <c r="P101" s="39"/>
      <c r="Q101" s="39"/>
      <c r="R101" s="39"/>
    </row>
    <row r="102" spans="3:18" x14ac:dyDescent="0.15">
      <c r="C102" s="129"/>
      <c r="D102" s="195">
        <v>1986</v>
      </c>
      <c r="E102" s="19">
        <v>894</v>
      </c>
      <c r="F102" s="23">
        <f t="shared" si="12"/>
        <v>14.838214500000003</v>
      </c>
      <c r="G102" s="30">
        <f t="shared" si="8"/>
        <v>-2.1241632077608448</v>
      </c>
      <c r="H102" s="39"/>
      <c r="I102" s="23">
        <f t="shared" ca="1" si="9"/>
        <v>2.5764632432219514</v>
      </c>
      <c r="J102" s="23">
        <f t="shared" ca="1" si="10"/>
        <v>14.649677379587898</v>
      </c>
      <c r="K102" s="30">
        <f t="shared" si="11"/>
        <v>-2.2418235491562961</v>
      </c>
      <c r="L102" s="39"/>
      <c r="M102" s="39"/>
      <c r="N102" s="39"/>
      <c r="O102" s="39"/>
      <c r="P102" s="39"/>
      <c r="Q102" s="39"/>
      <c r="R102" s="39"/>
    </row>
    <row r="103" spans="3:18" x14ac:dyDescent="0.15">
      <c r="C103" s="129"/>
      <c r="D103" s="195">
        <v>1987</v>
      </c>
      <c r="E103" s="19">
        <v>928</v>
      </c>
      <c r="F103" s="23">
        <f t="shared" si="12"/>
        <v>15.766214500000004</v>
      </c>
      <c r="G103" s="30">
        <f t="shared" si="8"/>
        <v>-2.0559959741481486</v>
      </c>
      <c r="H103" s="34"/>
      <c r="I103" s="23">
        <f t="shared" ca="1" si="9"/>
        <v>2.8537947081576931</v>
      </c>
      <c r="J103" s="23">
        <f t="shared" ca="1" si="10"/>
        <v>15.546091638052454</v>
      </c>
      <c r="K103" s="30">
        <f t="shared" si="11"/>
        <v>-2.2182967359048935</v>
      </c>
      <c r="L103" s="34"/>
      <c r="M103" s="34"/>
      <c r="N103" s="34"/>
      <c r="O103" s="34"/>
      <c r="P103" s="34"/>
      <c r="Q103" s="34"/>
      <c r="R103" s="34"/>
    </row>
    <row r="104" spans="3:18" x14ac:dyDescent="0.15">
      <c r="C104" s="129"/>
      <c r="D104" s="195">
        <v>1988</v>
      </c>
      <c r="E104" s="19">
        <v>979.9</v>
      </c>
      <c r="F104" s="23">
        <f t="shared" si="12"/>
        <v>16.746114500000004</v>
      </c>
      <c r="G104" s="30">
        <f t="shared" si="8"/>
        <v>-1.9877139582492027</v>
      </c>
      <c r="H104" s="34"/>
      <c r="I104" s="23">
        <f t="shared" ca="1" si="9"/>
        <v>3.1517991577511566</v>
      </c>
      <c r="J104" s="23">
        <f t="shared" ca="1" si="10"/>
        <v>16.490082077394383</v>
      </c>
      <c r="K104" s="30">
        <f t="shared" si="11"/>
        <v>-2.1947186997198762</v>
      </c>
    </row>
    <row r="105" spans="3:18" x14ac:dyDescent="0.15">
      <c r="C105" s="129"/>
      <c r="D105" s="195">
        <v>1989</v>
      </c>
      <c r="E105" s="19">
        <v>1054.1500000000001</v>
      </c>
      <c r="F105" s="23">
        <f t="shared" si="12"/>
        <v>17.800264500000004</v>
      </c>
      <c r="G105" s="30">
        <f t="shared" si="8"/>
        <v>-1.9180049719248715</v>
      </c>
      <c r="H105" s="34"/>
      <c r="I105" s="23">
        <f t="shared" ca="1" si="9"/>
        <v>3.7068096199800493</v>
      </c>
      <c r="J105" s="23">
        <f t="shared" ca="1" si="10"/>
        <v>17.483274098883697</v>
      </c>
      <c r="K105" s="30">
        <f t="shared" si="11"/>
        <v>-2.1706462720060435</v>
      </c>
    </row>
    <row r="106" spans="3:18" x14ac:dyDescent="0.15">
      <c r="C106" s="129"/>
      <c r="D106" s="195">
        <v>1990</v>
      </c>
      <c r="E106" s="19">
        <v>1079.8800000000001</v>
      </c>
      <c r="F106" s="23">
        <f t="shared" si="12"/>
        <v>18.880144500000004</v>
      </c>
      <c r="G106" s="30">
        <f t="shared" si="8"/>
        <v>-1.8501556307994507</v>
      </c>
      <c r="H106" s="185"/>
      <c r="I106" s="23">
        <f t="shared" ca="1" si="9"/>
        <v>3.9268867234031859</v>
      </c>
      <c r="J106" s="23">
        <f t="shared" ca="1" si="10"/>
        <v>18.52723720261698</v>
      </c>
      <c r="K106" s="30">
        <f t="shared" si="11"/>
        <v>-2.1472251156617439</v>
      </c>
      <c r="M106" s="129"/>
    </row>
    <row r="107" spans="3:18" x14ac:dyDescent="0.15">
      <c r="C107" s="129"/>
      <c r="D107" s="195">
        <v>1991</v>
      </c>
      <c r="E107" s="19">
        <v>1087.4100000000001</v>
      </c>
      <c r="F107" s="23">
        <f t="shared" si="12"/>
        <v>19.967554500000002</v>
      </c>
      <c r="G107" s="30">
        <f t="shared" si="8"/>
        <v>-1.7850617880442645</v>
      </c>
      <c r="H107" s="185">
        <v>688.33468377592226</v>
      </c>
      <c r="I107" s="23">
        <f t="shared" ca="1" si="9"/>
        <v>3.6506818882826337</v>
      </c>
      <c r="J107" s="23">
        <f t="shared" ca="1" si="10"/>
        <v>19.623468613040401</v>
      </c>
      <c r="K107" s="30">
        <f t="shared" si="11"/>
        <v>-2.1247739459102526</v>
      </c>
      <c r="M107" s="129"/>
    </row>
    <row r="108" spans="3:18" x14ac:dyDescent="0.15">
      <c r="C108" s="129"/>
      <c r="D108" s="195">
        <v>1992</v>
      </c>
      <c r="E108" s="19">
        <v>1116.3800000000001</v>
      </c>
      <c r="F108" s="23">
        <f t="shared" si="12"/>
        <v>21.083934500000002</v>
      </c>
      <c r="G108" s="30">
        <f t="shared" si="8"/>
        <v>-1.7212339352631494</v>
      </c>
      <c r="H108" s="185">
        <v>405.33139274348804</v>
      </c>
      <c r="I108" s="23">
        <f t="shared" ref="I108:I125" ca="1" si="13" xml:space="preserve"> (G108/LN(81)*IF(D108&lt;AVERAGE(E$7,E$3),F$5-E$5,F$2-E$2) - D108 + IF(D108&lt;AVERAGE(E$7,E$3),AVERAGE(E$5:F$5),AVERAGE(E$2:F$2)))*12</f>
        <v>3.1464645944042786</v>
      </c>
      <c r="J108" s="23">
        <f t="shared" ref="J108:J139" ca="1" si="14">F$1/(1+EXP((IF(D108&lt;E$3,AVERAGE(E$5:F$5),AVERAGE(E$2:F$2))-D108)*LN(81)/IF(D108&lt;E$3,F$5-E$5,F$2-E$2)))</f>
        <v>20.773375667469285</v>
      </c>
      <c r="K108" s="30">
        <f t="shared" ref="K108:K125" si="15">NORMSINV(F108/F$8)</f>
        <v>-2.1027874661305672</v>
      </c>
      <c r="M108" s="129"/>
    </row>
    <row r="109" spans="3:18" x14ac:dyDescent="0.15">
      <c r="C109" s="129"/>
      <c r="D109" s="195">
        <v>1993</v>
      </c>
      <c r="E109" s="19">
        <v>1150.67</v>
      </c>
      <c r="F109" s="23">
        <f t="shared" si="12"/>
        <v>22.234604500000003</v>
      </c>
      <c r="G109" s="30">
        <f t="shared" si="8"/>
        <v>-1.6582868992761739</v>
      </c>
      <c r="H109" s="185">
        <v>288.31088533229047</v>
      </c>
      <c r="I109" s="23">
        <f t="shared" ca="1" si="13"/>
        <v>2.4836068633458126</v>
      </c>
      <c r="J109" s="23">
        <f t="shared" ca="1" si="14"/>
        <v>21.978257053296513</v>
      </c>
      <c r="K109" s="30">
        <f t="shared" si="15"/>
        <v>-2.081141735596117</v>
      </c>
      <c r="M109" s="129"/>
    </row>
    <row r="110" spans="3:18" x14ac:dyDescent="0.15">
      <c r="C110" s="129"/>
      <c r="D110" s="195">
        <v>1994</v>
      </c>
      <c r="E110" s="19">
        <v>1239.9000000000001</v>
      </c>
      <c r="F110" s="23">
        <f t="shared" si="12"/>
        <v>23.474504500000002</v>
      </c>
      <c r="G110" s="30">
        <f t="shared" si="8"/>
        <v>-1.5933438402530573</v>
      </c>
      <c r="H110" s="185">
        <v>230.64316775404583</v>
      </c>
      <c r="I110" s="23">
        <f t="shared" ca="1" si="13"/>
        <v>2.1802449652204814</v>
      </c>
      <c r="J110" s="23">
        <f t="shared" ca="1" si="14"/>
        <v>23.239283016355035</v>
      </c>
      <c r="K110" s="30">
        <f t="shared" si="15"/>
        <v>-2.0588595844742024</v>
      </c>
      <c r="M110" s="129"/>
    </row>
    <row r="111" spans="3:18" x14ac:dyDescent="0.15">
      <c r="C111" s="129"/>
      <c r="D111" s="195">
        <v>1995</v>
      </c>
      <c r="E111" s="19">
        <v>1360.73</v>
      </c>
      <c r="F111" s="23">
        <f t="shared" si="12"/>
        <v>24.835234500000002</v>
      </c>
      <c r="G111" s="30">
        <f t="shared" si="8"/>
        <v>-1.5251440658537279</v>
      </c>
      <c r="H111" s="185">
        <v>200.99029604727457</v>
      </c>
      <c r="I111" s="23">
        <f t="shared" ca="1" si="13"/>
        <v>2.4634372228329084</v>
      </c>
      <c r="J111" s="23">
        <f t="shared" ca="1" si="14"/>
        <v>24.557474703101061</v>
      </c>
      <c r="K111" s="30">
        <f t="shared" si="15"/>
        <v>-2.0355276816273959</v>
      </c>
      <c r="M111" s="129"/>
    </row>
    <row r="112" spans="3:18" x14ac:dyDescent="0.15">
      <c r="C112" s="129"/>
      <c r="D112" s="195">
        <v>1996</v>
      </c>
      <c r="E112" s="19">
        <v>1396.7</v>
      </c>
      <c r="F112" s="23">
        <f t="shared" si="12"/>
        <v>26.231934500000001</v>
      </c>
      <c r="G112" s="30">
        <f t="shared" si="8"/>
        <v>-1.4581174752914197</v>
      </c>
      <c r="H112" s="185">
        <v>182.57344996182616</v>
      </c>
      <c r="I112" s="23">
        <f t="shared" ca="1" si="13"/>
        <v>2.5353319688283591</v>
      </c>
      <c r="J112" s="23">
        <f t="shared" ca="1" si="14"/>
        <v>25.933682842264759</v>
      </c>
      <c r="K112" s="30">
        <f t="shared" si="15"/>
        <v>-2.0126785420188784</v>
      </c>
      <c r="M112" s="129"/>
    </row>
    <row r="113" spans="3:13" x14ac:dyDescent="0.15">
      <c r="C113" s="129"/>
      <c r="D113" s="195">
        <v>1997</v>
      </c>
      <c r="E113" s="19">
        <v>1372.82</v>
      </c>
      <c r="F113" s="23">
        <f t="shared" si="12"/>
        <v>27.604754500000002</v>
      </c>
      <c r="G113" s="30">
        <f t="shared" si="8"/>
        <v>-1.3948555152613704</v>
      </c>
      <c r="H113" s="185">
        <v>167.7198336870631</v>
      </c>
      <c r="I113" s="23">
        <f t="shared" ca="1" si="13"/>
        <v>1.9291939645081584</v>
      </c>
      <c r="J113" s="23">
        <f t="shared" ca="1" si="14"/>
        <v>27.368566016468353</v>
      </c>
      <c r="K113" s="30">
        <f t="shared" si="15"/>
        <v>-1.9911998517390725</v>
      </c>
      <c r="M113" s="129"/>
    </row>
    <row r="114" spans="3:13" x14ac:dyDescent="0.15">
      <c r="C114" s="129"/>
      <c r="D114" s="195">
        <v>1998</v>
      </c>
      <c r="E114" s="19">
        <v>1250</v>
      </c>
      <c r="F114" s="23">
        <f t="shared" si="12"/>
        <v>28.854754500000002</v>
      </c>
      <c r="G114" s="30">
        <f t="shared" si="8"/>
        <v>-1.3392812823720659</v>
      </c>
      <c r="H114" s="185">
        <v>152.14071490742478</v>
      </c>
      <c r="I114" s="23">
        <f t="shared" ca="1" si="13"/>
        <v>-6.1550240130600287E-2</v>
      </c>
      <c r="J114" s="23">
        <f t="shared" ca="1" si="14"/>
        <v>28.862568819858435</v>
      </c>
      <c r="K114" s="30">
        <f t="shared" si="15"/>
        <v>-1.9724112770729643</v>
      </c>
      <c r="M114" s="129"/>
    </row>
    <row r="115" spans="3:13" x14ac:dyDescent="0.15">
      <c r="C115" s="129"/>
      <c r="D115" s="195">
        <v>1999</v>
      </c>
      <c r="E115" s="19">
        <v>1280</v>
      </c>
      <c r="F115" s="23">
        <f t="shared" si="12"/>
        <v>30.134754500000003</v>
      </c>
      <c r="G115" s="30">
        <f t="shared" si="8"/>
        <v>-1.2841849839408161</v>
      </c>
      <c r="H115" s="185">
        <v>138.32461682256536</v>
      </c>
      <c r="I115" s="23">
        <f t="shared" ca="1" si="13"/>
        <v>-2.1383733341299376</v>
      </c>
      <c r="J115" s="23">
        <f t="shared" ca="1" si="14"/>
        <v>30.415900242584843</v>
      </c>
      <c r="K115" s="30">
        <f t="shared" si="15"/>
        <v>-1.9538672292436112</v>
      </c>
      <c r="M115" s="129"/>
    </row>
    <row r="116" spans="3:13" x14ac:dyDescent="0.15">
      <c r="C116" s="129"/>
      <c r="D116" s="195">
        <v>2000</v>
      </c>
      <c r="E116" s="19">
        <v>1299.21</v>
      </c>
      <c r="F116" s="23">
        <f t="shared" si="12"/>
        <v>31.433964500000002</v>
      </c>
      <c r="G116" s="30">
        <f t="shared" si="8"/>
        <v>-1.2299662687319086</v>
      </c>
      <c r="H116" s="185">
        <v>126.74218584388333</v>
      </c>
      <c r="I116" s="23">
        <f t="shared" ca="1" si="13"/>
        <v>-4.3732544794520436</v>
      </c>
      <c r="J116" s="23">
        <f t="shared" ca="1" si="14"/>
        <v>32.028512665264763</v>
      </c>
      <c r="K116" s="30">
        <f t="shared" si="15"/>
        <v>-1.9357078130109764</v>
      </c>
      <c r="M116" s="129"/>
    </row>
    <row r="117" spans="3:13" x14ac:dyDescent="0.15">
      <c r="C117" s="129"/>
      <c r="D117" s="195">
        <v>2001</v>
      </c>
      <c r="E117" s="19">
        <v>1381.52</v>
      </c>
      <c r="F117" s="23">
        <f t="shared" si="12"/>
        <v>32.815484500000004</v>
      </c>
      <c r="G117" s="30">
        <f t="shared" si="8"/>
        <v>-1.174024857962634</v>
      </c>
      <c r="H117" s="185">
        <v>117.78801797713734</v>
      </c>
      <c r="I117" s="23">
        <f t="shared" ca="1" si="13"/>
        <v>-6.2978677249766406</v>
      </c>
      <c r="J117" s="23">
        <f t="shared" ca="1" si="14"/>
        <v>33.700081884448025</v>
      </c>
      <c r="K117" s="30">
        <f t="shared" si="15"/>
        <v>-1.9170734496728532</v>
      </c>
      <c r="M117" s="129"/>
    </row>
    <row r="118" spans="3:13" x14ac:dyDescent="0.15">
      <c r="C118" s="129"/>
      <c r="D118" s="195">
        <v>2002</v>
      </c>
      <c r="E118" s="19">
        <v>1454.56</v>
      </c>
      <c r="F118" s="23">
        <f t="shared" si="12"/>
        <v>34.270044500000004</v>
      </c>
      <c r="G118" s="30">
        <f t="shared" si="8"/>
        <v>-1.1168570942725007</v>
      </c>
      <c r="H118" s="185">
        <v>111.12288063237963</v>
      </c>
      <c r="I118" s="23">
        <f t="shared" ca="1" si="13"/>
        <v>-8.0016073849910754</v>
      </c>
      <c r="J118" s="23">
        <f t="shared" ca="1" si="14"/>
        <v>35.429988621421806</v>
      </c>
      <c r="K118" s="30">
        <f t="shared" si="15"/>
        <v>-1.8981476717089218</v>
      </c>
      <c r="M118" s="129"/>
    </row>
    <row r="119" spans="3:13" x14ac:dyDescent="0.15">
      <c r="C119" s="129"/>
      <c r="D119" s="195">
        <v>2003</v>
      </c>
      <c r="E119" s="19">
        <v>1722</v>
      </c>
      <c r="F119" s="23">
        <f t="shared" si="12"/>
        <v>35.992044500000006</v>
      </c>
      <c r="G119" s="30">
        <f t="shared" si="8"/>
        <v>-1.0512475511968651</v>
      </c>
      <c r="H119" s="185">
        <v>107.41975620721362</v>
      </c>
      <c r="I119" s="23">
        <f t="shared" ca="1" si="13"/>
        <v>-8.1849314702967604</v>
      </c>
      <c r="J119" s="23">
        <f t="shared" ca="1" si="14"/>
        <v>37.217301989235366</v>
      </c>
      <c r="K119" s="30">
        <f t="shared" si="15"/>
        <v>-1.8765866740815615</v>
      </c>
      <c r="M119" s="129"/>
    </row>
    <row r="120" spans="3:13" x14ac:dyDescent="0.15">
      <c r="C120" s="129"/>
      <c r="D120" s="195">
        <v>2004</v>
      </c>
      <c r="E120" s="19">
        <v>1992.32</v>
      </c>
      <c r="F120" s="23">
        <f t="shared" si="12"/>
        <v>37.984364500000005</v>
      </c>
      <c r="G120" s="30">
        <f t="shared" si="8"/>
        <v>-0.97783480996536198</v>
      </c>
      <c r="H120" s="185">
        <v>106.75477432600478</v>
      </c>
      <c r="I120" s="23">
        <f t="shared" ca="1" si="13"/>
        <v>-6.9628523263827446</v>
      </c>
      <c r="J120" s="23">
        <f t="shared" ca="1" si="14"/>
        <v>39.060765404364382</v>
      </c>
      <c r="K120" s="30">
        <f t="shared" si="15"/>
        <v>-1.8526827194028146</v>
      </c>
      <c r="M120" s="129"/>
    </row>
    <row r="121" spans="3:13" x14ac:dyDescent="0.15">
      <c r="C121" s="129"/>
      <c r="D121" s="195">
        <v>2005</v>
      </c>
      <c r="E121" s="19">
        <v>2205.73</v>
      </c>
      <c r="F121" s="23">
        <f t="shared" si="12"/>
        <v>40.190094500000008</v>
      </c>
      <c r="G121" s="30">
        <f t="shared" si="8"/>
        <v>-0.89930547453823673</v>
      </c>
      <c r="H121" s="185">
        <v>108.80347107825567</v>
      </c>
      <c r="I121" s="23">
        <f t="shared" ca="1" si="13"/>
        <v>-4.8192435914615999</v>
      </c>
      <c r="J121" s="23">
        <f t="shared" ca="1" si="14"/>
        <v>40.958785427875036</v>
      </c>
      <c r="K121" s="30">
        <f t="shared" si="15"/>
        <v>-1.8273969916489314</v>
      </c>
      <c r="M121" s="129"/>
    </row>
    <row r="122" spans="3:13" x14ac:dyDescent="0.15">
      <c r="C122" s="129"/>
      <c r="D122" s="195">
        <v>2006</v>
      </c>
      <c r="E122" s="19">
        <v>2373</v>
      </c>
      <c r="F122" s="23">
        <f t="shared" si="12"/>
        <v>42.563094500000005</v>
      </c>
      <c r="G122" s="30">
        <f t="shared" si="8"/>
        <v>-0.81762290085782185</v>
      </c>
      <c r="H122" s="185">
        <v>113.12463402573493</v>
      </c>
      <c r="I122" s="23">
        <f t="shared" ca="1" si="13"/>
        <v>-2.1077175571026601</v>
      </c>
      <c r="J122" s="23">
        <f t="shared" ca="1" si="14"/>
        <v>42.90942400445757</v>
      </c>
      <c r="K122" s="30">
        <f t="shared" si="15"/>
        <v>-1.8014380047056382</v>
      </c>
      <c r="M122" s="129"/>
    </row>
    <row r="123" spans="3:13" x14ac:dyDescent="0.15">
      <c r="C123" s="129"/>
      <c r="D123" s="195">
        <v>2007</v>
      </c>
      <c r="E123" s="19">
        <v>2525.9699999999998</v>
      </c>
      <c r="F123" s="23">
        <f t="shared" si="12"/>
        <v>45.089064500000006</v>
      </c>
      <c r="G123" s="30">
        <f t="shared" si="8"/>
        <v>-0.73342108810326367</v>
      </c>
      <c r="H123" s="185">
        <v>119.36082171300512</v>
      </c>
      <c r="I123" s="23">
        <f t="shared" ca="1" si="13"/>
        <v>1.0575386862374216</v>
      </c>
      <c r="J123" s="23">
        <f t="shared" ca="1" si="14"/>
        <v>44.910394534861936</v>
      </c>
      <c r="K123" s="30">
        <f t="shared" si="15"/>
        <v>-1.7750775162437964</v>
      </c>
      <c r="M123" s="129"/>
    </row>
    <row r="124" spans="3:13" x14ac:dyDescent="0.15">
      <c r="C124" s="129"/>
      <c r="D124" s="195">
        <v>2008</v>
      </c>
      <c r="E124" s="19">
        <v>2803.31</v>
      </c>
      <c r="F124" s="23">
        <f t="shared" si="12"/>
        <v>47.892374500000003</v>
      </c>
      <c r="G124" s="30">
        <f t="shared" si="8"/>
        <v>-0.64279040301410073</v>
      </c>
      <c r="H124" s="185">
        <v>127.9057931544281</v>
      </c>
      <c r="I124" s="23">
        <f t="shared" ca="1" si="13"/>
        <v>5.3806737580798654</v>
      </c>
      <c r="J124" s="23">
        <f t="shared" ca="1" si="14"/>
        <v>46.959062167233128</v>
      </c>
      <c r="K124" s="30">
        <f t="shared" si="15"/>
        <v>-1.747197578669907</v>
      </c>
      <c r="M124" s="129"/>
    </row>
    <row r="125" spans="3:13" x14ac:dyDescent="0.15">
      <c r="C125" s="129"/>
      <c r="D125" s="195">
        <v>2009</v>
      </c>
      <c r="E125" s="19">
        <v>3050</v>
      </c>
      <c r="F125" s="23">
        <f t="shared" si="12"/>
        <v>50.9423745</v>
      </c>
      <c r="G125" s="30">
        <f t="shared" si="8"/>
        <v>-0.54699133368680053</v>
      </c>
      <c r="H125" s="245">
        <v>138.97314479598055</v>
      </c>
      <c r="I125" s="23">
        <f t="shared" ca="1" si="13"/>
        <v>10.634666121130067</v>
      </c>
      <c r="J125" s="23">
        <f t="shared" ca="1" si="14"/>
        <v>49.052448625459981</v>
      </c>
      <c r="K125" s="30">
        <f t="shared" si="15"/>
        <v>-1.7183311281977502</v>
      </c>
    </row>
    <row r="126" spans="3:13" x14ac:dyDescent="0.15">
      <c r="D126" s="195">
        <v>2010</v>
      </c>
      <c r="E126" s="19"/>
      <c r="F126" s="23"/>
      <c r="G126" s="30"/>
      <c r="H126" s="151"/>
      <c r="I126" s="23"/>
      <c r="J126" s="23">
        <f t="shared" ca="1" si="14"/>
        <v>51.187241808583629</v>
      </c>
      <c r="K126" s="30"/>
    </row>
    <row r="127" spans="3:13" x14ac:dyDescent="0.15">
      <c r="D127" s="195">
        <v>2011</v>
      </c>
      <c r="E127" s="19"/>
      <c r="F127" s="23"/>
      <c r="G127" s="30"/>
      <c r="H127" s="151"/>
      <c r="I127" s="23"/>
      <c r="J127" s="23">
        <f t="shared" ca="1" si="14"/>
        <v>53.359810296111981</v>
      </c>
      <c r="K127" s="30"/>
    </row>
    <row r="128" spans="3:13" x14ac:dyDescent="0.15">
      <c r="D128" s="195">
        <v>2012</v>
      </c>
      <c r="E128" s="19"/>
      <c r="F128" s="23"/>
      <c r="G128" s="30"/>
      <c r="H128" s="151"/>
      <c r="I128" s="23"/>
      <c r="J128" s="23">
        <f t="shared" ca="1" si="14"/>
        <v>55.566222782219185</v>
      </c>
      <c r="K128" s="30"/>
    </row>
    <row r="129" spans="4:11" x14ac:dyDescent="0.15">
      <c r="D129" s="195">
        <v>2013</v>
      </c>
      <c r="E129" s="19"/>
      <c r="F129" s="23"/>
      <c r="G129" s="30"/>
      <c r="H129" s="151"/>
      <c r="I129" s="23"/>
      <c r="J129" s="23">
        <f t="shared" ca="1" si="14"/>
        <v>57.802272340612483</v>
      </c>
      <c r="K129" s="30"/>
    </row>
    <row r="130" spans="4:11" x14ac:dyDescent="0.15">
      <c r="D130" s="195">
        <v>2014</v>
      </c>
      <c r="E130" s="18"/>
      <c r="F130" s="23"/>
      <c r="G130" s="30"/>
      <c r="H130" s="129"/>
      <c r="I130" s="23"/>
      <c r="J130" s="23">
        <f t="shared" ca="1" si="14"/>
        <v>60.063505295434297</v>
      </c>
      <c r="K130" s="30"/>
    </row>
    <row r="131" spans="4:11" x14ac:dyDescent="0.15">
      <c r="D131" s="195">
        <v>2015</v>
      </c>
      <c r="E131" s="18"/>
      <c r="F131" s="23"/>
      <c r="G131" s="30"/>
      <c r="H131" s="129"/>
      <c r="I131" s="23"/>
      <c r="J131" s="23">
        <f t="shared" ca="1" si="14"/>
        <v>62.345254346652865</v>
      </c>
      <c r="K131" s="30"/>
    </row>
    <row r="132" spans="4:11" x14ac:dyDescent="0.15">
      <c r="D132" s="195">
        <v>2016</v>
      </c>
      <c r="E132" s="18"/>
      <c r="F132" s="23"/>
      <c r="G132" s="30"/>
      <c r="H132" s="129"/>
      <c r="I132" s="23"/>
      <c r="J132" s="23">
        <f t="shared" ca="1" si="14"/>
        <v>64.64267547607443</v>
      </c>
      <c r="K132" s="30"/>
    </row>
    <row r="133" spans="4:11" x14ac:dyDescent="0.15">
      <c r="D133" s="195">
        <v>2017</v>
      </c>
      <c r="E133" s="18"/>
      <c r="F133" s="23"/>
      <c r="G133" s="30"/>
      <c r="H133" s="129"/>
      <c r="I133" s="23"/>
      <c r="J133" s="23">
        <f t="shared" ca="1" si="14"/>
        <v>66.950788047585249</v>
      </c>
      <c r="K133" s="30"/>
    </row>
    <row r="134" spans="4:11" x14ac:dyDescent="0.15">
      <c r="D134" s="195">
        <v>2018</v>
      </c>
      <c r="E134" s="18"/>
      <c r="F134" s="23"/>
      <c r="G134" s="30"/>
      <c r="H134" s="129"/>
      <c r="I134" s="23"/>
      <c r="J134" s="23">
        <f t="shared" ca="1" si="14"/>
        <v>69.264517417506482</v>
      </c>
      <c r="K134" s="30"/>
    </row>
    <row r="135" spans="4:11" x14ac:dyDescent="0.15">
      <c r="D135" s="195">
        <v>2019</v>
      </c>
      <c r="E135" s="18"/>
      <c r="F135" s="23"/>
      <c r="G135" s="30"/>
      <c r="H135" s="129"/>
      <c r="I135" s="23"/>
      <c r="J135" s="23">
        <f t="shared" ca="1" si="14"/>
        <v>71.578739292518591</v>
      </c>
      <c r="K135" s="30"/>
    </row>
    <row r="136" spans="4:11" x14ac:dyDescent="0.15">
      <c r="D136" s="195">
        <v>2020</v>
      </c>
      <c r="E136" s="18"/>
      <c r="F136" s="23"/>
      <c r="G136" s="30"/>
      <c r="H136" s="129"/>
      <c r="I136" s="23"/>
      <c r="J136" s="23">
        <f t="shared" ca="1" si="14"/>
        <v>73.888325017190624</v>
      </c>
      <c r="K136" s="30"/>
    </row>
    <row r="137" spans="4:11" x14ac:dyDescent="0.15">
      <c r="D137" s="195">
        <v>2021</v>
      </c>
      <c r="E137" s="18"/>
      <c r="F137" s="23"/>
      <c r="G137" s="30"/>
      <c r="H137" s="129"/>
      <c r="I137" s="23"/>
      <c r="J137" s="23">
        <f t="shared" ca="1" si="14"/>
        <v>76.188186943400822</v>
      </c>
      <c r="K137" s="30"/>
    </row>
    <row r="138" spans="4:11" x14ac:dyDescent="0.15">
      <c r="D138" s="195">
        <v>2022</v>
      </c>
      <c r="E138" s="18"/>
      <c r="F138" s="23"/>
      <c r="G138" s="30"/>
      <c r="H138" s="129"/>
      <c r="I138" s="23"/>
      <c r="J138" s="23">
        <f t="shared" ca="1" si="14"/>
        <v>78.473323031305242</v>
      </c>
      <c r="K138" s="30"/>
    </row>
    <row r="139" spans="4:11" x14ac:dyDescent="0.15">
      <c r="D139" s="195">
        <v>2023</v>
      </c>
      <c r="E139" s="18"/>
      <c r="F139" s="23"/>
      <c r="G139" s="30"/>
      <c r="H139" s="129"/>
      <c r="I139" s="23"/>
      <c r="J139" s="23">
        <f t="shared" ca="1" si="14"/>
        <v>80.738859856129807</v>
      </c>
      <c r="K139" s="30"/>
    </row>
    <row r="140" spans="4:11" x14ac:dyDescent="0.15">
      <c r="D140" s="195">
        <v>2024</v>
      </c>
      <c r="E140" s="18"/>
      <c r="F140" s="23"/>
      <c r="G140" s="30"/>
      <c r="H140" s="129"/>
      <c r="I140" s="23"/>
      <c r="J140" s="23">
        <f t="shared" ref="J140:J171" ca="1" si="16">F$1/(1+EXP((IF(D140&lt;E$3,AVERAGE(E$5:F$5),AVERAGE(E$2:F$2))-D140)*LN(81)/IF(D140&lt;E$3,F$5-E$5,F$2-E$2)))</f>
        <v>82.980093245728511</v>
      </c>
      <c r="K140" s="30"/>
    </row>
    <row r="141" spans="4:11" x14ac:dyDescent="0.15">
      <c r="D141" s="195">
        <v>2025</v>
      </c>
      <c r="E141" s="18"/>
      <c r="F141" s="23"/>
      <c r="G141" s="30"/>
      <c r="I141" s="23"/>
      <c r="J141" s="23">
        <f t="shared" ca="1" si="16"/>
        <v>85.192525848121221</v>
      </c>
      <c r="K141" s="30"/>
    </row>
    <row r="142" spans="4:11" x14ac:dyDescent="0.15">
      <c r="D142" s="195">
        <v>2026</v>
      </c>
      <c r="E142" s="18"/>
      <c r="F142" s="23"/>
      <c r="G142" s="30"/>
      <c r="I142" s="23"/>
      <c r="J142" s="23">
        <f t="shared" ca="1" si="16"/>
        <v>87.37190102257621</v>
      </c>
      <c r="K142" s="30"/>
    </row>
    <row r="143" spans="4:11" x14ac:dyDescent="0.15">
      <c r="D143" s="195">
        <v>2027</v>
      </c>
      <c r="E143" s="18"/>
      <c r="F143" s="23"/>
      <c r="G143" s="30"/>
      <c r="I143" s="23"/>
      <c r="J143" s="23">
        <f t="shared" ca="1" si="16"/>
        <v>89.514232557863636</v>
      </c>
      <c r="K143" s="30"/>
    </row>
    <row r="144" spans="4:11" x14ac:dyDescent="0.15">
      <c r="D144" s="195">
        <v>2028</v>
      </c>
      <c r="E144" s="18"/>
      <c r="F144" s="23"/>
      <c r="G144" s="30"/>
      <c r="I144" s="23"/>
      <c r="J144" s="23">
        <f t="shared" ca="1" si="16"/>
        <v>91.615829842149509</v>
      </c>
      <c r="K144" s="30"/>
    </row>
    <row r="145" spans="4:11" x14ac:dyDescent="0.15">
      <c r="D145" s="195">
        <v>2029</v>
      </c>
      <c r="E145" s="18"/>
      <c r="F145" s="23"/>
      <c r="G145" s="30"/>
      <c r="I145" s="23"/>
      <c r="J145" s="23">
        <f t="shared" ca="1" si="16"/>
        <v>93.67331823543438</v>
      </c>
      <c r="K145" s="30"/>
    </row>
    <row r="146" spans="4:11" x14ac:dyDescent="0.15">
      <c r="D146" s="195">
        <v>2030</v>
      </c>
      <c r="E146" s="18"/>
      <c r="F146" s="23"/>
      <c r="G146" s="30"/>
      <c r="I146" s="23"/>
      <c r="J146" s="23">
        <f t="shared" ca="1" si="16"/>
        <v>95.683654522332702</v>
      </c>
      <c r="K146" s="30"/>
    </row>
    <row r="147" spans="4:11" x14ac:dyDescent="0.15">
      <c r="D147" s="195">
        <v>2031</v>
      </c>
      <c r="E147" s="18"/>
      <c r="F147" s="23"/>
      <c r="G147" s="30"/>
      <c r="I147" s="23"/>
      <c r="J147" s="23">
        <f t="shared" ca="1" si="16"/>
        <v>97.644137445526525</v>
      </c>
      <c r="K147" s="30"/>
    </row>
    <row r="148" spans="4:11" x14ac:dyDescent="0.15">
      <c r="D148" s="195">
        <v>2032</v>
      </c>
      <c r="E148" s="18"/>
      <c r="F148" s="23"/>
      <c r="G148" s="30"/>
      <c r="I148" s="23"/>
      <c r="J148" s="23">
        <f t="shared" ca="1" si="16"/>
        <v>99.552413434168486</v>
      </c>
      <c r="K148" s="30"/>
    </row>
    <row r="149" spans="4:11" x14ac:dyDescent="0.15">
      <c r="D149" s="195">
        <v>2033</v>
      </c>
      <c r="E149" s="18"/>
      <c r="F149" s="23"/>
      <c r="G149" s="30"/>
      <c r="I149" s="23"/>
      <c r="J149" s="23">
        <f t="shared" ca="1" si="16"/>
        <v>101.40647774335881</v>
      </c>
      <c r="K149" s="30"/>
    </row>
    <row r="150" spans="4:11" x14ac:dyDescent="0.15">
      <c r="D150" s="195">
        <v>2034</v>
      </c>
      <c r="E150" s="18"/>
      <c r="F150" s="23"/>
      <c r="G150" s="30"/>
      <c r="I150" s="23"/>
      <c r="J150" s="23">
        <f t="shared" ca="1" si="16"/>
        <v>103.20467130793909</v>
      </c>
      <c r="K150" s="30"/>
    </row>
    <row r="151" spans="4:11" x14ac:dyDescent="0.15">
      <c r="D151" s="195">
        <v>2035</v>
      </c>
      <c r="E151" s="18"/>
      <c r="F151" s="23"/>
      <c r="G151" s="30"/>
      <c r="I151" s="23"/>
      <c r="J151" s="23">
        <f t="shared" ca="1" si="16"/>
        <v>104.94567368450991</v>
      </c>
      <c r="K151" s="30"/>
    </row>
    <row r="152" spans="4:11" x14ac:dyDescent="0.15">
      <c r="D152" s="195">
        <v>2036</v>
      </c>
      <c r="E152" s="18"/>
      <c r="F152" s="23"/>
      <c r="G152" s="30"/>
      <c r="I152" s="23"/>
      <c r="J152" s="23">
        <f t="shared" ca="1" si="16"/>
        <v>106.62849250895304</v>
      </c>
      <c r="K152" s="30"/>
    </row>
    <row r="153" spans="4:11" x14ac:dyDescent="0.15">
      <c r="D153" s="195">
        <v>2037</v>
      </c>
      <c r="E153" s="18"/>
      <c r="F153" s="23"/>
      <c r="G153" s="30"/>
      <c r="I153" s="23"/>
      <c r="J153" s="23">
        <f t="shared" ca="1" si="16"/>
        <v>108.25244993283096</v>
      </c>
      <c r="K153" s="30"/>
    </row>
    <row r="154" spans="4:11" x14ac:dyDescent="0.15">
      <c r="D154" s="195">
        <v>2038</v>
      </c>
      <c r="E154" s="18"/>
      <c r="F154" s="23"/>
      <c r="G154" s="30"/>
      <c r="I154" s="23"/>
      <c r="J154" s="23">
        <f t="shared" ca="1" si="16"/>
        <v>109.81716652156749</v>
      </c>
      <c r="K154" s="30"/>
    </row>
    <row r="155" spans="4:11" x14ac:dyDescent="0.15">
      <c r="D155" s="195">
        <v>2039</v>
      </c>
      <c r="E155" s="18"/>
      <c r="F155" s="23"/>
      <c r="G155" s="30"/>
      <c r="I155" s="23"/>
      <c r="J155" s="23">
        <f t="shared" ca="1" si="16"/>
        <v>111.32254310160671</v>
      </c>
      <c r="K155" s="30"/>
    </row>
    <row r="156" spans="4:11" x14ac:dyDescent="0.15">
      <c r="D156" s="195">
        <v>2040</v>
      </c>
      <c r="E156" s="18"/>
      <c r="F156" s="23"/>
      <c r="G156" s="30"/>
      <c r="I156" s="23"/>
      <c r="J156" s="23">
        <f t="shared" ca="1" si="16"/>
        <v>112.76874103456434</v>
      </c>
      <c r="K156" s="30"/>
    </row>
    <row r="157" spans="4:11" x14ac:dyDescent="0.15">
      <c r="D157" s="195">
        <v>2041</v>
      </c>
      <c r="E157" s="18"/>
      <c r="F157" s="23"/>
      <c r="G157" s="30"/>
      <c r="I157" s="23"/>
      <c r="J157" s="23">
        <f t="shared" ca="1" si="16"/>
        <v>114.15616137578475</v>
      </c>
      <c r="K157" s="30"/>
    </row>
    <row r="158" spans="4:11" x14ac:dyDescent="0.15">
      <c r="D158" s="195">
        <v>2042</v>
      </c>
      <c r="E158" s="18"/>
      <c r="F158" s="23"/>
      <c r="G158" s="30"/>
      <c r="I158" s="23"/>
      <c r="J158" s="23">
        <f t="shared" ca="1" si="16"/>
        <v>115.48542334490438</v>
      </c>
      <c r="K158" s="30"/>
    </row>
    <row r="159" spans="4:11" x14ac:dyDescent="0.15">
      <c r="D159" s="195">
        <v>2043</v>
      </c>
      <c r="E159" s="18"/>
      <c r="F159" s="23"/>
      <c r="G159" s="30"/>
      <c r="I159" s="23"/>
      <c r="J159" s="23">
        <f t="shared" ca="1" si="16"/>
        <v>116.7573424992343</v>
      </c>
      <c r="K159" s="30"/>
    </row>
    <row r="160" spans="4:11" x14ac:dyDescent="0.15">
      <c r="D160" s="195">
        <v>2044</v>
      </c>
      <c r="E160" s="18"/>
      <c r="F160" s="23"/>
      <c r="G160" s="30"/>
      <c r="I160" s="23"/>
      <c r="J160" s="23">
        <f t="shared" ca="1" si="16"/>
        <v>117.97290895915981</v>
      </c>
      <c r="K160" s="30"/>
    </row>
    <row r="161" spans="4:11" x14ac:dyDescent="0.15">
      <c r="D161" s="195">
        <v>2045</v>
      </c>
      <c r="E161" s="18"/>
      <c r="F161" s="23"/>
      <c r="G161" s="30"/>
      <c r="I161" s="23"/>
      <c r="J161" s="23">
        <f t="shared" ca="1" si="16"/>
        <v>119.13326599030445</v>
      </c>
      <c r="K161" s="30"/>
    </row>
    <row r="162" spans="4:11" x14ac:dyDescent="0.15">
      <c r="D162" s="195">
        <v>2046</v>
      </c>
      <c r="E162" s="18"/>
      <c r="F162" s="23"/>
      <c r="G162" s="30"/>
      <c r="I162" s="23"/>
      <c r="J162" s="23">
        <f t="shared" ca="1" si="16"/>
        <v>120.23968920168434</v>
      </c>
      <c r="K162" s="30"/>
    </row>
    <row r="163" spans="4:11" x14ac:dyDescent="0.15">
      <c r="D163" s="195">
        <v>2047</v>
      </c>
      <c r="E163" s="18"/>
      <c r="F163" s="23"/>
      <c r="G163" s="30"/>
      <c r="I163" s="23"/>
      <c r="J163" s="23">
        <f t="shared" ca="1" si="16"/>
        <v>121.29356657399147</v>
      </c>
      <c r="K163" s="30"/>
    </row>
    <row r="164" spans="4:11" x14ac:dyDescent="0.15">
      <c r="D164" s="195">
        <v>2048</v>
      </c>
      <c r="E164" s="18"/>
      <c r="F164" s="23"/>
      <c r="G164" s="30"/>
      <c r="I164" s="23"/>
      <c r="J164" s="23">
        <f t="shared" ca="1" si="16"/>
        <v>122.29637948872768</v>
      </c>
      <c r="K164" s="30"/>
    </row>
    <row r="165" spans="4:11" x14ac:dyDescent="0.15">
      <c r="D165" s="195">
        <v>2049</v>
      </c>
      <c r="E165" s="18"/>
      <c r="F165" s="23"/>
      <c r="G165" s="30"/>
      <c r="I165" s="23"/>
      <c r="J165" s="23">
        <f t="shared" ca="1" si="16"/>
        <v>123.24968488811784</v>
      </c>
      <c r="K165" s="30"/>
    </row>
    <row r="166" spans="4:11" x14ac:dyDescent="0.15">
      <c r="D166" s="195">
        <v>2050</v>
      </c>
      <c r="E166" s="18"/>
      <c r="F166" s="23"/>
      <c r="G166" s="30"/>
      <c r="I166" s="23"/>
      <c r="J166" s="23">
        <f t="shared" ca="1" si="16"/>
        <v>124.15509865826158</v>
      </c>
      <c r="K166" s="30"/>
    </row>
    <row r="167" spans="4:11" x14ac:dyDescent="0.15">
      <c r="D167" s="195">
        <v>2051</v>
      </c>
      <c r="E167" s="18"/>
      <c r="F167" s="23"/>
      <c r="G167" s="30"/>
      <c r="I167" s="23"/>
      <c r="J167" s="23">
        <f t="shared" ca="1" si="16"/>
        <v>125.01428029429425</v>
      </c>
      <c r="K167" s="30"/>
    </row>
    <row r="168" spans="4:11" x14ac:dyDescent="0.15">
      <c r="D168" s="195">
        <v>2052</v>
      </c>
      <c r="E168" s="18"/>
      <c r="F168" s="23"/>
      <c r="G168" s="30"/>
      <c r="I168" s="23"/>
      <c r="J168" s="23">
        <f t="shared" ca="1" si="16"/>
        <v>125.82891887667409</v>
      </c>
      <c r="K168" s="30"/>
    </row>
    <row r="169" spans="4:11" x14ac:dyDescent="0.15">
      <c r="D169" s="195">
        <v>2053</v>
      </c>
      <c r="E169" s="18"/>
      <c r="F169" s="23"/>
      <c r="G169" s="30"/>
      <c r="I169" s="23"/>
      <c r="J169" s="23">
        <f t="shared" ca="1" si="16"/>
        <v>126.6007203621635</v>
      </c>
      <c r="K169" s="30"/>
    </row>
    <row r="170" spans="4:11" x14ac:dyDescent="0.15">
      <c r="D170" s="195">
        <v>2054</v>
      </c>
      <c r="E170" s="18"/>
      <c r="F170" s="23"/>
      <c r="G170" s="30"/>
      <c r="H170" s="83"/>
      <c r="I170" s="23"/>
      <c r="J170" s="23">
        <f t="shared" ca="1" si="16"/>
        <v>127.33139617156576</v>
      </c>
      <c r="K170" s="30"/>
    </row>
    <row r="171" spans="4:11" x14ac:dyDescent="0.15">
      <c r="D171" s="195">
        <v>2055</v>
      </c>
      <c r="E171" s="18"/>
      <c r="F171" s="23"/>
      <c r="G171" s="30"/>
      <c r="H171" s="83"/>
      <c r="I171" s="23"/>
      <c r="J171" s="23">
        <f t="shared" ca="1" si="16"/>
        <v>128.02265303862981</v>
      </c>
      <c r="K171" s="30"/>
    </row>
    <row r="172" spans="4:11" x14ac:dyDescent="0.15">
      <c r="D172" s="195">
        <v>2056</v>
      </c>
      <c r="E172" s="18"/>
      <c r="F172" s="23"/>
      <c r="G172" s="30"/>
      <c r="H172" s="83"/>
      <c r="I172" s="23"/>
      <c r="J172" s="23">
        <f t="shared" ref="J172:J203" ca="1" si="17">F$1/(1+EXP((IF(D172&lt;E$3,AVERAGE(E$5:F$5),AVERAGE(E$2:F$2))-D172)*LN(81)/IF(D172&lt;E$3,F$5-E$5,F$2-E$2)))</f>
        <v>128.67618407048974</v>
      </c>
      <c r="K172" s="30"/>
    </row>
    <row r="173" spans="4:11" x14ac:dyDescent="0.15">
      <c r="D173" s="195">
        <v>2057</v>
      </c>
      <c r="E173" s="18"/>
      <c r="F173" s="23"/>
      <c r="G173" s="30"/>
      <c r="H173" s="83"/>
      <c r="I173" s="23"/>
      <c r="J173" s="23">
        <f t="shared" ca="1" si="17"/>
        <v>129.29366095924328</v>
      </c>
      <c r="K173" s="30"/>
    </row>
    <row r="174" spans="4:11" x14ac:dyDescent="0.15">
      <c r="D174" s="195">
        <v>2058</v>
      </c>
      <c r="E174" s="18"/>
      <c r="F174" s="23"/>
      <c r="G174" s="30"/>
      <c r="H174" s="83"/>
      <c r="I174" s="23"/>
      <c r="J174" s="23">
        <f t="shared" ca="1" si="17"/>
        <v>129.87672727645014</v>
      </c>
      <c r="K174" s="30"/>
    </row>
    <row r="175" spans="4:11" x14ac:dyDescent="0.15">
      <c r="D175" s="195">
        <v>2059</v>
      </c>
      <c r="E175" s="18"/>
      <c r="F175" s="23"/>
      <c r="G175" s="30"/>
      <c r="H175" s="83"/>
      <c r="I175" s="23"/>
      <c r="J175" s="23">
        <f t="shared" ca="1" si="17"/>
        <v>130.42699277708607</v>
      </c>
      <c r="K175" s="30"/>
    </row>
    <row r="176" spans="4:11" x14ac:dyDescent="0.15">
      <c r="D176" s="195">
        <v>2060</v>
      </c>
      <c r="E176" s="18"/>
      <c r="F176" s="23"/>
      <c r="G176" s="30"/>
      <c r="H176" s="83"/>
      <c r="I176" s="23"/>
      <c r="J176" s="23">
        <f t="shared" ca="1" si="17"/>
        <v>130.94602863646023</v>
      </c>
      <c r="K176" s="30"/>
    </row>
    <row r="177" spans="4:11" x14ac:dyDescent="0.15">
      <c r="D177" s="195">
        <v>2061</v>
      </c>
      <c r="E177" s="18"/>
      <c r="F177" s="23"/>
      <c r="G177" s="30"/>
      <c r="H177" s="83"/>
      <c r="I177" s="23"/>
      <c r="J177" s="23">
        <f t="shared" ca="1" si="17"/>
        <v>131.43536354244696</v>
      </c>
      <c r="K177" s="30"/>
    </row>
    <row r="178" spans="4:11" x14ac:dyDescent="0.15">
      <c r="D178" s="195">
        <v>2062</v>
      </c>
      <c r="E178" s="18"/>
      <c r="F178" s="23"/>
      <c r="G178" s="30"/>
      <c r="H178" s="83"/>
      <c r="I178" s="23"/>
      <c r="J178" s="23">
        <f t="shared" ca="1" si="17"/>
        <v>131.89648056577306</v>
      </c>
      <c r="K178" s="30"/>
    </row>
    <row r="179" spans="4:11" x14ac:dyDescent="0.15">
      <c r="D179" s="195">
        <v>2063</v>
      </c>
      <c r="E179" s="18"/>
      <c r="F179" s="23"/>
      <c r="G179" s="30"/>
      <c r="H179" s="83"/>
      <c r="I179" s="23"/>
      <c r="J179" s="23">
        <f t="shared" ca="1" si="17"/>
        <v>132.33081473273754</v>
      </c>
      <c r="K179" s="30"/>
    </row>
    <row r="180" spans="4:11" x14ac:dyDescent="0.15">
      <c r="D180" s="195">
        <v>2064</v>
      </c>
      <c r="E180" s="18"/>
      <c r="F180" s="23"/>
      <c r="G180" s="30"/>
      <c r="H180" s="83"/>
      <c r="I180" s="23"/>
      <c r="J180" s="23">
        <f t="shared" ca="1" si="17"/>
        <v>132.73975122735322</v>
      </c>
      <c r="K180" s="30"/>
    </row>
    <row r="181" spans="4:11" x14ac:dyDescent="0.15">
      <c r="D181" s="195">
        <v>2065</v>
      </c>
      <c r="E181" s="18"/>
      <c r="F181" s="23"/>
      <c r="G181" s="30"/>
      <c r="H181" s="83"/>
      <c r="I181" s="23"/>
      <c r="J181" s="23">
        <f t="shared" ca="1" si="17"/>
        <v>133.1246241532524</v>
      </c>
      <c r="K181" s="30"/>
    </row>
    <row r="182" spans="4:11" x14ac:dyDescent="0.15">
      <c r="D182" s="195">
        <v>2066</v>
      </c>
      <c r="E182" s="18"/>
      <c r="F182" s="23"/>
      <c r="G182" s="30"/>
      <c r="H182" s="83"/>
      <c r="I182" s="23"/>
      <c r="J182" s="23">
        <f t="shared" ca="1" si="17"/>
        <v>133.48671578958064</v>
      </c>
      <c r="K182" s="30"/>
    </row>
    <row r="183" spans="4:11" x14ac:dyDescent="0.15">
      <c r="D183" s="195">
        <v>2067</v>
      </c>
      <c r="E183" s="18"/>
      <c r="F183" s="23"/>
      <c r="G183" s="30"/>
      <c r="H183" s="83"/>
      <c r="I183" s="23"/>
      <c r="J183" s="23">
        <f t="shared" ca="1" si="17"/>
        <v>133.82725627934275</v>
      </c>
      <c r="K183" s="30"/>
    </row>
    <row r="184" spans="4:11" x14ac:dyDescent="0.15">
      <c r="D184" s="195">
        <v>2068</v>
      </c>
      <c r="E184" s="18"/>
      <c r="F184" s="23"/>
      <c r="G184" s="30"/>
      <c r="H184" s="83"/>
      <c r="I184" s="23"/>
      <c r="J184" s="23">
        <f t="shared" ca="1" si="17"/>
        <v>134.14742369310741</v>
      </c>
      <c r="K184" s="30"/>
    </row>
    <row r="185" spans="4:11" x14ac:dyDescent="0.15">
      <c r="D185" s="195">
        <v>2069</v>
      </c>
      <c r="E185" s="18"/>
      <c r="F185" s="23"/>
      <c r="G185" s="30"/>
      <c r="H185" s="83"/>
      <c r="I185" s="23"/>
      <c r="J185" s="23">
        <f t="shared" ca="1" si="17"/>
        <v>134.44834441550702</v>
      </c>
      <c r="K185" s="30"/>
    </row>
    <row r="186" spans="4:11" x14ac:dyDescent="0.15">
      <c r="D186" s="195">
        <v>2070</v>
      </c>
      <c r="E186" s="18"/>
      <c r="F186" s="23"/>
      <c r="G186" s="30"/>
      <c r="H186" s="83"/>
      <c r="I186" s="23"/>
      <c r="J186" s="23">
        <f t="shared" ca="1" si="17"/>
        <v>134.7310938064806</v>
      </c>
      <c r="K186" s="30"/>
    </row>
    <row r="187" spans="4:11" x14ac:dyDescent="0.15">
      <c r="D187" s="195">
        <v>2071</v>
      </c>
      <c r="E187" s="18"/>
      <c r="F187" s="23"/>
      <c r="G187" s="30"/>
      <c r="H187" s="83"/>
      <c r="I187" s="23"/>
      <c r="J187" s="23">
        <f t="shared" ca="1" si="17"/>
        <v>134.99669709362908</v>
      </c>
      <c r="K187" s="30"/>
    </row>
    <row r="188" spans="4:11" x14ac:dyDescent="0.15">
      <c r="D188" s="195">
        <v>2072</v>
      </c>
      <c r="E188" s="18"/>
      <c r="F188" s="23"/>
      <c r="G188" s="30"/>
      <c r="H188" s="83"/>
      <c r="I188" s="23"/>
      <c r="J188" s="23">
        <f t="shared" ca="1" si="17"/>
        <v>135.24613045631844</v>
      </c>
      <c r="K188" s="30"/>
    </row>
    <row r="189" spans="4:11" x14ac:dyDescent="0.15">
      <c r="D189" s="195">
        <v>2073</v>
      </c>
      <c r="E189" s="18"/>
      <c r="F189" s="23"/>
      <c r="G189" s="30"/>
      <c r="H189" s="83"/>
      <c r="I189" s="23"/>
      <c r="J189" s="23">
        <f t="shared" ca="1" si="17"/>
        <v>135.48032226623621</v>
      </c>
      <c r="K189" s="30"/>
    </row>
    <row r="190" spans="4:11" x14ac:dyDescent="0.15">
      <c r="D190" s="195">
        <v>2074</v>
      </c>
      <c r="E190" s="18"/>
      <c r="F190" s="23"/>
      <c r="G190" s="30"/>
      <c r="H190" s="83"/>
      <c r="I190" s="23"/>
      <c r="J190" s="23">
        <f t="shared" ca="1" si="17"/>
        <v>135.70015445294888</v>
      </c>
      <c r="K190" s="30"/>
    </row>
    <row r="191" spans="4:11" x14ac:dyDescent="0.15">
      <c r="D191" s="195">
        <v>2075</v>
      </c>
      <c r="E191" s="18"/>
      <c r="F191" s="23"/>
      <c r="G191" s="30"/>
      <c r="H191" s="83"/>
      <c r="I191" s="23"/>
      <c r="J191" s="23">
        <f t="shared" ca="1" si="17"/>
        <v>135.90646396660091</v>
      </c>
      <c r="K191" s="30"/>
    </row>
    <row r="192" spans="4:11" x14ac:dyDescent="0.15">
      <c r="D192" s="195">
        <v>2076</v>
      </c>
      <c r="E192" s="18"/>
      <c r="F192" s="23"/>
      <c r="G192" s="30"/>
      <c r="H192" s="83"/>
      <c r="I192" s="23"/>
      <c r="J192" s="23">
        <f t="shared" ca="1" si="17"/>
        <v>136.10004431323091</v>
      </c>
      <c r="K192" s="30"/>
    </row>
    <row r="193" spans="4:11" x14ac:dyDescent="0.15">
      <c r="D193" s="195">
        <v>2077</v>
      </c>
      <c r="E193" s="18"/>
      <c r="F193" s="23"/>
      <c r="G193" s="30"/>
      <c r="H193" s="83"/>
      <c r="I193" s="23"/>
      <c r="J193" s="23">
        <f t="shared" ca="1" si="17"/>
        <v>136.28164714125251</v>
      </c>
      <c r="K193" s="30"/>
    </row>
    <row r="194" spans="4:11" x14ac:dyDescent="0.15">
      <c r="D194" s="195">
        <v>2078</v>
      </c>
      <c r="E194" s="18"/>
      <c r="F194" s="23"/>
      <c r="G194" s="30"/>
      <c r="H194" s="83"/>
      <c r="I194" s="23"/>
      <c r="J194" s="23">
        <f t="shared" ca="1" si="17"/>
        <v>136.45198386045726</v>
      </c>
      <c r="K194" s="30"/>
    </row>
    <row r="195" spans="4:11" x14ac:dyDescent="0.15">
      <c r="D195" s="195">
        <v>2079</v>
      </c>
      <c r="E195" s="18"/>
      <c r="F195" s="23"/>
      <c r="G195" s="30"/>
      <c r="H195" s="83"/>
      <c r="I195" s="23"/>
      <c r="J195" s="23">
        <f t="shared" ca="1" si="17"/>
        <v>136.61172727745588</v>
      </c>
      <c r="K195" s="30"/>
    </row>
    <row r="196" spans="4:11" x14ac:dyDescent="0.15">
      <c r="D196" s="195">
        <v>2080</v>
      </c>
      <c r="E196" s="18"/>
      <c r="F196" s="23"/>
      <c r="G196" s="30"/>
      <c r="H196" s="83"/>
      <c r="I196" s="23"/>
      <c r="J196" s="23">
        <f t="shared" ca="1" si="17"/>
        <v>136.76151323378366</v>
      </c>
      <c r="K196" s="30"/>
    </row>
    <row r="197" spans="4:11" x14ac:dyDescent="0.15">
      <c r="D197" s="195">
        <v>2081</v>
      </c>
      <c r="E197" s="18"/>
      <c r="F197" s="23"/>
      <c r="G197" s="30"/>
      <c r="H197" s="83"/>
      <c r="I197" s="23"/>
      <c r="J197" s="23">
        <f t="shared" ca="1" si="17"/>
        <v>136.90194223497852</v>
      </c>
      <c r="K197" s="30"/>
    </row>
    <row r="198" spans="4:11" x14ac:dyDescent="0.15">
      <c r="D198" s="195">
        <v>2082</v>
      </c>
      <c r="E198" s="18"/>
      <c r="F198" s="23"/>
      <c r="G198" s="30"/>
      <c r="H198" s="83"/>
      <c r="I198" s="23"/>
      <c r="J198" s="23">
        <f t="shared" ca="1" si="17"/>
        <v>137.03358106079858</v>
      </c>
      <c r="K198" s="30"/>
    </row>
    <row r="199" spans="4:11" x14ac:dyDescent="0.15">
      <c r="D199" s="195">
        <v>2083</v>
      </c>
      <c r="E199" s="18"/>
      <c r="F199" s="23"/>
      <c r="G199" s="30"/>
      <c r="H199" s="83"/>
      <c r="I199" s="23"/>
      <c r="J199" s="23">
        <f t="shared" ca="1" si="17"/>
        <v>137.15696434840555</v>
      </c>
      <c r="K199" s="30"/>
    </row>
    <row r="200" spans="4:11" x14ac:dyDescent="0.15">
      <c r="D200" s="195">
        <v>2084</v>
      </c>
      <c r="E200" s="18"/>
      <c r="F200" s="23"/>
      <c r="G200" s="30"/>
      <c r="H200" s="83"/>
      <c r="I200" s="23"/>
      <c r="J200" s="23">
        <f t="shared" ca="1" si="17"/>
        <v>137.27259614180656</v>
      </c>
      <c r="K200" s="30"/>
    </row>
    <row r="201" spans="4:11" x14ac:dyDescent="0.15">
      <c r="D201" s="195">
        <v>2085</v>
      </c>
      <c r="E201" s="18"/>
      <c r="F201" s="23"/>
      <c r="G201" s="30"/>
      <c r="H201" s="83"/>
      <c r="I201" s="23"/>
      <c r="J201" s="23">
        <f t="shared" ca="1" si="17"/>
        <v>137.38095140214261</v>
      </c>
      <c r="K201" s="30"/>
    </row>
    <row r="202" spans="4:11" x14ac:dyDescent="0.15">
      <c r="D202" s="195">
        <v>2086</v>
      </c>
      <c r="E202" s="18"/>
      <c r="F202" s="23"/>
      <c r="G202" s="30"/>
      <c r="H202" s="83"/>
      <c r="I202" s="23"/>
      <c r="J202" s="23">
        <f t="shared" ca="1" si="17"/>
        <v>137.48247747454633</v>
      </c>
      <c r="K202" s="30"/>
    </row>
    <row r="203" spans="4:11" x14ac:dyDescent="0.15">
      <c r="D203" s="195">
        <v>2087</v>
      </c>
      <c r="E203" s="18"/>
      <c r="F203" s="23"/>
      <c r="G203" s="30"/>
      <c r="H203" s="83"/>
      <c r="I203" s="23"/>
      <c r="J203" s="23">
        <f t="shared" ca="1" si="17"/>
        <v>137.57759550828348</v>
      </c>
      <c r="K203" s="30"/>
    </row>
    <row r="204" spans="4:11" x14ac:dyDescent="0.15">
      <c r="D204" s="195">
        <v>2088</v>
      </c>
      <c r="E204" s="18"/>
      <c r="F204" s="23"/>
      <c r="G204" s="30"/>
      <c r="H204" s="83"/>
      <c r="I204" s="23"/>
      <c r="J204" s="23">
        <f t="shared" ref="J204:J235" ca="1" si="18">F$1/(1+EXP((IF(D204&lt;E$3,AVERAGE(E$5:F$5),AVERAGE(E$2:F$2))-D204)*LN(81)/IF(D204&lt;E$3,F$5-E$5,F$2-E$2)))</f>
        <v>137.66670182775249</v>
      </c>
      <c r="K204" s="30"/>
    </row>
    <row r="205" spans="4:11" x14ac:dyDescent="0.15">
      <c r="D205" s="195">
        <v>2089</v>
      </c>
      <c r="E205" s="18"/>
      <c r="F205" s="23"/>
      <c r="G205" s="30"/>
      <c r="H205" s="83"/>
      <c r="I205" s="23"/>
      <c r="J205" s="23">
        <f t="shared" ca="1" si="18"/>
        <v>137.75016925265956</v>
      </c>
      <c r="K205" s="30"/>
    </row>
    <row r="206" spans="4:11" x14ac:dyDescent="0.15">
      <c r="D206" s="195">
        <v>2090</v>
      </c>
      <c r="E206" s="18"/>
      <c r="F206" s="23"/>
      <c r="G206" s="30"/>
      <c r="H206" s="83"/>
      <c r="I206" s="23"/>
      <c r="J206" s="23">
        <f t="shared" ca="1" si="18"/>
        <v>137.82834836632341</v>
      </c>
      <c r="K206" s="30"/>
    </row>
    <row r="207" spans="4:11" x14ac:dyDescent="0.15">
      <c r="D207" s="195">
        <v>2091</v>
      </c>
      <c r="E207" s="18"/>
      <c r="F207" s="23"/>
      <c r="G207" s="30"/>
      <c r="H207" s="83"/>
      <c r="I207" s="23"/>
      <c r="J207" s="23">
        <f t="shared" ca="1" si="18"/>
        <v>137.90156873160859</v>
      </c>
      <c r="K207" s="30"/>
    </row>
    <row r="208" spans="4:11" x14ac:dyDescent="0.15">
      <c r="D208" s="195">
        <v>2092</v>
      </c>
      <c r="E208" s="18"/>
      <c r="F208" s="23"/>
      <c r="G208" s="30"/>
      <c r="H208" s="83"/>
      <c r="I208" s="23"/>
      <c r="J208" s="23">
        <f t="shared" ca="1" si="18"/>
        <v>137.97014005444433</v>
      </c>
      <c r="K208" s="30"/>
    </row>
    <row r="209" spans="4:11" x14ac:dyDescent="0.15">
      <c r="D209" s="195">
        <v>2093</v>
      </c>
      <c r="E209" s="18"/>
      <c r="F209" s="23"/>
      <c r="G209" s="30"/>
      <c r="H209" s="83"/>
      <c r="I209" s="23"/>
      <c r="J209" s="23">
        <f t="shared" ca="1" si="18"/>
        <v>138.03435329527306</v>
      </c>
      <c r="K209" s="30"/>
    </row>
    <row r="210" spans="4:11" x14ac:dyDescent="0.15">
      <c r="D210" s="195">
        <v>2094</v>
      </c>
      <c r="E210" s="18"/>
      <c r="F210" s="23"/>
      <c r="G210" s="30"/>
      <c r="H210" s="78"/>
      <c r="I210" s="23"/>
      <c r="J210" s="23">
        <f t="shared" ca="1" si="18"/>
        <v>138.09448172909285</v>
      </c>
      <c r="K210" s="30"/>
    </row>
    <row r="211" spans="4:11" x14ac:dyDescent="0.15">
      <c r="D211" s="195">
        <v>2095</v>
      </c>
      <c r="E211" s="18"/>
      <c r="F211" s="23"/>
      <c r="G211" s="30"/>
      <c r="H211" s="78"/>
      <c r="I211" s="23"/>
      <c r="J211" s="23">
        <f t="shared" ca="1" si="18"/>
        <v>138.15078195502187</v>
      </c>
      <c r="K211" s="30"/>
    </row>
    <row r="212" spans="4:11" x14ac:dyDescent="0.15">
      <c r="D212" s="195">
        <v>2096</v>
      </c>
      <c r="E212" s="18"/>
      <c r="F212" s="23"/>
      <c r="G212" s="30"/>
      <c r="H212" s="78"/>
      <c r="I212" s="23"/>
      <c r="J212" s="23">
        <f t="shared" ca="1" si="18"/>
        <v>138.2034948565252</v>
      </c>
      <c r="K212" s="30"/>
    </row>
    <row r="213" spans="4:11" x14ac:dyDescent="0.15">
      <c r="D213" s="195">
        <v>2097</v>
      </c>
      <c r="E213" s="18"/>
      <c r="F213" s="23"/>
      <c r="G213" s="30"/>
      <c r="H213" s="78"/>
      <c r="I213" s="23"/>
      <c r="J213" s="23">
        <f t="shared" ca="1" si="18"/>
        <v>138.25284651361628</v>
      </c>
      <c r="K213" s="30"/>
    </row>
    <row r="214" spans="4:11" x14ac:dyDescent="0.15">
      <c r="D214" s="195">
        <v>2098</v>
      </c>
      <c r="E214" s="18"/>
      <c r="F214" s="23"/>
      <c r="G214" s="30"/>
      <c r="H214" s="78"/>
      <c r="I214" s="23"/>
      <c r="J214" s="23">
        <f t="shared" ca="1" si="18"/>
        <v>138.299049068475</v>
      </c>
      <c r="K214" s="30"/>
    </row>
    <row r="215" spans="4:11" x14ac:dyDescent="0.15">
      <c r="D215" s="195">
        <v>2099</v>
      </c>
      <c r="E215" s="18"/>
      <c r="F215" s="23"/>
      <c r="G215" s="30"/>
      <c r="H215" s="78"/>
      <c r="I215" s="23"/>
      <c r="J215" s="23">
        <f t="shared" ca="1" si="18"/>
        <v>138.34230154602562</v>
      </c>
      <c r="K215" s="30"/>
    </row>
    <row r="216" spans="4:11" x14ac:dyDescent="0.15">
      <c r="D216" s="195">
        <v>2100</v>
      </c>
      <c r="E216" s="18"/>
      <c r="F216" s="23"/>
      <c r="G216" s="30"/>
      <c r="H216" s="78"/>
      <c r="I216" s="23"/>
      <c r="J216" s="23">
        <f t="shared" ca="1" si="18"/>
        <v>138.38279063108817</v>
      </c>
      <c r="K216" s="30"/>
    </row>
    <row r="217" spans="4:11" x14ac:dyDescent="0.15">
      <c r="D217" s="195">
        <v>2101</v>
      </c>
      <c r="E217" s="18"/>
      <c r="F217" s="23"/>
      <c r="G217" s="30"/>
      <c r="H217" s="78"/>
      <c r="I217" s="23"/>
      <c r="J217" s="23">
        <f t="shared" ca="1" si="18"/>
        <v>138.42069140376444</v>
      </c>
      <c r="K217" s="30"/>
    </row>
    <row r="218" spans="4:11" x14ac:dyDescent="0.15">
      <c r="D218" s="195">
        <v>2102</v>
      </c>
      <c r="E218" s="18"/>
      <c r="F218" s="23"/>
      <c r="G218" s="30"/>
      <c r="H218" s="78"/>
      <c r="I218" s="23"/>
      <c r="J218" s="23">
        <f t="shared" ca="1" si="18"/>
        <v>138.45616803474826</v>
      </c>
      <c r="K218" s="30"/>
    </row>
    <row r="219" spans="4:11" x14ac:dyDescent="0.15">
      <c r="D219" s="195">
        <v>2103</v>
      </c>
      <c r="E219" s="18"/>
      <c r="F219" s="23"/>
      <c r="G219" s="30"/>
      <c r="H219" s="78"/>
      <c r="I219" s="23"/>
      <c r="J219" s="23">
        <f t="shared" ca="1" si="18"/>
        <v>138.48937444225717</v>
      </c>
      <c r="K219" s="30"/>
    </row>
    <row r="220" spans="4:11" x14ac:dyDescent="0.15">
      <c r="D220" s="195">
        <v>2104</v>
      </c>
      <c r="E220" s="18"/>
      <c r="F220" s="23"/>
      <c r="G220" s="30"/>
      <c r="H220" s="79"/>
      <c r="I220" s="23"/>
      <c r="J220" s="23">
        <f t="shared" ca="1" si="18"/>
        <v>138.52045491228117</v>
      </c>
      <c r="K220" s="30"/>
    </row>
    <row r="221" spans="4:11" x14ac:dyDescent="0.15">
      <c r="D221" s="195">
        <v>2105</v>
      </c>
      <c r="E221" s="18"/>
      <c r="F221" s="23"/>
      <c r="G221" s="30"/>
      <c r="H221" s="23"/>
      <c r="I221" s="23"/>
      <c r="J221" s="23">
        <f t="shared" ca="1" si="18"/>
        <v>138.54954468382576</v>
      </c>
      <c r="K221" s="30"/>
    </row>
    <row r="222" spans="4:11" x14ac:dyDescent="0.15">
      <c r="D222" s="195">
        <v>2106</v>
      </c>
      <c r="E222" s="18"/>
      <c r="H222" s="23"/>
      <c r="I222" s="23"/>
      <c r="J222" s="23">
        <f t="shared" ca="1" si="18"/>
        <v>138.57677050080156</v>
      </c>
    </row>
    <row r="223" spans="4:11" x14ac:dyDescent="0.15">
      <c r="D223" s="195">
        <v>2107</v>
      </c>
      <c r="E223" s="18"/>
      <c r="I223" s="23"/>
      <c r="J223" s="23">
        <f t="shared" ca="1" si="18"/>
        <v>138.60225113217848</v>
      </c>
    </row>
    <row r="224" spans="4:11" x14ac:dyDescent="0.15">
      <c r="D224" s="195">
        <v>2108</v>
      </c>
      <c r="E224" s="18"/>
      <c r="I224" s="23"/>
      <c r="J224" s="23">
        <f t="shared" ca="1" si="18"/>
        <v>138.6260978619826</v>
      </c>
    </row>
    <row r="225" spans="4:10" x14ac:dyDescent="0.15">
      <c r="D225" s="195">
        <v>2109</v>
      </c>
      <c r="E225" s="18"/>
      <c r="I225" s="23"/>
      <c r="J225" s="23">
        <f t="shared" ca="1" si="18"/>
        <v>138.64841495066705</v>
      </c>
    </row>
    <row r="226" spans="4:10" x14ac:dyDescent="0.15">
      <c r="D226" s="195">
        <v>2110</v>
      </c>
      <c r="E226" s="18"/>
      <c r="I226" s="23"/>
      <c r="J226" s="23">
        <f t="shared" ca="1" si="18"/>
        <v>138.66930006934172</v>
      </c>
    </row>
    <row r="227" spans="4:10" x14ac:dyDescent="0.15">
      <c r="D227" s="195">
        <v>2111</v>
      </c>
      <c r="E227" s="18"/>
      <c r="I227" s="23"/>
      <c r="J227" s="23">
        <f t="shared" ca="1" si="18"/>
        <v>138.68884470829238</v>
      </c>
    </row>
    <row r="228" spans="4:10" x14ac:dyDescent="0.15">
      <c r="D228" s="195">
        <v>2112</v>
      </c>
      <c r="E228" s="18"/>
      <c r="I228" s="23"/>
      <c r="J228" s="23">
        <f t="shared" ca="1" si="18"/>
        <v>138.70713456116727</v>
      </c>
    </row>
    <row r="229" spans="4:10" x14ac:dyDescent="0.15">
      <c r="D229" s="195">
        <v>2113</v>
      </c>
      <c r="E229" s="18"/>
      <c r="I229" s="23"/>
      <c r="J229" s="23">
        <f t="shared" ca="1" si="18"/>
        <v>138.72424988615444</v>
      </c>
    </row>
    <row r="230" spans="4:10" x14ac:dyDescent="0.15">
      <c r="D230" s="195">
        <v>2114</v>
      </c>
      <c r="E230" s="18"/>
      <c r="I230" s="23"/>
      <c r="J230" s="23">
        <f t="shared" ca="1" si="18"/>
        <v>138.74026584541738</v>
      </c>
    </row>
    <row r="231" spans="4:10" x14ac:dyDescent="0.15">
      <c r="D231" s="195">
        <v>2115</v>
      </c>
      <c r="E231" s="18"/>
      <c r="I231" s="23"/>
      <c r="J231" s="23">
        <f t="shared" ca="1" si="18"/>
        <v>138.75525282400079</v>
      </c>
    </row>
    <row r="232" spans="4:10" x14ac:dyDescent="0.15">
      <c r="D232" s="195">
        <v>2116</v>
      </c>
      <c r="E232" s="18"/>
      <c r="I232" s="23"/>
      <c r="J232" s="23">
        <f t="shared" ca="1" si="18"/>
        <v>138.76927672936429</v>
      </c>
    </row>
    <row r="233" spans="4:10" x14ac:dyDescent="0.15">
      <c r="D233" s="195">
        <v>2117</v>
      </c>
      <c r="E233" s="18"/>
      <c r="I233" s="23"/>
      <c r="J233" s="23">
        <f t="shared" ca="1" si="18"/>
        <v>138.78239927264639</v>
      </c>
    </row>
    <row r="234" spans="4:10" x14ac:dyDescent="0.15">
      <c r="D234" s="195">
        <v>2118</v>
      </c>
      <c r="E234" s="18"/>
      <c r="I234" s="23"/>
      <c r="J234" s="23">
        <f t="shared" ca="1" si="18"/>
        <v>138.79467823270889</v>
      </c>
    </row>
    <row r="235" spans="4:10" x14ac:dyDescent="0.15">
      <c r="D235" s="195">
        <v>2119</v>
      </c>
      <c r="E235" s="18"/>
      <c r="I235" s="23"/>
      <c r="J235" s="23">
        <f t="shared" ca="1" si="18"/>
        <v>138.80616770395886</v>
      </c>
    </row>
    <row r="236" spans="4:10" x14ac:dyDescent="0.15">
      <c r="D236" s="195">
        <v>2120</v>
      </c>
      <c r="E236" s="18"/>
      <c r="I236" s="23"/>
      <c r="J236" s="23">
        <f t="shared" ref="J236:J266" ca="1" si="19">F$1/(1+EXP((IF(D236&lt;E$3,AVERAGE(E$5:F$5),AVERAGE(E$2:F$2))-D236)*LN(81)/IF(D236&lt;E$3,F$5-E$5,F$2-E$2)))</f>
        <v>138.81691832889601</v>
      </c>
    </row>
    <row r="237" spans="4:10" x14ac:dyDescent="0.15">
      <c r="D237" s="195">
        <v>2121</v>
      </c>
      <c r="E237" s="18"/>
      <c r="I237" s="23"/>
      <c r="J237" s="23">
        <f t="shared" ca="1" si="19"/>
        <v>138.82697751628305</v>
      </c>
    </row>
    <row r="238" spans="4:10" x14ac:dyDescent="0.15">
      <c r="D238" s="195">
        <v>2122</v>
      </c>
      <c r="E238" s="18"/>
      <c r="I238" s="23"/>
      <c r="J238" s="23">
        <f t="shared" ca="1" si="19"/>
        <v>138.83638964579063</v>
      </c>
    </row>
    <row r="239" spans="4:10" x14ac:dyDescent="0.15">
      <c r="D239" s="195">
        <v>2123</v>
      </c>
      <c r="E239" s="18"/>
      <c r="I239" s="23"/>
      <c r="J239" s="23">
        <f t="shared" ca="1" si="19"/>
        <v>138.84519625992144</v>
      </c>
    </row>
    <row r="240" spans="4:10" x14ac:dyDescent="0.15">
      <c r="D240" s="195">
        <v>2124</v>
      </c>
      <c r="E240" s="18"/>
      <c r="I240" s="23"/>
      <c r="J240" s="23">
        <f t="shared" ca="1" si="19"/>
        <v>138.85343624397632</v>
      </c>
    </row>
    <row r="241" spans="4:10" x14ac:dyDescent="0.15">
      <c r="D241" s="195">
        <v>2125</v>
      </c>
      <c r="E241" s="18"/>
      <c r="I241" s="23"/>
      <c r="J241" s="23">
        <f t="shared" ca="1" si="19"/>
        <v>138.86114599478068</v>
      </c>
    </row>
    <row r="242" spans="4:10" x14ac:dyDescent="0.15">
      <c r="D242" s="195">
        <v>2126</v>
      </c>
      <c r="E242" s="18"/>
      <c r="I242" s="23"/>
      <c r="J242" s="23">
        <f t="shared" ca="1" si="19"/>
        <v>138.86835957885256</v>
      </c>
    </row>
    <row r="243" spans="4:10" x14ac:dyDescent="0.15">
      <c r="D243" s="195">
        <v>2127</v>
      </c>
      <c r="E243" s="18"/>
      <c r="I243" s="23"/>
      <c r="J243" s="23">
        <f t="shared" ca="1" si="19"/>
        <v>138.87510888065219</v>
      </c>
    </row>
    <row r="244" spans="4:10" x14ac:dyDescent="0.15">
      <c r="D244" s="195">
        <v>2128</v>
      </c>
      <c r="E244" s="18"/>
      <c r="I244" s="23"/>
      <c r="J244" s="23">
        <f t="shared" ca="1" si="19"/>
        <v>138.88142374151903</v>
      </c>
    </row>
    <row r="245" spans="4:10" x14ac:dyDescent="0.15">
      <c r="D245" s="195">
        <v>2129</v>
      </c>
      <c r="E245" s="18"/>
      <c r="I245" s="23"/>
      <c r="J245" s="23">
        <f t="shared" ca="1" si="19"/>
        <v>138.88733208986611</v>
      </c>
    </row>
    <row r="246" spans="4:10" x14ac:dyDescent="0.15">
      <c r="D246" s="195">
        <v>2130</v>
      </c>
      <c r="E246" s="18"/>
      <c r="I246" s="23"/>
      <c r="J246" s="23">
        <f t="shared" ca="1" si="19"/>
        <v>138.89286006316843</v>
      </c>
    </row>
    <row r="247" spans="4:10" x14ac:dyDescent="0.15">
      <c r="D247" s="195">
        <v>2131</v>
      </c>
      <c r="E247" s="18"/>
      <c r="I247" s="23"/>
      <c r="J247" s="23">
        <f t="shared" ca="1" si="19"/>
        <v>138.89803212225178</v>
      </c>
    </row>
    <row r="248" spans="4:10" x14ac:dyDescent="0.15">
      <c r="D248" s="195">
        <v>2132</v>
      </c>
      <c r="E248" s="18"/>
      <c r="I248" s="23"/>
      <c r="J248" s="23">
        <f t="shared" ca="1" si="19"/>
        <v>138.9028711583579</v>
      </c>
    </row>
    <row r="249" spans="4:10" x14ac:dyDescent="0.15">
      <c r="D249" s="195">
        <v>2133</v>
      </c>
      <c r="E249" s="18"/>
      <c r="I249" s="23"/>
      <c r="J249" s="23">
        <f t="shared" ca="1" si="19"/>
        <v>138.90739859343344</v>
      </c>
    </row>
    <row r="250" spans="4:10" x14ac:dyDescent="0.15">
      <c r="D250" s="195">
        <v>2134</v>
      </c>
      <c r="E250" s="18"/>
      <c r="I250" s="23"/>
      <c r="J250" s="23">
        <f t="shared" ca="1" si="19"/>
        <v>138.91163447406439</v>
      </c>
    </row>
    <row r="251" spans="4:10" x14ac:dyDescent="0.15">
      <c r="D251" s="195">
        <v>2135</v>
      </c>
      <c r="E251" s="18"/>
      <c r="I251" s="23"/>
      <c r="J251" s="23">
        <f t="shared" ca="1" si="19"/>
        <v>138.91559755945178</v>
      </c>
    </row>
    <row r="252" spans="4:10" x14ac:dyDescent="0.15">
      <c r="D252" s="195">
        <v>2136</v>
      </c>
      <c r="E252" s="18"/>
      <c r="I252" s="23"/>
      <c r="J252" s="23">
        <f t="shared" ca="1" si="19"/>
        <v>138.91930540380082</v>
      </c>
    </row>
    <row r="253" spans="4:10" x14ac:dyDescent="0.15">
      <c r="D253" s="195">
        <v>2137</v>
      </c>
      <c r="E253" s="18"/>
      <c r="I253" s="23"/>
      <c r="J253" s="23">
        <f t="shared" ca="1" si="19"/>
        <v>138.92277443347302</v>
      </c>
    </row>
    <row r="254" spans="4:10" x14ac:dyDescent="0.15">
      <c r="D254" s="195">
        <v>2138</v>
      </c>
      <c r="E254" s="18"/>
      <c r="I254" s="23"/>
      <c r="J254" s="23">
        <f t="shared" ca="1" si="19"/>
        <v>138.9260200192299</v>
      </c>
    </row>
    <row r="255" spans="4:10" x14ac:dyDescent="0.15">
      <c r="D255" s="195">
        <v>2139</v>
      </c>
      <c r="E255" s="18"/>
      <c r="I255" s="23"/>
      <c r="J255" s="23">
        <f t="shared" ca="1" si="19"/>
        <v>138.92905654387647</v>
      </c>
    </row>
    <row r="256" spans="4:10" x14ac:dyDescent="0.15">
      <c r="D256" s="195">
        <v>2140</v>
      </c>
      <c r="E256" s="18"/>
      <c r="I256" s="23"/>
      <c r="J256" s="23">
        <f t="shared" ca="1" si="19"/>
        <v>138.93189746559418</v>
      </c>
    </row>
    <row r="257" spans="4:10" x14ac:dyDescent="0.15">
      <c r="D257" s="195">
        <v>2141</v>
      </c>
      <c r="E257" s="18"/>
      <c r="I257" s="23"/>
      <c r="J257" s="23">
        <f t="shared" ca="1" si="19"/>
        <v>138.93455537723466</v>
      </c>
    </row>
    <row r="258" spans="4:10" x14ac:dyDescent="0.15">
      <c r="D258" s="195">
        <v>2142</v>
      </c>
      <c r="E258" s="18"/>
      <c r="I258" s="23"/>
      <c r="J258" s="23">
        <f t="shared" ca="1" si="19"/>
        <v>138.93704206182969</v>
      </c>
    </row>
    <row r="259" spans="4:10" x14ac:dyDescent="0.15">
      <c r="D259" s="195">
        <v>2143</v>
      </c>
      <c r="E259" s="18"/>
      <c r="I259" s="23"/>
      <c r="J259" s="23">
        <f t="shared" ca="1" si="19"/>
        <v>138.93936854455626</v>
      </c>
    </row>
    <row r="260" spans="4:10" x14ac:dyDescent="0.15">
      <c r="D260" s="195">
        <v>2144</v>
      </c>
      <c r="E260" s="18"/>
      <c r="I260" s="23"/>
      <c r="J260" s="23">
        <f t="shared" ca="1" si="19"/>
        <v>138.94154514138117</v>
      </c>
    </row>
    <row r="261" spans="4:10" x14ac:dyDescent="0.15">
      <c r="D261" s="195">
        <v>2145</v>
      </c>
      <c r="E261" s="18"/>
      <c r="I261" s="23"/>
      <c r="J261" s="23">
        <f t="shared" ca="1" si="19"/>
        <v>138.94358150459564</v>
      </c>
    </row>
    <row r="262" spans="4:10" x14ac:dyDescent="0.15">
      <c r="D262" s="195">
        <v>2146</v>
      </c>
      <c r="E262" s="18"/>
      <c r="I262" s="23"/>
      <c r="J262" s="23">
        <f t="shared" ca="1" si="19"/>
        <v>138.94548666543702</v>
      </c>
    </row>
    <row r="263" spans="4:10" x14ac:dyDescent="0.15">
      <c r="D263" s="195">
        <v>2147</v>
      </c>
      <c r="E263" s="18"/>
      <c r="I263" s="23"/>
      <c r="J263" s="23">
        <f t="shared" ca="1" si="19"/>
        <v>138.94726907398302</v>
      </c>
    </row>
    <row r="264" spans="4:10" x14ac:dyDescent="0.15">
      <c r="D264" s="195">
        <v>2148</v>
      </c>
      <c r="E264" s="18"/>
      <c r="I264" s="23"/>
      <c r="J264" s="23">
        <f t="shared" ca="1" si="19"/>
        <v>138.9489366364912</v>
      </c>
    </row>
    <row r="265" spans="4:10" x14ac:dyDescent="0.15">
      <c r="D265" s="195">
        <v>2149</v>
      </c>
      <c r="E265" s="18"/>
      <c r="I265" s="23"/>
      <c r="J265" s="23">
        <f t="shared" ca="1" si="19"/>
        <v>138.95049675034682</v>
      </c>
    </row>
    <row r="266" spans="4:10" x14ac:dyDescent="0.15">
      <c r="D266" s="195">
        <v>2150</v>
      </c>
      <c r="E266" s="18"/>
      <c r="I266" s="23"/>
      <c r="J266" s="23">
        <f t="shared" ca="1" si="19"/>
        <v>138.9519563367713</v>
      </c>
    </row>
    <row r="267" spans="4:10" x14ac:dyDescent="0.15">
      <c r="E267" s="18"/>
      <c r="I267" s="23"/>
      <c r="J267" s="23"/>
    </row>
    <row r="268" spans="4:10" x14ac:dyDescent="0.15">
      <c r="E268" s="18"/>
      <c r="J268" s="23"/>
    </row>
    <row r="269" spans="4:10" x14ac:dyDescent="0.15">
      <c r="E269" s="18"/>
      <c r="J269" s="23"/>
    </row>
    <row r="270" spans="4:10" x14ac:dyDescent="0.15">
      <c r="E270" s="18"/>
      <c r="J270" s="23"/>
    </row>
    <row r="271" spans="4:10" x14ac:dyDescent="0.15">
      <c r="E271" s="18"/>
      <c r="J271" s="23"/>
    </row>
    <row r="272" spans="4:10" x14ac:dyDescent="0.15">
      <c r="E272" s="18"/>
      <c r="J272" s="23"/>
    </row>
    <row r="273" spans="5:10" x14ac:dyDescent="0.15">
      <c r="E273" s="18"/>
      <c r="J273" s="23"/>
    </row>
    <row r="274" spans="5:10" x14ac:dyDescent="0.15">
      <c r="J274" s="23"/>
    </row>
    <row r="275" spans="5:10" x14ac:dyDescent="0.15">
      <c r="J275" s="23"/>
    </row>
    <row r="276" spans="5:10" x14ac:dyDescent="0.15">
      <c r="J276" s="23"/>
    </row>
    <row r="277" spans="5:10" x14ac:dyDescent="0.15">
      <c r="J277" s="23"/>
    </row>
    <row r="278" spans="5:10" x14ac:dyDescent="0.15">
      <c r="J278" s="23"/>
    </row>
    <row r="279" spans="5:10" x14ac:dyDescent="0.15">
      <c r="J279" s="23"/>
    </row>
    <row r="280" spans="5:10" x14ac:dyDescent="0.15">
      <c r="J280" s="23"/>
    </row>
    <row r="281" spans="5:10" x14ac:dyDescent="0.15">
      <c r="J281" s="23"/>
    </row>
    <row r="282" spans="5:10" x14ac:dyDescent="0.15">
      <c r="J282" s="23"/>
    </row>
    <row r="283" spans="5:10" x14ac:dyDescent="0.15">
      <c r="J283" s="23"/>
    </row>
    <row r="284" spans="5:10" x14ac:dyDescent="0.15">
      <c r="J284" s="23"/>
    </row>
    <row r="285" spans="5:10" x14ac:dyDescent="0.15">
      <c r="J285" s="23"/>
    </row>
    <row r="286" spans="5:10" x14ac:dyDescent="0.15">
      <c r="J286" s="23"/>
    </row>
    <row r="287" spans="5:10" x14ac:dyDescent="0.15">
      <c r="J287" s="23"/>
    </row>
    <row r="288" spans="5:10" x14ac:dyDescent="0.15">
      <c r="J288" s="23"/>
    </row>
    <row r="289" spans="10:10" x14ac:dyDescent="0.15">
      <c r="J289" s="23"/>
    </row>
    <row r="290" spans="10:10" x14ac:dyDescent="0.15">
      <c r="J290" s="23"/>
    </row>
    <row r="291" spans="10:10" x14ac:dyDescent="0.15">
      <c r="J291" s="23"/>
    </row>
    <row r="292" spans="10:10" x14ac:dyDescent="0.15">
      <c r="J292" s="23"/>
    </row>
    <row r="293" spans="10:10" x14ac:dyDescent="0.15">
      <c r="J293" s="23"/>
    </row>
    <row r="294" spans="10:10" x14ac:dyDescent="0.15">
      <c r="J294" s="23"/>
    </row>
    <row r="295" spans="10:10" x14ac:dyDescent="0.15">
      <c r="J295" s="23"/>
    </row>
    <row r="296" spans="10:10" x14ac:dyDescent="0.15">
      <c r="J296" s="23"/>
    </row>
    <row r="297" spans="10:10" x14ac:dyDescent="0.15">
      <c r="J297" s="23"/>
    </row>
    <row r="298" spans="10:10" x14ac:dyDescent="0.15">
      <c r="J298" s="23"/>
    </row>
    <row r="299" spans="10:10" x14ac:dyDescent="0.15">
      <c r="J299" s="23"/>
    </row>
    <row r="300" spans="10:10" x14ac:dyDescent="0.15">
      <c r="J300" s="23"/>
    </row>
    <row r="301" spans="10:10" x14ac:dyDescent="0.15">
      <c r="J301" s="23"/>
    </row>
    <row r="302" spans="10:10" x14ac:dyDescent="0.15">
      <c r="J302" s="23"/>
    </row>
    <row r="303" spans="10:10" x14ac:dyDescent="0.15">
      <c r="J303" s="23"/>
    </row>
    <row r="304" spans="10:10" x14ac:dyDescent="0.15">
      <c r="J304" s="23"/>
    </row>
    <row r="305" spans="10:10" x14ac:dyDescent="0.15">
      <c r="J305" s="23"/>
    </row>
    <row r="306" spans="10:10" x14ac:dyDescent="0.15">
      <c r="J306" s="23"/>
    </row>
    <row r="307" spans="10:10" x14ac:dyDescent="0.15">
      <c r="J307" s="23"/>
    </row>
    <row r="308" spans="10:10" x14ac:dyDescent="0.15">
      <c r="J308" s="23"/>
    </row>
    <row r="309" spans="10:10" x14ac:dyDescent="0.15">
      <c r="J309" s="23"/>
    </row>
    <row r="310" spans="10:10" x14ac:dyDescent="0.15">
      <c r="J310" s="23"/>
    </row>
    <row r="311" spans="10:10" x14ac:dyDescent="0.15">
      <c r="J311" s="23"/>
    </row>
    <row r="312" spans="10:10" x14ac:dyDescent="0.15">
      <c r="J312" s="23"/>
    </row>
    <row r="313" spans="10:10" x14ac:dyDescent="0.15">
      <c r="J313" s="23"/>
    </row>
    <row r="314" spans="10:10" x14ac:dyDescent="0.15">
      <c r="J314" s="23"/>
    </row>
    <row r="315" spans="10:10" x14ac:dyDescent="0.15">
      <c r="J315" s="23"/>
    </row>
    <row r="316" spans="10:10" x14ac:dyDescent="0.15">
      <c r="J316" s="23"/>
    </row>
    <row r="317" spans="10:10" x14ac:dyDescent="0.15">
      <c r="J317" s="23"/>
    </row>
    <row r="318" spans="10:10" x14ac:dyDescent="0.15">
      <c r="J318" s="23"/>
    </row>
    <row r="319" spans="10:10" x14ac:dyDescent="0.15">
      <c r="J319" s="23"/>
    </row>
    <row r="320" spans="10:10" x14ac:dyDescent="0.15">
      <c r="J320" s="23"/>
    </row>
    <row r="321" spans="10:10" x14ac:dyDescent="0.15">
      <c r="J321" s="23"/>
    </row>
    <row r="322" spans="10:10" x14ac:dyDescent="0.15">
      <c r="J322" s="23"/>
    </row>
    <row r="323" spans="10:10" x14ac:dyDescent="0.15">
      <c r="J323" s="23"/>
    </row>
    <row r="324" spans="10:10" x14ac:dyDescent="0.15">
      <c r="J324" s="23"/>
    </row>
    <row r="325" spans="10:10" x14ac:dyDescent="0.15">
      <c r="J325" s="23"/>
    </row>
    <row r="326" spans="10:10" x14ac:dyDescent="0.15">
      <c r="J326" s="23"/>
    </row>
    <row r="327" spans="10:10" x14ac:dyDescent="0.15">
      <c r="J327" s="23"/>
    </row>
    <row r="328" spans="10:10" x14ac:dyDescent="0.15">
      <c r="J328" s="23"/>
    </row>
    <row r="329" spans="10:10" x14ac:dyDescent="0.15">
      <c r="J329" s="23"/>
    </row>
    <row r="330" spans="10:10" x14ac:dyDescent="0.15">
      <c r="J330" s="23"/>
    </row>
    <row r="331" spans="10:10" x14ac:dyDescent="0.15">
      <c r="J331" s="23"/>
    </row>
    <row r="332" spans="10:10" x14ac:dyDescent="0.15">
      <c r="J332" s="23"/>
    </row>
    <row r="333" spans="10:10" x14ac:dyDescent="0.15">
      <c r="J333" s="23"/>
    </row>
    <row r="334" spans="10:10" x14ac:dyDescent="0.15">
      <c r="J334" s="23"/>
    </row>
    <row r="335" spans="10:10" x14ac:dyDescent="0.15">
      <c r="J335" s="23"/>
    </row>
    <row r="336" spans="10:10" x14ac:dyDescent="0.15">
      <c r="J336" s="23"/>
    </row>
    <row r="337" spans="10:10" x14ac:dyDescent="0.15">
      <c r="J337" s="23"/>
    </row>
    <row r="338" spans="10:10" x14ac:dyDescent="0.15">
      <c r="J338" s="23"/>
    </row>
    <row r="339" spans="10:10" x14ac:dyDescent="0.15">
      <c r="J339" s="23"/>
    </row>
    <row r="340" spans="10:10" x14ac:dyDescent="0.15">
      <c r="J340" s="23"/>
    </row>
    <row r="341" spans="10:10" x14ac:dyDescent="0.15">
      <c r="J341" s="23"/>
    </row>
    <row r="342" spans="10:10" x14ac:dyDescent="0.15">
      <c r="J342" s="23"/>
    </row>
    <row r="343" spans="10:10" x14ac:dyDescent="0.15">
      <c r="J343" s="23"/>
    </row>
    <row r="344" spans="10:10" x14ac:dyDescent="0.15">
      <c r="J344" s="23"/>
    </row>
    <row r="345" spans="10:10" x14ac:dyDescent="0.15">
      <c r="J345" s="23"/>
    </row>
    <row r="346" spans="10:10" x14ac:dyDescent="0.15">
      <c r="J346" s="23"/>
    </row>
    <row r="347" spans="10:10" x14ac:dyDescent="0.15">
      <c r="J347" s="23"/>
    </row>
    <row r="348" spans="10:10" x14ac:dyDescent="0.15">
      <c r="J348" s="23"/>
    </row>
    <row r="349" spans="10:10" x14ac:dyDescent="0.15">
      <c r="J349" s="23"/>
    </row>
    <row r="350" spans="10:10" x14ac:dyDescent="0.15">
      <c r="J350" s="23"/>
    </row>
    <row r="351" spans="10:10" x14ac:dyDescent="0.15">
      <c r="J351" s="23"/>
    </row>
    <row r="352" spans="10:10" x14ac:dyDescent="0.15">
      <c r="J352" s="23"/>
    </row>
    <row r="353" spans="10:10" x14ac:dyDescent="0.15">
      <c r="J353" s="23"/>
    </row>
    <row r="354" spans="10:10" x14ac:dyDescent="0.15">
      <c r="J354" s="23"/>
    </row>
    <row r="355" spans="10:10" x14ac:dyDescent="0.15">
      <c r="J355" s="23"/>
    </row>
    <row r="356" spans="10:10" x14ac:dyDescent="0.15">
      <c r="J356" s="23"/>
    </row>
    <row r="357" spans="10:10" x14ac:dyDescent="0.15">
      <c r="J357" s="23"/>
    </row>
    <row r="358" spans="10:10" x14ac:dyDescent="0.15">
      <c r="J358" s="23"/>
    </row>
    <row r="359" spans="10:10" x14ac:dyDescent="0.15">
      <c r="J359" s="23"/>
    </row>
    <row r="360" spans="10:10" x14ac:dyDescent="0.15">
      <c r="J360" s="23"/>
    </row>
    <row r="361" spans="10:10" x14ac:dyDescent="0.15">
      <c r="J361" s="23"/>
    </row>
    <row r="362" spans="10:10" x14ac:dyDescent="0.15">
      <c r="J362" s="23"/>
    </row>
    <row r="363" spans="10:10" x14ac:dyDescent="0.15">
      <c r="J363" s="23"/>
    </row>
  </sheetData>
  <pageMargins left="0.7" right="0.7" top="0.75" bottom="0.75" header="0.3" footer="0.3"/>
  <pageSetup scale="55"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tabColor rgb="FF008000"/>
  </sheetPr>
  <dimension ref="C1:V333"/>
  <sheetViews>
    <sheetView topLeftCell="A66" zoomScaleNormal="100" workbookViewId="0">
      <selection activeCell="C120" sqref="C120"/>
    </sheetView>
  </sheetViews>
  <sheetFormatPr baseColWidth="10" defaultColWidth="9.1640625" defaultRowHeight="11" x14ac:dyDescent="0.15"/>
  <cols>
    <col min="1" max="1" width="6.6640625" style="15" customWidth="1"/>
    <col min="2" max="2" width="90.6640625" style="15" customWidth="1"/>
    <col min="3" max="3" width="7.5" style="15" customWidth="1"/>
    <col min="4" max="4" width="4.5" style="15" bestFit="1" customWidth="1"/>
    <col min="5" max="5" width="9" style="15" bestFit="1" customWidth="1"/>
    <col min="6" max="6" width="4.83203125" style="15" bestFit="1" customWidth="1"/>
    <col min="7" max="7" width="16.33203125" style="15" bestFit="1" customWidth="1"/>
    <col min="8" max="8" width="8.6640625" style="15" bestFit="1" customWidth="1"/>
    <col min="9" max="9" width="6.5" style="15" bestFit="1" customWidth="1"/>
    <col min="10" max="10" width="4.83203125" style="15" bestFit="1" customWidth="1"/>
    <col min="11" max="11" width="5.33203125" style="15" bestFit="1" customWidth="1"/>
    <col min="12" max="12" width="7" style="15" customWidth="1"/>
    <col min="13" max="13" width="6" style="15" bestFit="1" customWidth="1"/>
    <col min="14" max="14" width="12" style="15" bestFit="1" customWidth="1"/>
    <col min="15" max="15" width="8.1640625" style="15" customWidth="1"/>
    <col min="16" max="16" width="22" style="15" customWidth="1"/>
    <col min="17" max="17" width="4.83203125" style="15" bestFit="1" customWidth="1"/>
    <col min="18" max="19" width="9.1640625" style="15"/>
    <col min="20" max="20" width="12" style="15" bestFit="1" customWidth="1"/>
    <col min="21" max="21" width="11.1640625" style="15" bestFit="1" customWidth="1"/>
    <col min="22" max="16384" width="9.1640625" style="15"/>
  </cols>
  <sheetData>
    <row r="1" spans="3:20" x14ac:dyDescent="0.15">
      <c r="E1" s="32">
        <f ca="1">(RSQ(OFFSET(G$18,E$3-D$18,0):OFFSET(G$18,E$4-D$18,0),OFFSET(D$18,E$3-D$18,0):OFFSET(D$18,E$4-D$18,0))*DEVSQ(OFFSET(G$18,E$3-D$18,0):OFFSET(G$18,E$4-D$18,0))+RSQ(OFFSET(G$18,E$6-D$18,0):OFFSET(G$18,E$7-D$18,0),OFFSET(D$18,E$6-D$18,0):OFFSET(D$18,E$7-D$18,0))*DEVSQ(OFFSET(G$18,E$6-D$18,0):OFFSET(G$18,E$7-D$18,0)))/(DEVSQ(OFFSET(G$18,E$3-D$18,0):OFFSET(G$18,E$4-D$18,0))+DEVSQ(OFFSET(G$18,E$6-D$18,0):OFFSET(G$18,E$7-D$18,0)))</f>
        <v>0.99987786034473169</v>
      </c>
      <c r="F1" s="23">
        <v>18.004250533319471</v>
      </c>
      <c r="G1" s="238" t="s">
        <v>79</v>
      </c>
      <c r="H1" s="23"/>
    </row>
    <row r="2" spans="3:20" x14ac:dyDescent="0.15">
      <c r="E2" s="35">
        <f ca="1">(-INTERCEPT(OFFSET(G$18,E3-D$18,0):OFFSET(G$18,E4-D$18,0),OFFSET(D$18,E3-D$18,0):OFFSET(D$18,E4-D$18,0))+NORMSINV(0.1))/SLOPE(OFFSET(G$18,E3-D$18,0):OFFSET(G$18,E4-D$18,0),OFFSET(D$18,E3-D$18,0):OFFSET(D$18,E4-D$18,0))</f>
        <v>1973.5183493920463</v>
      </c>
      <c r="F2" s="122">
        <f ca="1">(-INTERCEPT(OFFSET(G$18,E3-D$18,0):OFFSET(G$18,E4-D$18,0),OFFSET(D$18,E3-D$18,0):OFFSET(D$18,E4-D$18,0))+NORMSINV(0.9))/SLOPE(OFFSET(G$18,E3-D$18,0):OFFSET(G$18,E4-D$18,0),OFFSET(D$18,E3-D$18,0):OFFSET(D$18,E4-D$18,0))</f>
        <v>2095.5794774515857</v>
      </c>
      <c r="G2" s="250" t="s">
        <v>176</v>
      </c>
      <c r="H2" s="92"/>
      <c r="I2" s="35"/>
      <c r="J2" s="74"/>
    </row>
    <row r="3" spans="3:20" x14ac:dyDescent="0.15">
      <c r="E3" s="15">
        <v>1935</v>
      </c>
      <c r="F3" s="8">
        <f ca="1">(E3-AVERAGE(E$2:F$2))/(F$2-E$2)*(NORMSINV(0.9)-NORMSINV(0.1))</f>
        <v>-2.0903799247498709</v>
      </c>
      <c r="G3" s="120" t="s">
        <v>81</v>
      </c>
      <c r="H3" s="29"/>
    </row>
    <row r="4" spans="3:20" x14ac:dyDescent="0.15">
      <c r="E4" s="35">
        <f>E6-1</f>
        <v>1976</v>
      </c>
      <c r="F4" s="8">
        <f ca="1">(E4-AVERAGE(E$2:F$2))/(F$2-E$2)*(NORMSINV(0.9)-NORMSINV(0.1))</f>
        <v>-1.2294405737437304</v>
      </c>
      <c r="G4" s="24"/>
      <c r="H4" s="29"/>
    </row>
    <row r="5" spans="3:20" x14ac:dyDescent="0.15">
      <c r="E5" s="35">
        <f ca="1">(-INTERCEPT(OFFSET(G$18,E6-D$18,0):OFFSET(G$18,E7-D$18,0),OFFSET(D$18,E6-D$18,0):OFFSET(D$18,E7-D$18,0))+NORMSINV(0.1))/SLOPE(OFFSET(G$18,E6-D$18,0):OFFSET(G$18,E7-D$18,0),OFFSET(D$18,E6-D$18,0):OFFSET(D$18,E7-D$18,0))</f>
        <v>1974.8231730675079</v>
      </c>
      <c r="F5" s="122">
        <f ca="1">(-INTERCEPT(OFFSET(G$18,E6-D$18,0):OFFSET(G$18,E7-D$18,0),OFFSET(D$18,E6-D$18,0):OFFSET(D$18,E7-D$18,0))+NORMSINV(0.9))/SLOPE(OFFSET(G$18,E6-D$18,0):OFFSET(G$18,E7-D$18,0),OFFSET(D$18,E6-D$18,0):OFFSET(D$18,E7-D$18,0))</f>
        <v>2047.6660456137529</v>
      </c>
      <c r="G5" s="249" t="s">
        <v>249</v>
      </c>
    </row>
    <row r="6" spans="3:20" x14ac:dyDescent="0.15">
      <c r="E6" s="35">
        <v>1977</v>
      </c>
      <c r="F6" s="8">
        <f ca="1">(E6-AVERAGE(E$5:F$5))/(F$5-E$5)*(NORMSINV(0.9)-NORMSINV(0.1))</f>
        <v>-1.2049561248174714</v>
      </c>
      <c r="G6" s="247" t="s">
        <v>247</v>
      </c>
      <c r="H6" s="29"/>
      <c r="M6" s="23"/>
      <c r="O6" s="24"/>
      <c r="P6" s="24"/>
      <c r="Q6" s="87"/>
      <c r="R6" s="35"/>
      <c r="S6" s="88"/>
      <c r="T6" s="92"/>
    </row>
    <row r="7" spans="3:20" x14ac:dyDescent="0.15">
      <c r="E7" s="35">
        <f ca="1">OFFSET(D18, COUNT(E19:E199),0)</f>
        <v>2009</v>
      </c>
      <c r="F7" s="8">
        <f ca="1">(E7-AVERAGE(E$5:F$5))/(F$5-E$5)*(NORMSINV(0.9)-NORMSINV(0.1))</f>
        <v>-7.8980482618795783E-2</v>
      </c>
      <c r="G7" s="24"/>
      <c r="H7" s="29"/>
      <c r="L7" s="123"/>
      <c r="M7" s="35"/>
      <c r="N7" s="93"/>
      <c r="O7" s="35"/>
      <c r="P7" s="35"/>
      <c r="Q7" s="92"/>
      <c r="R7" s="35"/>
      <c r="S7" s="74"/>
    </row>
    <row r="8" spans="3:20" x14ac:dyDescent="0.15">
      <c r="E8" s="32">
        <v>0.99997376726144027</v>
      </c>
      <c r="F8" s="23">
        <v>31.694402304324814</v>
      </c>
      <c r="G8" s="173" t="s">
        <v>76</v>
      </c>
      <c r="H8" s="29"/>
      <c r="L8" s="124"/>
      <c r="M8" s="35"/>
      <c r="N8" s="93"/>
      <c r="O8" s="35"/>
      <c r="P8" s="35"/>
      <c r="Q8" s="92"/>
      <c r="R8" s="35"/>
      <c r="S8" s="74"/>
    </row>
    <row r="9" spans="3:20" x14ac:dyDescent="0.15">
      <c r="E9" s="32">
        <v>0.99985868155316515</v>
      </c>
      <c r="F9" s="23">
        <v>17.686799053192185</v>
      </c>
      <c r="G9" s="246" t="s">
        <v>246</v>
      </c>
      <c r="H9" s="29"/>
      <c r="M9" s="123"/>
      <c r="N9" s="93"/>
      <c r="O9" s="121"/>
      <c r="P9" s="121"/>
      <c r="Q9" s="92"/>
      <c r="R9" s="35"/>
      <c r="S9" s="74"/>
    </row>
    <row r="10" spans="3:20" x14ac:dyDescent="0.15">
      <c r="E10" s="32">
        <f ca="1">(RSQ(OFFSET(K$18,E$3-D$18,0):OFFSET(K$18,E$4-D$18,0),OFFSET(D$18,E$3-D$18,0):OFFSET(D$18,E$4-D$18,0))*DEVSQ(OFFSET(K$18,E$3-D$18,0):OFFSET(K$18,E$4-D$18,0))+RSQ(OFFSET(K$18,E$6-D$18,0):OFFSET(K$18,E$7-D$18,0),OFFSET(D$18,E$6-D$18,0):OFFSET(D$18,E$7-D$18,0))*DEVSQ(OFFSET(K$18,E$6-D$18,0):OFFSET(K$18,E$7-D$18,0)))/(DEVSQ(OFFSET(K$18,E$3-D$18,0):OFFSET(K$18,E$4-D$18,0))+DEVSQ(OFFSET(K$18,E$6-D$18,0):OFFSET(K$18,E$7-D$18,0)))</f>
        <v>0.99959867643109324</v>
      </c>
      <c r="F10" s="23">
        <v>14.328043879001218</v>
      </c>
      <c r="G10" s="120" t="s">
        <v>72</v>
      </c>
      <c r="H10" s="29"/>
      <c r="M10" s="124"/>
    </row>
    <row r="11" spans="3:20" x14ac:dyDescent="0.15">
      <c r="E11" s="35"/>
      <c r="F11" s="35"/>
      <c r="G11" s="80"/>
      <c r="H11" s="29"/>
    </row>
    <row r="12" spans="3:20" x14ac:dyDescent="0.15">
      <c r="E12" s="84" t="s">
        <v>62</v>
      </c>
      <c r="F12" s="41" t="s">
        <v>18</v>
      </c>
      <c r="G12" s="36" t="s">
        <v>19</v>
      </c>
      <c r="H12" s="29"/>
    </row>
    <row r="13" spans="3:20" x14ac:dyDescent="0.15">
      <c r="E13" s="32">
        <v>0.9998472937261057</v>
      </c>
      <c r="F13" s="23">
        <v>18.594551471094167</v>
      </c>
      <c r="G13" s="15">
        <v>1976</v>
      </c>
    </row>
    <row r="14" spans="3:20" x14ac:dyDescent="0.15">
      <c r="C14" s="31"/>
      <c r="D14" s="31"/>
      <c r="E14" s="32">
        <v>0.99987786034473247</v>
      </c>
      <c r="F14" s="23">
        <v>18.004252732390878</v>
      </c>
      <c r="G14" s="16">
        <v>1977</v>
      </c>
    </row>
    <row r="15" spans="3:20" x14ac:dyDescent="0.15">
      <c r="C15" s="31"/>
      <c r="D15" s="31"/>
      <c r="E15" s="32">
        <v>0.99986866405511554</v>
      </c>
      <c r="F15" s="23">
        <v>17.668794499559816</v>
      </c>
      <c r="G15" s="16">
        <v>1978</v>
      </c>
    </row>
    <row r="17" spans="4:22" x14ac:dyDescent="0.15">
      <c r="D17" s="16"/>
      <c r="E17" s="17" t="s">
        <v>0</v>
      </c>
      <c r="F17" s="22" t="s">
        <v>1</v>
      </c>
      <c r="G17" s="119" t="s">
        <v>3</v>
      </c>
      <c r="H17" s="209" t="s">
        <v>217</v>
      </c>
      <c r="I17" s="38" t="s">
        <v>20</v>
      </c>
      <c r="J17" s="119" t="s">
        <v>80</v>
      </c>
      <c r="K17" s="73" t="s">
        <v>2</v>
      </c>
      <c r="N17" s="198" t="s">
        <v>166</v>
      </c>
      <c r="O17" s="239" t="s">
        <v>67</v>
      </c>
      <c r="P17" s="255" t="s">
        <v>250</v>
      </c>
      <c r="Q17" s="72" t="s">
        <v>40</v>
      </c>
      <c r="T17" s="254"/>
      <c r="U17" s="254"/>
      <c r="V17" s="255"/>
    </row>
    <row r="18" spans="4:22" x14ac:dyDescent="0.15">
      <c r="D18" s="16">
        <v>1888</v>
      </c>
      <c r="E18" s="18"/>
      <c r="F18" s="22">
        <v>0</v>
      </c>
      <c r="M18" s="251" t="s">
        <v>7</v>
      </c>
      <c r="N18" s="198">
        <v>1913</v>
      </c>
      <c r="O18" s="23">
        <f t="shared" ref="O18:O27" si="0">LOOKUP(P18,D$18:D$188,F$18:F$188)+Q18</f>
        <v>57.914816999999999</v>
      </c>
      <c r="P18" s="252">
        <v>1913</v>
      </c>
      <c r="Q18" s="253">
        <v>57.838999999999999</v>
      </c>
      <c r="R18" s="23"/>
      <c r="S18" s="24"/>
      <c r="T18" s="3"/>
    </row>
    <row r="19" spans="4:22" x14ac:dyDescent="0.15">
      <c r="D19" s="16">
        <v>1889</v>
      </c>
      <c r="E19" s="19">
        <v>1.2999999999999999E-2</v>
      </c>
      <c r="F19" s="23">
        <f>F18+E19/1000</f>
        <v>1.2999999999999999E-5</v>
      </c>
      <c r="G19" s="30">
        <f>NORMSINV(F19/F$1)</f>
        <v>-4.8188191986241273</v>
      </c>
      <c r="I19" s="5">
        <f ca="1">(G19/(NORMSINV(0.9)-NORMSINV(0.1))*IF(D19&lt;E$6,F$2-E$2,F$5-E$5) - D19 + IF(D19&lt;E$6,AVERAGE(E$2:F$2),AVERAGE(E$5:F$5)))*12</f>
        <v>-1007.2179880932872</v>
      </c>
      <c r="J19" s="8"/>
      <c r="K19" s="30">
        <f t="shared" ref="K19:K50" si="1" xml:space="preserve"> -LN(F$10/F19 - 1)</f>
        <v>-13.912779020409664</v>
      </c>
      <c r="M19" s="254" t="s">
        <v>99</v>
      </c>
      <c r="N19" s="198">
        <v>1936</v>
      </c>
      <c r="O19" s="23">
        <f t="shared" si="0"/>
        <v>221.830198</v>
      </c>
      <c r="P19" s="252">
        <v>1927</v>
      </c>
      <c r="Q19" s="253">
        <f>209.7+11.9</f>
        <v>221.6</v>
      </c>
      <c r="R19" s="23"/>
      <c r="S19" s="24"/>
      <c r="T19" s="3"/>
    </row>
    <row r="20" spans="4:22" x14ac:dyDescent="0.15">
      <c r="D20" s="16">
        <v>1890</v>
      </c>
      <c r="E20" s="19">
        <v>4.1000000000000002E-2</v>
      </c>
      <c r="F20" s="23">
        <f t="shared" ref="F20:F83" si="2">F19+E20/1000</f>
        <v>5.3999999999999998E-5</v>
      </c>
      <c r="G20" s="30">
        <f t="shared" ref="G20:G84" si="3">NORMSINV(F20/F$1)</f>
        <v>-4.526439242568431</v>
      </c>
      <c r="I20" s="5">
        <f ca="1">(G20/(NORMSINV(0.9)-NORMSINV(0.1))*IF(D20&lt;E$6,F$2-E$2,F$5-E$5) - D20 + IF(D20&lt;E$6,AVERAGE(E$2:F$2),AVERAGE(E$5:F$5)))*12</f>
        <v>-852.13195792020997</v>
      </c>
      <c r="J20" s="8"/>
      <c r="K20" s="30">
        <f t="shared" si="1"/>
        <v>-12.488741469779129</v>
      </c>
      <c r="M20" s="254" t="s">
        <v>100</v>
      </c>
      <c r="N20" s="198">
        <v>1937</v>
      </c>
      <c r="O20" s="23">
        <f t="shared" si="0"/>
        <v>207.230198</v>
      </c>
      <c r="P20" s="252">
        <v>1927</v>
      </c>
      <c r="Q20" s="253">
        <v>207</v>
      </c>
      <c r="R20" s="23"/>
      <c r="S20" s="24"/>
      <c r="T20" s="3"/>
    </row>
    <row r="21" spans="4:22" x14ac:dyDescent="0.15">
      <c r="D21" s="16">
        <v>1891</v>
      </c>
      <c r="E21" s="19">
        <v>4.4999999999999998E-2</v>
      </c>
      <c r="F21" s="23">
        <f t="shared" si="2"/>
        <v>9.8999999999999994E-5</v>
      </c>
      <c r="G21" s="30">
        <f t="shared" si="3"/>
        <v>-4.3965717266939217</v>
      </c>
      <c r="I21" s="5">
        <f t="shared" ref="I21:I84" ca="1" si="4">(G21/(NORMSINV(0.9)-NORMSINV(0.1))*IF(D21&lt;E$6,F$2-E$2,F$5-E$5) - D21 + IF(D21&lt;E$6,AVERAGE(E$2:F$2),AVERAGE(E$5:F$5)))*12</f>
        <v>-789.91672111451953</v>
      </c>
      <c r="J21" s="8"/>
      <c r="K21" s="30">
        <f t="shared" si="1"/>
        <v>-11.882602525498145</v>
      </c>
      <c r="M21" s="24" t="s">
        <v>101</v>
      </c>
      <c r="N21" s="3">
        <v>1938</v>
      </c>
      <c r="O21" s="23">
        <f t="shared" si="0"/>
        <v>211.230198</v>
      </c>
      <c r="P21" s="252">
        <v>1927</v>
      </c>
      <c r="Q21" s="253">
        <v>211</v>
      </c>
      <c r="R21" s="23"/>
      <c r="S21" s="24"/>
      <c r="T21" s="3"/>
    </row>
    <row r="22" spans="4:22" x14ac:dyDescent="0.15">
      <c r="D22" s="16">
        <v>1892</v>
      </c>
      <c r="E22" s="19">
        <v>7.1999999999999995E-2</v>
      </c>
      <c r="F22" s="23">
        <f t="shared" si="2"/>
        <v>1.7099999999999998E-4</v>
      </c>
      <c r="G22" s="30">
        <f t="shared" si="3"/>
        <v>-4.2763820280195306</v>
      </c>
      <c r="I22" s="5">
        <f t="shared" ca="1" si="4"/>
        <v>-733.2320551404373</v>
      </c>
      <c r="J22" s="8"/>
      <c r="K22" s="30">
        <f t="shared" si="1"/>
        <v>-11.336053793972487</v>
      </c>
      <c r="M22" s="24" t="s">
        <v>102</v>
      </c>
      <c r="N22" s="3">
        <v>1948</v>
      </c>
      <c r="O22" s="23">
        <f t="shared" si="0"/>
        <v>206.42329899999999</v>
      </c>
      <c r="P22" s="252">
        <v>1940</v>
      </c>
      <c r="Q22" s="253">
        <v>206</v>
      </c>
      <c r="R22" s="23"/>
      <c r="S22" s="24"/>
      <c r="T22" s="3"/>
    </row>
    <row r="23" spans="4:22" x14ac:dyDescent="0.15">
      <c r="D23" s="16">
        <v>1893</v>
      </c>
      <c r="E23" s="19">
        <v>0.69499999999999995</v>
      </c>
      <c r="F23" s="23">
        <f t="shared" si="2"/>
        <v>8.6600000000000002E-4</v>
      </c>
      <c r="G23" s="30">
        <f t="shared" si="3"/>
        <v>-3.8999828413070561</v>
      </c>
      <c r="I23" s="5">
        <f t="shared" ca="1" si="4"/>
        <v>-530.1316538797455</v>
      </c>
      <c r="J23" s="8"/>
      <c r="K23" s="30">
        <f t="shared" si="1"/>
        <v>-9.7137839338848604</v>
      </c>
      <c r="L23" s="32"/>
      <c r="M23" s="254" t="s">
        <v>103</v>
      </c>
      <c r="N23" s="3">
        <v>1950</v>
      </c>
      <c r="O23" s="23">
        <f t="shared" si="0"/>
        <v>68.935769999999991</v>
      </c>
      <c r="P23" s="252">
        <v>1948</v>
      </c>
      <c r="Q23" s="253">
        <v>68.313999999999993</v>
      </c>
      <c r="R23" s="23"/>
      <c r="S23" s="24"/>
      <c r="T23" s="3"/>
    </row>
    <row r="24" spans="4:22" x14ac:dyDescent="0.15">
      <c r="D24" s="16">
        <v>1894</v>
      </c>
      <c r="E24" s="19">
        <v>0.93899999999999995</v>
      </c>
      <c r="F24" s="23">
        <f t="shared" si="2"/>
        <v>1.805E-3</v>
      </c>
      <c r="G24" s="30">
        <f t="shared" si="3"/>
        <v>-3.7183753279743663</v>
      </c>
      <c r="I24" s="5">
        <f t="shared" ca="1" si="4"/>
        <v>-438.3486214800032</v>
      </c>
      <c r="J24" s="8"/>
      <c r="K24" s="30">
        <f t="shared" si="1"/>
        <v>-8.9792874297585072</v>
      </c>
      <c r="L24" s="32"/>
      <c r="M24" s="24" t="s">
        <v>105</v>
      </c>
      <c r="N24" s="3">
        <v>1954</v>
      </c>
      <c r="O24" s="23">
        <f t="shared" si="0"/>
        <v>47.122551000000001</v>
      </c>
      <c r="P24" s="252">
        <v>1950</v>
      </c>
      <c r="Q24" s="253">
        <f>46+0.13+0.3+0.012</f>
        <v>46.442</v>
      </c>
      <c r="R24" s="23"/>
      <c r="S24" s="24"/>
      <c r="T24" s="3"/>
    </row>
    <row r="25" spans="4:22" x14ac:dyDescent="0.15">
      <c r="D25" s="16">
        <v>1895</v>
      </c>
      <c r="E25" s="19">
        <v>1.288</v>
      </c>
      <c r="F25" s="23">
        <f t="shared" si="2"/>
        <v>3.0930000000000003E-3</v>
      </c>
      <c r="G25" s="30">
        <f t="shared" si="3"/>
        <v>-3.580006597795073</v>
      </c>
      <c r="I25" s="5">
        <f t="shared" ca="1" si="4"/>
        <v>-371.2752057177313</v>
      </c>
      <c r="J25" s="8"/>
      <c r="K25" s="30">
        <f t="shared" si="1"/>
        <v>-8.4406166188340741</v>
      </c>
      <c r="L25" s="32"/>
      <c r="M25" s="24" t="s">
        <v>106</v>
      </c>
      <c r="N25" s="3">
        <v>1956</v>
      </c>
      <c r="O25" s="23">
        <f t="shared" si="0"/>
        <v>68.830434999999994</v>
      </c>
      <c r="P25" s="252">
        <v>1954</v>
      </c>
      <c r="Q25" s="253">
        <f>68+0.02</f>
        <v>68.02</v>
      </c>
      <c r="R25" s="23"/>
      <c r="S25" s="24"/>
      <c r="T25" s="3"/>
    </row>
    <row r="26" spans="4:22" x14ac:dyDescent="0.15">
      <c r="D26" s="16">
        <v>1896</v>
      </c>
      <c r="E26" s="19">
        <v>1.6459999999999999</v>
      </c>
      <c r="F26" s="23">
        <f t="shared" si="2"/>
        <v>4.7390000000000002E-3</v>
      </c>
      <c r="G26" s="30">
        <f t="shared" si="3"/>
        <v>-3.4669339430715587</v>
      </c>
      <c r="I26" s="5">
        <f t="shared" ca="1" si="4"/>
        <v>-318.65770849338332</v>
      </c>
      <c r="J26" s="8"/>
      <c r="K26" s="30">
        <f t="shared" si="1"/>
        <v>-8.013817058541564</v>
      </c>
      <c r="L26" s="32"/>
      <c r="M26" s="24" t="s">
        <v>107</v>
      </c>
      <c r="N26" s="3">
        <v>1960</v>
      </c>
      <c r="O26" s="23">
        <f t="shared" si="0"/>
        <v>72.589670999999981</v>
      </c>
      <c r="P26" s="252">
        <v>1957</v>
      </c>
      <c r="Q26" s="253">
        <f>70+0.6113+0.3+0.2+0.13+0.3+0.1+0.02</f>
        <v>71.661299999999983</v>
      </c>
      <c r="S26" s="24"/>
      <c r="T26" s="3"/>
    </row>
    <row r="27" spans="4:22" x14ac:dyDescent="0.15">
      <c r="D27" s="16">
        <v>1897</v>
      </c>
      <c r="E27" s="19">
        <v>1.845</v>
      </c>
      <c r="F27" s="23">
        <f t="shared" si="2"/>
        <v>6.5840000000000004E-3</v>
      </c>
      <c r="G27" s="30">
        <f t="shared" si="3"/>
        <v>-3.3775363540496084</v>
      </c>
      <c r="I27" s="5">
        <f t="shared" ca="1" si="4"/>
        <v>-279.5697732661265</v>
      </c>
      <c r="J27" s="8"/>
      <c r="K27" s="30">
        <f t="shared" si="1"/>
        <v>-7.6848719188012673</v>
      </c>
      <c r="M27" s="24" t="s">
        <v>108</v>
      </c>
      <c r="N27" s="3">
        <v>1962</v>
      </c>
      <c r="O27" s="23">
        <f t="shared" si="0"/>
        <v>77.035491999999991</v>
      </c>
      <c r="P27" s="252">
        <v>1960</v>
      </c>
      <c r="Q27" s="253">
        <f>0.4+5.022+63.355+6.613+0.0958+0.3+0.1 + 0.02 + 0.0732</f>
        <v>75.978999999999985</v>
      </c>
      <c r="S27" s="24"/>
      <c r="T27" s="3"/>
    </row>
    <row r="28" spans="4:22" x14ac:dyDescent="0.15">
      <c r="D28" s="16">
        <v>1898</v>
      </c>
      <c r="E28" s="19">
        <v>2.335</v>
      </c>
      <c r="F28" s="23">
        <f t="shared" si="2"/>
        <v>8.9189999999999998E-3</v>
      </c>
      <c r="G28" s="30">
        <f t="shared" si="3"/>
        <v>-3.2931358119941692</v>
      </c>
      <c r="I28" s="5">
        <f t="shared" ca="1" si="4"/>
        <v>-243.33749460126091</v>
      </c>
      <c r="J28" s="8"/>
      <c r="K28" s="30">
        <f t="shared" si="1"/>
        <v>-7.3811674941615735</v>
      </c>
      <c r="M28" s="24" t="s">
        <v>109</v>
      </c>
      <c r="N28" s="3">
        <v>1968</v>
      </c>
      <c r="O28" s="23">
        <f t="shared" ref="O28:O39" si="5">LOOKUP(P28,D$18:D$188,F$18:F$188)+Q28</f>
        <v>86.544412999999992</v>
      </c>
      <c r="P28" s="252">
        <v>1959</v>
      </c>
      <c r="Q28" s="253">
        <f>0.115+0.025+0.37+5.022+72.465+6.613+0.7+0.0958+0.073+0.02+0.0324</f>
        <v>85.531199999999984</v>
      </c>
      <c r="S28" s="24"/>
      <c r="T28" s="3"/>
    </row>
    <row r="29" spans="4:22" x14ac:dyDescent="0.15">
      <c r="D29" s="16">
        <v>1899</v>
      </c>
      <c r="E29" s="19">
        <v>2.1309999999999998</v>
      </c>
      <c r="F29" s="23">
        <f t="shared" si="2"/>
        <v>1.1049999999999999E-2</v>
      </c>
      <c r="G29" s="30">
        <f t="shared" si="3"/>
        <v>-3.2324146648331959</v>
      </c>
      <c r="I29" s="5">
        <f t="shared" ca="1" si="4"/>
        <v>-220.63725193226674</v>
      </c>
      <c r="J29" s="8"/>
      <c r="K29" s="30">
        <f t="shared" si="1"/>
        <v>-7.1667720658628582</v>
      </c>
      <c r="M29" s="24" t="s">
        <v>8</v>
      </c>
      <c r="N29" s="3">
        <v>1974</v>
      </c>
      <c r="O29" s="23">
        <f t="shared" si="5"/>
        <v>17.144413</v>
      </c>
      <c r="P29" s="252">
        <v>1969</v>
      </c>
      <c r="Q29" s="253">
        <f>15.628</f>
        <v>15.628</v>
      </c>
      <c r="S29" s="24"/>
      <c r="T29" s="3"/>
    </row>
    <row r="30" spans="4:22" x14ac:dyDescent="0.15">
      <c r="D30" s="16">
        <v>1900</v>
      </c>
      <c r="E30" s="19">
        <v>0.89800000000000002</v>
      </c>
      <c r="F30" s="23">
        <f t="shared" si="2"/>
        <v>1.1947999999999999E-2</v>
      </c>
      <c r="G30" s="30">
        <f t="shared" si="3"/>
        <v>-3.2100232984905861</v>
      </c>
      <c r="I30" s="5">
        <f t="shared" ca="1" si="4"/>
        <v>-219.84128410051198</v>
      </c>
      <c r="J30" s="8"/>
      <c r="K30" s="30">
        <f t="shared" si="1"/>
        <v>-7.0885758688413683</v>
      </c>
      <c r="M30" s="24" t="s">
        <v>9</v>
      </c>
      <c r="N30" s="3">
        <v>1980</v>
      </c>
      <c r="O30" s="23">
        <f t="shared" si="5"/>
        <v>34.686512999999998</v>
      </c>
      <c r="P30" s="252">
        <v>1978</v>
      </c>
      <c r="Q30" s="253">
        <v>32.5</v>
      </c>
      <c r="S30" s="24"/>
      <c r="T30" s="3"/>
    </row>
    <row r="31" spans="4:22" x14ac:dyDescent="0.15">
      <c r="D31" s="16">
        <v>1901</v>
      </c>
      <c r="E31" s="19">
        <v>1.512</v>
      </c>
      <c r="F31" s="23">
        <f t="shared" si="2"/>
        <v>1.3459999999999998E-2</v>
      </c>
      <c r="G31" s="30">
        <f t="shared" si="3"/>
        <v>-3.1756130527597648</v>
      </c>
      <c r="I31" s="5">
        <f t="shared" ca="1" si="4"/>
        <v>-212.1769013774101</v>
      </c>
      <c r="J31" s="8"/>
      <c r="K31" s="30">
        <f t="shared" si="1"/>
        <v>-6.9693118240144125</v>
      </c>
      <c r="M31" s="24" t="s">
        <v>10</v>
      </c>
      <c r="N31" s="3">
        <v>1986</v>
      </c>
      <c r="O31" s="23">
        <f t="shared" si="5"/>
        <v>68.930287000000007</v>
      </c>
      <c r="P31" s="252">
        <v>1984</v>
      </c>
      <c r="Q31" s="253">
        <f>0.734+0.0719+0.6+0.2+1.82+58.404+0.169+0.24+0.045+0.011+0.0399+0.013+0.012+0.004+3.5+0.043</f>
        <v>65.906800000000004</v>
      </c>
    </row>
    <row r="32" spans="4:22" x14ac:dyDescent="0.15">
      <c r="D32" s="16">
        <v>1902</v>
      </c>
      <c r="E32" s="19">
        <v>2.2490000000000001</v>
      </c>
      <c r="F32" s="23">
        <f t="shared" si="2"/>
        <v>1.5708999999999997E-2</v>
      </c>
      <c r="G32" s="30">
        <f t="shared" si="3"/>
        <v>-3.13050969851481</v>
      </c>
      <c r="I32" s="5">
        <f t="shared" ca="1" si="4"/>
        <v>-198.40174048763947</v>
      </c>
      <c r="J32" s="8"/>
      <c r="K32" s="30">
        <f t="shared" si="1"/>
        <v>-6.8146432268739003</v>
      </c>
      <c r="M32" s="142" t="s">
        <v>11</v>
      </c>
      <c r="N32" s="15">
        <v>1989</v>
      </c>
      <c r="O32" s="23">
        <f t="shared" si="5"/>
        <v>66.479372999999995</v>
      </c>
      <c r="P32" s="35">
        <v>1987</v>
      </c>
      <c r="Q32" s="23">
        <v>62.91</v>
      </c>
    </row>
    <row r="33" spans="4:17" x14ac:dyDescent="0.15">
      <c r="D33" s="16">
        <v>1903</v>
      </c>
      <c r="E33" s="19">
        <v>3.0470000000000002</v>
      </c>
      <c r="F33" s="23">
        <f t="shared" si="2"/>
        <v>1.8755999999999998E-2</v>
      </c>
      <c r="G33" s="30">
        <f t="shared" si="3"/>
        <v>-3.0780630901394068</v>
      </c>
      <c r="I33" s="5">
        <f t="shared" ca="1" si="4"/>
        <v>-180.43013878242891</v>
      </c>
      <c r="J33" s="8"/>
      <c r="K33" s="30">
        <f t="shared" si="1"/>
        <v>-6.6371504062135607</v>
      </c>
      <c r="M33" s="142" t="s">
        <v>12</v>
      </c>
      <c r="N33" s="15">
        <v>1992</v>
      </c>
      <c r="O33" s="23">
        <f t="shared" si="5"/>
        <v>66.202347000000003</v>
      </c>
      <c r="P33" s="35">
        <v>1990</v>
      </c>
      <c r="Q33" s="23">
        <v>62.078000000000003</v>
      </c>
    </row>
    <row r="34" spans="4:17" x14ac:dyDescent="0.15">
      <c r="D34" s="16">
        <v>1904</v>
      </c>
      <c r="E34" s="19">
        <v>3.42</v>
      </c>
      <c r="F34" s="23">
        <f t="shared" si="2"/>
        <v>2.2175999999999998E-2</v>
      </c>
      <c r="G34" s="30">
        <f t="shared" si="3"/>
        <v>-3.0277990619001773</v>
      </c>
      <c r="I34" s="5">
        <f t="shared" ca="1" si="4"/>
        <v>-163.7058135848456</v>
      </c>
      <c r="J34" s="8"/>
      <c r="K34" s="30">
        <f t="shared" si="1"/>
        <v>-6.4694144502624811</v>
      </c>
      <c r="M34" s="142" t="s">
        <v>13</v>
      </c>
      <c r="N34" s="15">
        <v>1995</v>
      </c>
      <c r="O34" s="23">
        <f t="shared" si="5"/>
        <v>66.354964999999993</v>
      </c>
      <c r="P34" s="35">
        <v>1993</v>
      </c>
      <c r="Q34" s="23">
        <v>61.671999999999997</v>
      </c>
    </row>
    <row r="35" spans="4:17" x14ac:dyDescent="0.15">
      <c r="D35" s="16">
        <v>1905</v>
      </c>
      <c r="E35" s="19">
        <v>3.9180000000000001</v>
      </c>
      <c r="F35" s="23">
        <f t="shared" si="2"/>
        <v>2.6093999999999999E-2</v>
      </c>
      <c r="G35" s="30">
        <f t="shared" si="3"/>
        <v>-2.9782865114458321</v>
      </c>
      <c r="I35" s="5">
        <f t="shared" ca="1" si="4"/>
        <v>-147.41093451459346</v>
      </c>
      <c r="J35" s="8"/>
      <c r="K35" s="30">
        <f t="shared" si="1"/>
        <v>-6.3064457592838306</v>
      </c>
      <c r="M35" s="142" t="s">
        <v>14</v>
      </c>
      <c r="N35" s="15">
        <v>1998</v>
      </c>
      <c r="O35" s="23">
        <f t="shared" si="5"/>
        <v>66.726256000000006</v>
      </c>
      <c r="P35" s="35">
        <v>1996</v>
      </c>
      <c r="Q35" s="23">
        <v>61.411999999999999</v>
      </c>
    </row>
    <row r="36" spans="4:17" x14ac:dyDescent="0.15">
      <c r="D36" s="16">
        <v>1906</v>
      </c>
      <c r="E36" s="19">
        <v>4.4139999999999997</v>
      </c>
      <c r="F36" s="23">
        <f t="shared" si="2"/>
        <v>3.0508E-2</v>
      </c>
      <c r="G36" s="30">
        <f t="shared" si="3"/>
        <v>-2.9300589091185798</v>
      </c>
      <c r="I36" s="5">
        <f t="shared" ca="1" si="4"/>
        <v>-131.85036324174052</v>
      </c>
      <c r="J36" s="8"/>
      <c r="K36" s="30">
        <f t="shared" si="1"/>
        <v>-6.1498535409441111</v>
      </c>
      <c r="M36" s="142" t="s">
        <v>15</v>
      </c>
      <c r="N36" s="15">
        <v>2001</v>
      </c>
      <c r="O36" s="23">
        <f t="shared" si="5"/>
        <v>61.370512999999995</v>
      </c>
      <c r="P36" s="35">
        <v>1999</v>
      </c>
      <c r="Q36" s="23">
        <v>55.366999999999997</v>
      </c>
    </row>
    <row r="37" spans="4:17" x14ac:dyDescent="0.15">
      <c r="D37" s="16">
        <v>1907</v>
      </c>
      <c r="E37" s="19">
        <v>4.9109999999999996</v>
      </c>
      <c r="F37" s="23">
        <f t="shared" si="2"/>
        <v>3.5418999999999999E-2</v>
      </c>
      <c r="G37" s="30">
        <f t="shared" si="3"/>
        <v>-2.8833647743106705</v>
      </c>
      <c r="I37" s="5">
        <f t="shared" ca="1" si="4"/>
        <v>-117.16612085156066</v>
      </c>
      <c r="J37" s="8"/>
      <c r="K37" s="30">
        <f t="shared" si="1"/>
        <v>-6.0002505411605744</v>
      </c>
      <c r="M37" s="142" t="s">
        <v>16</v>
      </c>
      <c r="N37" s="15">
        <v>2004</v>
      </c>
      <c r="O37" s="23">
        <f t="shared" si="5"/>
        <v>57.026555672999997</v>
      </c>
      <c r="P37" s="35">
        <v>2002</v>
      </c>
      <c r="Q37" s="23">
        <v>50.335999999999999</v>
      </c>
    </row>
    <row r="38" spans="4:17" x14ac:dyDescent="0.15">
      <c r="D38" s="16">
        <v>1908</v>
      </c>
      <c r="E38" s="19">
        <v>5.0919999999999996</v>
      </c>
      <c r="F38" s="23">
        <f t="shared" si="2"/>
        <v>4.0510999999999998E-2</v>
      </c>
      <c r="G38" s="30">
        <f t="shared" si="3"/>
        <v>-2.8407924103445961</v>
      </c>
      <c r="I38" s="5">
        <f t="shared" ca="1" si="4"/>
        <v>-104.83734200456001</v>
      </c>
      <c r="J38" s="8"/>
      <c r="K38" s="30">
        <f t="shared" si="1"/>
        <v>-5.8655690671700267</v>
      </c>
      <c r="M38" s="142" t="s">
        <v>17</v>
      </c>
      <c r="N38" s="15">
        <v>2007</v>
      </c>
      <c r="O38" s="23">
        <f t="shared" si="5"/>
        <v>57.037280378999995</v>
      </c>
      <c r="P38" s="35">
        <v>2005</v>
      </c>
      <c r="Q38" s="23">
        <v>49.604999999999997</v>
      </c>
    </row>
    <row r="39" spans="4:17" x14ac:dyDescent="0.15">
      <c r="D39" s="16">
        <v>1909</v>
      </c>
      <c r="E39" s="19">
        <v>5.8449999999999998</v>
      </c>
      <c r="F39" s="23">
        <f t="shared" si="2"/>
        <v>4.6355999999999994E-2</v>
      </c>
      <c r="G39" s="30">
        <f t="shared" si="3"/>
        <v>-2.7975329991399831</v>
      </c>
      <c r="I39" s="5">
        <f t="shared" ca="1" si="4"/>
        <v>-92.115937078886418</v>
      </c>
      <c r="J39" s="8"/>
      <c r="K39" s="30">
        <f t="shared" si="1"/>
        <v>-5.7303826942461109</v>
      </c>
      <c r="M39" s="341" t="s">
        <v>297</v>
      </c>
      <c r="N39" s="15">
        <v>2010</v>
      </c>
      <c r="O39" s="23">
        <f t="shared" si="5"/>
        <v>39.880662696000002</v>
      </c>
      <c r="P39" s="35">
        <v>2008</v>
      </c>
      <c r="Q39" s="23">
        <v>31.692</v>
      </c>
    </row>
    <row r="40" spans="4:17" x14ac:dyDescent="0.15">
      <c r="D40" s="16">
        <v>1910</v>
      </c>
      <c r="E40" s="19">
        <v>6.6150000000000002</v>
      </c>
      <c r="F40" s="23">
        <f t="shared" si="2"/>
        <v>5.2970999999999997E-2</v>
      </c>
      <c r="G40" s="30">
        <f t="shared" si="3"/>
        <v>-2.7541612357046321</v>
      </c>
      <c r="I40" s="5">
        <f t="shared" ca="1" si="4"/>
        <v>-79.330326355837315</v>
      </c>
      <c r="J40" s="8"/>
      <c r="K40" s="30">
        <f t="shared" si="1"/>
        <v>-5.5965255458815122</v>
      </c>
    </row>
    <row r="41" spans="4:17" x14ac:dyDescent="0.15">
      <c r="D41" s="16">
        <v>1911</v>
      </c>
      <c r="E41" s="19">
        <v>7.0819999999999999</v>
      </c>
      <c r="F41" s="23">
        <f t="shared" si="2"/>
        <v>6.0052999999999995E-2</v>
      </c>
      <c r="G41" s="30">
        <f t="shared" si="3"/>
        <v>-2.712837541007469</v>
      </c>
      <c r="I41" s="5">
        <f t="shared" ca="1" si="4"/>
        <v>-67.715123069749097</v>
      </c>
      <c r="J41" s="8"/>
      <c r="K41" s="30">
        <f t="shared" si="1"/>
        <v>-5.4705464015698357</v>
      </c>
    </row>
    <row r="42" spans="4:17" x14ac:dyDescent="0.15">
      <c r="D42" s="16">
        <v>1912</v>
      </c>
      <c r="E42" s="19">
        <v>7.56</v>
      </c>
      <c r="F42" s="23">
        <f t="shared" si="2"/>
        <v>6.7612999999999993E-2</v>
      </c>
      <c r="G42" s="30">
        <f t="shared" si="3"/>
        <v>-2.6733054859920284</v>
      </c>
      <c r="I42" s="5">
        <f t="shared" ca="1" si="4"/>
        <v>-57.123786008820389</v>
      </c>
      <c r="J42" s="8"/>
      <c r="K42" s="30">
        <f t="shared" si="1"/>
        <v>-5.351443637178062</v>
      </c>
    </row>
    <row r="43" spans="4:17" x14ac:dyDescent="0.15">
      <c r="D43" s="16">
        <v>1913</v>
      </c>
      <c r="E43" s="19">
        <v>8.2040000000000006</v>
      </c>
      <c r="F43" s="23">
        <f t="shared" si="2"/>
        <v>7.5816999999999996E-2</v>
      </c>
      <c r="G43" s="30">
        <f t="shared" si="3"/>
        <v>-2.6346615170221632</v>
      </c>
      <c r="I43" s="5">
        <f t="shared" ca="1" si="4"/>
        <v>-47.039962437560462</v>
      </c>
      <c r="J43" s="8"/>
      <c r="K43" s="30">
        <f t="shared" si="1"/>
        <v>-5.2363459037892648</v>
      </c>
    </row>
    <row r="44" spans="4:17" x14ac:dyDescent="0.15">
      <c r="D44" s="16">
        <v>1914</v>
      </c>
      <c r="E44" s="19">
        <v>8.0090000000000003</v>
      </c>
      <c r="F44" s="23">
        <f t="shared" si="2"/>
        <v>8.3825999999999998E-2</v>
      </c>
      <c r="G44" s="30">
        <f t="shared" si="3"/>
        <v>-2.6003894692769229</v>
      </c>
      <c r="I44" s="5">
        <f t="shared" ca="1" si="4"/>
        <v>-39.454555555005754</v>
      </c>
      <c r="J44" s="8"/>
      <c r="K44" s="30">
        <f t="shared" si="1"/>
        <v>-5.1353631185792521</v>
      </c>
    </row>
    <row r="45" spans="4:17" x14ac:dyDescent="0.15">
      <c r="D45" s="16">
        <v>1915</v>
      </c>
      <c r="E45" s="19">
        <v>7.8920000000000003</v>
      </c>
      <c r="F45" s="23">
        <f t="shared" si="2"/>
        <v>9.1717999999999994E-2</v>
      </c>
      <c r="G45" s="30">
        <f t="shared" si="3"/>
        <v>-2.5693658542697069</v>
      </c>
      <c r="I45" s="5">
        <f t="shared" ca="1" si="4"/>
        <v>-33.725526714921216</v>
      </c>
      <c r="J45" s="8"/>
      <c r="K45" s="30">
        <f t="shared" si="1"/>
        <v>-5.0448334853025401</v>
      </c>
    </row>
    <row r="46" spans="4:17" x14ac:dyDescent="0.15">
      <c r="D46" s="16">
        <v>1916</v>
      </c>
      <c r="E46" s="19">
        <v>9.5500000000000007</v>
      </c>
      <c r="F46" s="23">
        <f t="shared" si="2"/>
        <v>0.101268</v>
      </c>
      <c r="G46" s="30">
        <f t="shared" si="3"/>
        <v>-2.5348563816539902</v>
      </c>
      <c r="I46" s="5">
        <f t="shared" ca="1" si="4"/>
        <v>-26.004438920421308</v>
      </c>
      <c r="J46" s="8"/>
      <c r="K46" s="30">
        <f t="shared" si="1"/>
        <v>-4.9451106253476231</v>
      </c>
    </row>
    <row r="47" spans="4:17" x14ac:dyDescent="0.15">
      <c r="D47" s="16">
        <v>1917</v>
      </c>
      <c r="E47" s="19">
        <v>9.9979999999999993</v>
      </c>
      <c r="F47" s="23">
        <f t="shared" si="2"/>
        <v>0.111266</v>
      </c>
      <c r="G47" s="30">
        <f t="shared" si="3"/>
        <v>-2.501696869625869</v>
      </c>
      <c r="I47" s="5">
        <f t="shared" ca="1" si="4"/>
        <v>-19.054811517782582</v>
      </c>
      <c r="J47" s="8"/>
      <c r="K47" s="30">
        <f t="shared" si="1"/>
        <v>-4.850254355964192</v>
      </c>
    </row>
    <row r="48" spans="4:17" x14ac:dyDescent="0.15">
      <c r="D48" s="16">
        <v>1918</v>
      </c>
      <c r="E48" s="19">
        <v>9.5549999999999997</v>
      </c>
      <c r="F48" s="23">
        <f t="shared" si="2"/>
        <v>0.120821</v>
      </c>
      <c r="G48" s="30">
        <f t="shared" si="3"/>
        <v>-2.4723877312049956</v>
      </c>
      <c r="I48" s="5">
        <f t="shared" ca="1" si="4"/>
        <v>-14.305552599351358</v>
      </c>
      <c r="J48" s="8"/>
      <c r="K48" s="30">
        <f t="shared" si="1"/>
        <v>-4.7671956562681155</v>
      </c>
    </row>
    <row r="49" spans="4:11" x14ac:dyDescent="0.15">
      <c r="D49" s="16">
        <v>1919</v>
      </c>
      <c r="E49" s="19">
        <v>9.9309999999999992</v>
      </c>
      <c r="F49" s="23">
        <f t="shared" si="2"/>
        <v>0.13075200000000001</v>
      </c>
      <c r="G49" s="30">
        <f t="shared" si="3"/>
        <v>-2.4440212710276454</v>
      </c>
      <c r="I49" s="5">
        <f t="shared" ca="1" si="4"/>
        <v>-10.095004909846466</v>
      </c>
      <c r="J49" s="8"/>
      <c r="K49" s="30">
        <f t="shared" si="1"/>
        <v>-4.6875041134598137</v>
      </c>
    </row>
    <row r="50" spans="4:11" x14ac:dyDescent="0.15">
      <c r="D50" s="16">
        <v>1920</v>
      </c>
      <c r="E50" s="19">
        <v>11.641999999999999</v>
      </c>
      <c r="F50" s="23">
        <f t="shared" si="2"/>
        <v>0.14239400000000002</v>
      </c>
      <c r="G50" s="30">
        <f t="shared" si="3"/>
        <v>-2.4130921385177055</v>
      </c>
      <c r="I50" s="5">
        <f t="shared" ca="1" si="4"/>
        <v>-4.419969871538342</v>
      </c>
      <c r="J50" s="8"/>
      <c r="K50" s="30">
        <f t="shared" si="1"/>
        <v>-4.6013882974572491</v>
      </c>
    </row>
    <row r="51" spans="4:11" x14ac:dyDescent="0.15">
      <c r="D51" s="16">
        <v>1921</v>
      </c>
      <c r="E51" s="19">
        <v>11.566000000000001</v>
      </c>
      <c r="F51" s="23">
        <f t="shared" si="2"/>
        <v>0.15396000000000001</v>
      </c>
      <c r="G51" s="30">
        <f t="shared" si="3"/>
        <v>-2.3844939753951637</v>
      </c>
      <c r="I51" s="5">
        <f t="shared" ca="1" si="4"/>
        <v>-7.7011172012134921E-2</v>
      </c>
      <c r="J51" s="8"/>
      <c r="K51" s="30">
        <f t="shared" ref="K51:K82" si="6" xml:space="preserve"> -LN(F$10/F51 - 1)</f>
        <v>-4.5224776687444841</v>
      </c>
    </row>
    <row r="52" spans="4:11" x14ac:dyDescent="0.15">
      <c r="D52" s="16">
        <v>1922</v>
      </c>
      <c r="E52" s="19">
        <v>9.8930000000000007</v>
      </c>
      <c r="F52" s="23">
        <f t="shared" si="2"/>
        <v>0.16385300000000003</v>
      </c>
      <c r="G52" s="30">
        <f t="shared" si="3"/>
        <v>-2.3614914678653975</v>
      </c>
      <c r="I52" s="5">
        <f t="shared" ca="1" si="4"/>
        <v>1.0682047963573496</v>
      </c>
      <c r="J52" s="8"/>
      <c r="K52" s="30">
        <f t="shared" si="6"/>
        <v>-4.4595026050830002</v>
      </c>
    </row>
    <row r="53" spans="4:11" x14ac:dyDescent="0.15">
      <c r="D53" s="16">
        <v>1923</v>
      </c>
      <c r="E53" s="19">
        <v>12.055</v>
      </c>
      <c r="F53" s="23">
        <f t="shared" si="2"/>
        <v>0.17590800000000004</v>
      </c>
      <c r="G53" s="30">
        <f t="shared" si="3"/>
        <v>-2.3350517212663604</v>
      </c>
      <c r="I53" s="5">
        <f t="shared" ca="1" si="4"/>
        <v>4.1776957396214129</v>
      </c>
      <c r="J53" s="8"/>
      <c r="K53" s="30">
        <f t="shared" si="6"/>
        <v>-4.387659706096815</v>
      </c>
    </row>
    <row r="54" spans="4:11" x14ac:dyDescent="0.15">
      <c r="D54" s="16">
        <v>1924</v>
      </c>
      <c r="E54" s="19">
        <v>12.726000000000001</v>
      </c>
      <c r="F54" s="23">
        <f t="shared" si="2"/>
        <v>0.18863400000000002</v>
      </c>
      <c r="G54" s="30">
        <f t="shared" si="3"/>
        <v>-2.3088053476936792</v>
      </c>
      <c r="I54" s="5">
        <f t="shared" ca="1" si="4"/>
        <v>7.1766800265731945</v>
      </c>
      <c r="J54" s="8"/>
      <c r="K54" s="30">
        <f t="shared" si="6"/>
        <v>-4.3169125747538963</v>
      </c>
    </row>
    <row r="55" spans="4:11" x14ac:dyDescent="0.15">
      <c r="D55" s="16">
        <v>1925</v>
      </c>
      <c r="E55" s="19">
        <v>13.329000000000001</v>
      </c>
      <c r="F55" s="23">
        <f t="shared" si="2"/>
        <v>0.20196300000000003</v>
      </c>
      <c r="G55" s="30">
        <f t="shared" si="3"/>
        <v>-2.2829207748855205</v>
      </c>
      <c r="I55" s="5">
        <f t="shared" ca="1" si="4"/>
        <v>9.9689064554513607</v>
      </c>
      <c r="J55" s="8"/>
      <c r="K55" s="30">
        <f t="shared" si="6"/>
        <v>-4.2476935631871093</v>
      </c>
    </row>
    <row r="56" spans="4:11" x14ac:dyDescent="0.15">
      <c r="D56" s="16">
        <v>1926</v>
      </c>
      <c r="E56" s="19">
        <v>14.257999999999999</v>
      </c>
      <c r="F56" s="23">
        <f t="shared" si="2"/>
        <v>0.21622100000000002</v>
      </c>
      <c r="G56" s="30">
        <f t="shared" si="3"/>
        <v>-2.2568270512653159</v>
      </c>
      <c r="I56" s="5">
        <f t="shared" ca="1" si="4"/>
        <v>12.880656053303937</v>
      </c>
      <c r="J56" s="8"/>
      <c r="K56" s="30">
        <f t="shared" si="6"/>
        <v>-4.1784671943036287</v>
      </c>
    </row>
    <row r="57" spans="4:11" x14ac:dyDescent="0.15">
      <c r="D57" s="16">
        <v>1927</v>
      </c>
      <c r="E57" s="19">
        <v>13.977</v>
      </c>
      <c r="F57" s="23">
        <f t="shared" si="2"/>
        <v>0.23019800000000001</v>
      </c>
      <c r="G57" s="30">
        <f t="shared" si="3"/>
        <v>-2.2326578341931409</v>
      </c>
      <c r="I57" s="5">
        <f t="shared" ca="1" si="4"/>
        <v>14.692610153918395</v>
      </c>
      <c r="J57" s="8"/>
      <c r="K57" s="30">
        <f t="shared" si="6"/>
        <v>-4.1148374820033862</v>
      </c>
    </row>
    <row r="58" spans="4:11" x14ac:dyDescent="0.15">
      <c r="D58" s="16">
        <v>1928</v>
      </c>
      <c r="E58" s="19">
        <v>14.188000000000001</v>
      </c>
      <c r="F58" s="23">
        <f t="shared" si="2"/>
        <v>0.24438600000000002</v>
      </c>
      <c r="G58" s="30">
        <f t="shared" si="3"/>
        <v>-2.2093890882353318</v>
      </c>
      <c r="I58" s="5">
        <f t="shared" ca="1" si="4"/>
        <v>15.989973084145277</v>
      </c>
      <c r="J58" s="8"/>
      <c r="K58" s="30">
        <f t="shared" si="6"/>
        <v>-4.0540214460001858</v>
      </c>
    </row>
    <row r="59" spans="4:11" x14ac:dyDescent="0.15">
      <c r="D59" s="16">
        <v>1929</v>
      </c>
      <c r="E59" s="19">
        <v>14.535</v>
      </c>
      <c r="F59" s="23">
        <f t="shared" si="2"/>
        <v>0.25892100000000001</v>
      </c>
      <c r="G59" s="30">
        <f t="shared" si="3"/>
        <v>-2.1867304399967322</v>
      </c>
      <c r="I59" s="5">
        <f t="shared" ca="1" si="4"/>
        <v>16.93868418715374</v>
      </c>
      <c r="J59" s="8"/>
      <c r="K59" s="30">
        <f t="shared" si="6"/>
        <v>-3.9952148124976512</v>
      </c>
    </row>
    <row r="60" spans="4:11" x14ac:dyDescent="0.15">
      <c r="D60" s="16">
        <v>1930</v>
      </c>
      <c r="E60" s="19">
        <v>13.667</v>
      </c>
      <c r="F60" s="23">
        <f t="shared" si="2"/>
        <v>0.272588</v>
      </c>
      <c r="G60" s="30">
        <f t="shared" si="3"/>
        <v>-2.1664029973803052</v>
      </c>
      <c r="I60" s="5">
        <f t="shared" ca="1" si="4"/>
        <v>16.555183950573337</v>
      </c>
      <c r="J60" s="8"/>
      <c r="K60" s="30">
        <f t="shared" si="6"/>
        <v>-3.942804420425206</v>
      </c>
    </row>
    <row r="61" spans="4:11" x14ac:dyDescent="0.15">
      <c r="D61" s="16">
        <v>1931</v>
      </c>
      <c r="E61" s="19">
        <v>11.919</v>
      </c>
      <c r="F61" s="23">
        <f t="shared" si="2"/>
        <v>0.28450700000000001</v>
      </c>
      <c r="G61" s="30">
        <f t="shared" si="3"/>
        <v>-2.1493782796100644</v>
      </c>
      <c r="I61" s="5">
        <f t="shared" ca="1" si="4"/>
        <v>14.284279424222404</v>
      </c>
      <c r="J61" s="8"/>
      <c r="K61" s="30">
        <f t="shared" si="6"/>
        <v>-3.8991597024803406</v>
      </c>
    </row>
    <row r="62" spans="4:11" x14ac:dyDescent="0.15">
      <c r="D62" s="16">
        <v>1932</v>
      </c>
      <c r="E62" s="19">
        <v>10.794</v>
      </c>
      <c r="F62" s="23">
        <f t="shared" si="2"/>
        <v>0.29530100000000004</v>
      </c>
      <c r="G62" s="30">
        <f t="shared" si="3"/>
        <v>-2.1344804049692976</v>
      </c>
      <c r="I62" s="5">
        <f t="shared" ca="1" si="4"/>
        <v>10.797950352018233</v>
      </c>
      <c r="J62" s="8"/>
      <c r="K62" s="30">
        <f t="shared" si="6"/>
        <v>-3.8611534798557567</v>
      </c>
    </row>
    <row r="63" spans="4:11" x14ac:dyDescent="0.15">
      <c r="D63" s="16">
        <v>1933</v>
      </c>
      <c r="E63" s="19">
        <v>11.51</v>
      </c>
      <c r="F63" s="23">
        <f t="shared" si="2"/>
        <v>0.30681100000000006</v>
      </c>
      <c r="G63" s="30">
        <f t="shared" si="3"/>
        <v>-2.119099453018102</v>
      </c>
      <c r="I63" s="5">
        <f t="shared" ca="1" si="4"/>
        <v>7.5876849031728852</v>
      </c>
      <c r="J63" s="8"/>
      <c r="K63" s="30">
        <f t="shared" si="6"/>
        <v>-3.8220961710567258</v>
      </c>
    </row>
    <row r="64" spans="4:11" x14ac:dyDescent="0.15">
      <c r="D64" s="16">
        <v>1934</v>
      </c>
      <c r="E64" s="19">
        <v>13.199</v>
      </c>
      <c r="F64" s="23">
        <f t="shared" si="2"/>
        <v>0.32001000000000007</v>
      </c>
      <c r="G64" s="30">
        <f t="shared" si="3"/>
        <v>-2.1020571224728015</v>
      </c>
      <c r="I64" s="5">
        <f t="shared" ca="1" si="4"/>
        <v>5.3268455287025063</v>
      </c>
      <c r="J64" s="8"/>
      <c r="K64" s="30">
        <f t="shared" si="6"/>
        <v>-3.7790340472038935</v>
      </c>
    </row>
    <row r="65" spans="4:11" x14ac:dyDescent="0.15">
      <c r="D65" s="16">
        <v>1935</v>
      </c>
      <c r="E65" s="19">
        <v>14.648</v>
      </c>
      <c r="F65" s="23">
        <f t="shared" si="2"/>
        <v>0.33465800000000007</v>
      </c>
      <c r="G65" s="30">
        <f t="shared" si="3"/>
        <v>-2.0838320866014755</v>
      </c>
      <c r="I65" s="5">
        <f t="shared" ca="1" si="4"/>
        <v>3.7418853781573489</v>
      </c>
      <c r="J65" s="8">
        <f ca="1">F$1*NORMDIST(D65,IF(D65&lt;E$6,AVERAGE(E$2:F$2),AVERAGE(E$5:F$5)),IF(D65&lt;E$6,F$2-E$2,F$5-E$5)/(NORMSINV(0.9)-NORMSINV(0.1)),1)</f>
        <v>0.32933091313253188</v>
      </c>
      <c r="K65" s="30">
        <f t="shared" si="6"/>
        <v>-3.7332309449156704</v>
      </c>
    </row>
    <row r="66" spans="4:11" x14ac:dyDescent="0.15">
      <c r="D66" s="16">
        <v>1936</v>
      </c>
      <c r="E66" s="19">
        <v>15.93</v>
      </c>
      <c r="F66" s="23">
        <f t="shared" si="2"/>
        <v>0.35058800000000007</v>
      </c>
      <c r="G66" s="30">
        <f t="shared" si="3"/>
        <v>-2.0647672742233794</v>
      </c>
      <c r="I66" s="5">
        <f t="shared" ca="1" si="4"/>
        <v>2.6368313218654293</v>
      </c>
      <c r="J66" s="8">
        <f t="shared" ref="J66:J129" ca="1" si="7">F$1*NORMDIST(D66,IF(D66&lt;E$6,AVERAGE(E$2:F$2),AVERAGE(E$5:F$5)),IF(D66&lt;E$6,F$2-E$2,F$5-E$5)/(NORMSINV(0.9)-NORMSINV(0.1)),1)</f>
        <v>0.34667463599357989</v>
      </c>
      <c r="K66" s="30">
        <f t="shared" si="6"/>
        <v>-3.6855892714608269</v>
      </c>
    </row>
    <row r="67" spans="4:11" x14ac:dyDescent="0.15">
      <c r="D67" s="16">
        <v>1937</v>
      </c>
      <c r="E67" s="19">
        <v>17.010999999999999</v>
      </c>
      <c r="F67" s="23">
        <f t="shared" si="2"/>
        <v>0.36759900000000006</v>
      </c>
      <c r="G67" s="30">
        <f t="shared" si="3"/>
        <v>-2.0452046059118723</v>
      </c>
      <c r="I67" s="5">
        <f t="shared" ca="1" si="4"/>
        <v>1.8162864112564421</v>
      </c>
      <c r="J67" s="8">
        <f t="shared" ca="1" si="7"/>
        <v>0.36478859755489346</v>
      </c>
      <c r="K67" s="30">
        <f t="shared" si="6"/>
        <v>-3.6369905738022545</v>
      </c>
    </row>
    <row r="68" spans="4:11" x14ac:dyDescent="0.15">
      <c r="D68" s="16">
        <v>1938</v>
      </c>
      <c r="E68" s="19">
        <v>17.861999999999998</v>
      </c>
      <c r="F68" s="23">
        <f t="shared" si="2"/>
        <v>0.38546100000000005</v>
      </c>
      <c r="G68" s="30">
        <f t="shared" si="3"/>
        <v>-2.0254723124982137</v>
      </c>
      <c r="I68" s="5">
        <f t="shared" ca="1" si="4"/>
        <v>1.0926769585967122</v>
      </c>
      <c r="J68" s="8">
        <f t="shared" ca="1" si="7"/>
        <v>0.38369866459652302</v>
      </c>
      <c r="K68" s="30">
        <f t="shared" si="6"/>
        <v>-3.5882629320185138</v>
      </c>
    </row>
    <row r="69" spans="4:11" x14ac:dyDescent="0.15">
      <c r="D69" s="16">
        <v>1939</v>
      </c>
      <c r="E69" s="19">
        <v>18.495999999999999</v>
      </c>
      <c r="F69" s="23">
        <f t="shared" si="2"/>
        <v>0.40395700000000007</v>
      </c>
      <c r="G69" s="30">
        <f t="shared" si="3"/>
        <v>-2.0058381898267288</v>
      </c>
      <c r="I69" s="5">
        <f t="shared" ca="1" si="4"/>
        <v>0.31296598718199675</v>
      </c>
      <c r="J69" s="8">
        <f t="shared" ca="1" si="7"/>
        <v>0.40343112342958765</v>
      </c>
      <c r="K69" s="30">
        <f t="shared" si="6"/>
        <v>-3.5400670517735477</v>
      </c>
    </row>
    <row r="70" spans="4:11" x14ac:dyDescent="0.15">
      <c r="D70" s="16">
        <v>1940</v>
      </c>
      <c r="E70" s="19">
        <v>19.341999999999999</v>
      </c>
      <c r="F70" s="23">
        <f t="shared" si="2"/>
        <v>0.42329900000000009</v>
      </c>
      <c r="G70" s="30">
        <f t="shared" si="3"/>
        <v>-1.9861009269281513</v>
      </c>
      <c r="I70" s="5">
        <f t="shared" ca="1" si="4"/>
        <v>-0.4078035597649432</v>
      </c>
      <c r="J70" s="8">
        <f t="shared" ca="1" si="7"/>
        <v>0.42401266271992755</v>
      </c>
      <c r="K70" s="30">
        <f t="shared" si="6"/>
        <v>-3.4919066339375058</v>
      </c>
    </row>
    <row r="71" spans="4:11" x14ac:dyDescent="0.15">
      <c r="D71" s="16">
        <v>1941</v>
      </c>
      <c r="E71" s="19">
        <v>20.73</v>
      </c>
      <c r="F71" s="23">
        <f t="shared" si="2"/>
        <v>0.44402900000000012</v>
      </c>
      <c r="G71" s="30">
        <f t="shared" si="3"/>
        <v>-1.965772394741496</v>
      </c>
      <c r="I71" s="5">
        <f t="shared" ca="1" si="4"/>
        <v>-0.79068114092478936</v>
      </c>
      <c r="J71" s="8">
        <f t="shared" ca="1" si="7"/>
        <v>0.44547035484017339</v>
      </c>
      <c r="K71" s="30">
        <f t="shared" si="6"/>
        <v>-3.4426035730318283</v>
      </c>
    </row>
    <row r="72" spans="4:11" x14ac:dyDescent="0.15">
      <c r="D72" s="16">
        <v>1942</v>
      </c>
      <c r="E72" s="19">
        <v>22.756</v>
      </c>
      <c r="F72" s="23">
        <f t="shared" si="2"/>
        <v>0.46678500000000012</v>
      </c>
      <c r="G72" s="30">
        <f t="shared" si="3"/>
        <v>-1.9443541783498997</v>
      </c>
      <c r="I72" s="5">
        <f t="shared" ca="1" si="4"/>
        <v>-0.550838169002418</v>
      </c>
      <c r="J72" s="8">
        <f t="shared" ca="1" si="7"/>
        <v>0.4678316357285548</v>
      </c>
      <c r="K72" s="30">
        <f t="shared" si="6"/>
        <v>-3.3909843306100171</v>
      </c>
    </row>
    <row r="73" spans="4:11" x14ac:dyDescent="0.15">
      <c r="D73" s="16">
        <v>1943</v>
      </c>
      <c r="E73" s="19">
        <v>23.178000000000001</v>
      </c>
      <c r="F73" s="23">
        <f t="shared" si="2"/>
        <v>0.48996300000000009</v>
      </c>
      <c r="G73" s="30">
        <f t="shared" si="3"/>
        <v>-1.9234187551649986</v>
      </c>
      <c r="I73" s="5">
        <f t="shared" ca="1" si="4"/>
        <v>-0.58689646400853235</v>
      </c>
      <c r="J73" s="8">
        <f t="shared" ca="1" si="7"/>
        <v>0.49112428323587892</v>
      </c>
      <c r="K73" s="30">
        <f t="shared" si="6"/>
        <v>-3.3408496766952038</v>
      </c>
    </row>
    <row r="74" spans="4:11" x14ac:dyDescent="0.15">
      <c r="D74" s="16">
        <v>1944</v>
      </c>
      <c r="E74" s="19">
        <v>25.792999999999999</v>
      </c>
      <c r="F74" s="23">
        <f t="shared" si="2"/>
        <v>0.5157560000000001</v>
      </c>
      <c r="G74" s="30">
        <f t="shared" si="3"/>
        <v>-1.9010711558053424</v>
      </c>
      <c r="H74" s="33"/>
      <c r="I74" s="5">
        <f t="shared" ca="1" si="4"/>
        <v>0.18405990138489869</v>
      </c>
      <c r="J74" s="8">
        <f t="shared" ca="1" si="7"/>
        <v>0.51537639394540191</v>
      </c>
      <c r="K74" s="30">
        <f t="shared" si="6"/>
        <v>-3.2876801155387279</v>
      </c>
    </row>
    <row r="75" spans="4:11" x14ac:dyDescent="0.15">
      <c r="D75" s="16">
        <v>1945</v>
      </c>
      <c r="E75" s="19">
        <v>26.146999999999998</v>
      </c>
      <c r="F75" s="23">
        <f t="shared" si="2"/>
        <v>0.54190300000000013</v>
      </c>
      <c r="G75" s="30">
        <f t="shared" si="3"/>
        <v>-1.8793462571656803</v>
      </c>
      <c r="H75" s="33"/>
      <c r="I75" s="5">
        <f t="shared" ca="1" si="4"/>
        <v>0.59916221750336263</v>
      </c>
      <c r="J75" s="8">
        <f t="shared" ca="1" si="7"/>
        <v>0.54061635845379297</v>
      </c>
      <c r="K75" s="30">
        <f t="shared" si="6"/>
        <v>-3.2363320637502402</v>
      </c>
    </row>
    <row r="76" spans="4:11" x14ac:dyDescent="0.15">
      <c r="D76" s="16">
        <v>1946</v>
      </c>
      <c r="E76" s="19">
        <v>26.387</v>
      </c>
      <c r="F76" s="23">
        <f t="shared" si="2"/>
        <v>0.56829000000000018</v>
      </c>
      <c r="G76" s="30">
        <f t="shared" si="3"/>
        <v>-1.858285892406917</v>
      </c>
      <c r="H76" s="33"/>
      <c r="I76" s="5">
        <f t="shared" ca="1" si="4"/>
        <v>0.63450413700502395</v>
      </c>
      <c r="J76" s="8">
        <f t="shared" ca="1" si="7"/>
        <v>0.56687283510505293</v>
      </c>
      <c r="K76" s="30">
        <f t="shared" si="6"/>
        <v>-3.1868713728185756</v>
      </c>
    </row>
    <row r="77" spans="4:11" x14ac:dyDescent="0.15">
      <c r="D77" s="16">
        <v>1947</v>
      </c>
      <c r="E77" s="19">
        <v>26.51</v>
      </c>
      <c r="F77" s="23">
        <f t="shared" si="2"/>
        <v>0.59480000000000022</v>
      </c>
      <c r="G77" s="30">
        <f t="shared" si="3"/>
        <v>-1.8379261628343413</v>
      </c>
      <c r="H77" s="33"/>
      <c r="I77" s="5">
        <f t="shared" ca="1" si="4"/>
        <v>0.26945488934234163</v>
      </c>
      <c r="J77" s="8">
        <f t="shared" ca="1" si="7"/>
        <v>0.59417472217308953</v>
      </c>
      <c r="K77" s="30">
        <f t="shared" si="6"/>
        <v>-3.1393495183973337</v>
      </c>
    </row>
    <row r="78" spans="4:11" x14ac:dyDescent="0.15">
      <c r="D78" s="16">
        <v>1948</v>
      </c>
      <c r="E78" s="19">
        <v>26.97</v>
      </c>
      <c r="F78" s="23">
        <f t="shared" si="2"/>
        <v>0.62177000000000027</v>
      </c>
      <c r="G78" s="30">
        <f t="shared" si="3"/>
        <v>-1.8179665499509445</v>
      </c>
      <c r="H78" s="33"/>
      <c r="I78" s="5">
        <f t="shared" ca="1" si="4"/>
        <v>-0.32424857286423503</v>
      </c>
      <c r="J78" s="8">
        <f t="shared" ca="1" si="7"/>
        <v>0.62255112849266159</v>
      </c>
      <c r="K78" s="30">
        <f t="shared" si="6"/>
        <v>-3.0930387049267098</v>
      </c>
    </row>
    <row r="79" spans="4:11" x14ac:dyDescent="0.15">
      <c r="D79" s="16">
        <v>1949</v>
      </c>
      <c r="E79" s="19">
        <v>28.745999999999999</v>
      </c>
      <c r="F79" s="23">
        <f t="shared" si="2"/>
        <v>0.65051600000000032</v>
      </c>
      <c r="G79" s="30">
        <f t="shared" si="3"/>
        <v>-1.7974608283621518</v>
      </c>
      <c r="H79" s="33"/>
      <c r="I79" s="5">
        <f t="shared" ca="1" si="4"/>
        <v>-0.60586793444235809</v>
      </c>
      <c r="J79" s="8">
        <f t="shared" ca="1" si="7"/>
        <v>0.65203134254257988</v>
      </c>
      <c r="K79" s="30">
        <f t="shared" si="6"/>
        <v>-3.0457435701327569</v>
      </c>
    </row>
    <row r="80" spans="4:11" x14ac:dyDescent="0.15">
      <c r="D80" s="16">
        <v>1950</v>
      </c>
      <c r="E80" s="19">
        <v>30.035</v>
      </c>
      <c r="F80" s="23">
        <f t="shared" si="2"/>
        <v>0.68055100000000035</v>
      </c>
      <c r="G80" s="30">
        <f t="shared" si="3"/>
        <v>-1.7768135253309374</v>
      </c>
      <c r="H80" s="293"/>
      <c r="I80" s="5">
        <f t="shared" ca="1" si="4"/>
        <v>-0.80657791536486911</v>
      </c>
      <c r="J80" s="8">
        <f t="shared" ca="1" si="7"/>
        <v>0.68264479998937388</v>
      </c>
      <c r="K80" s="30">
        <f t="shared" si="6"/>
        <v>-2.9984083476985663</v>
      </c>
    </row>
    <row r="81" spans="4:13" x14ac:dyDescent="0.15">
      <c r="D81" s="16">
        <v>1951</v>
      </c>
      <c r="E81" s="19">
        <v>30.428999999999998</v>
      </c>
      <c r="F81" s="23">
        <f t="shared" si="2"/>
        <v>0.71098000000000039</v>
      </c>
      <c r="G81" s="30">
        <f t="shared" si="3"/>
        <v>-1.7566403685798078</v>
      </c>
      <c r="H81" s="293">
        <v>430.84730261862705</v>
      </c>
      <c r="I81" s="5">
        <f t="shared" ca="1" si="4"/>
        <v>-1.278247714221834</v>
      </c>
      <c r="J81" s="8">
        <f t="shared" ca="1" si="7"/>
        <v>0.71442104970411402</v>
      </c>
      <c r="K81" s="30">
        <f t="shared" si="6"/>
        <v>-2.9524346822226692</v>
      </c>
    </row>
    <row r="82" spans="4:13" x14ac:dyDescent="0.15">
      <c r="D82" s="16">
        <v>1952</v>
      </c>
      <c r="E82" s="19">
        <v>32.311</v>
      </c>
      <c r="F82" s="23">
        <f t="shared" si="2"/>
        <v>0.74329100000000037</v>
      </c>
      <c r="G82" s="30">
        <f t="shared" si="3"/>
        <v>-1.7359742306436288</v>
      </c>
      <c r="H82" s="293">
        <v>107.55778772047083</v>
      </c>
      <c r="I82" s="5">
        <f t="shared" ca="1" si="4"/>
        <v>-1.4681941341204947</v>
      </c>
      <c r="J82" s="8">
        <f t="shared" ca="1" si="7"/>
        <v>0.74738971826968659</v>
      </c>
      <c r="K82" s="30">
        <f t="shared" si="6"/>
        <v>-2.9056157074783617</v>
      </c>
      <c r="M82" s="237"/>
    </row>
    <row r="83" spans="4:13" x14ac:dyDescent="0.15">
      <c r="D83" s="16">
        <v>1953</v>
      </c>
      <c r="E83" s="19">
        <v>33.125</v>
      </c>
      <c r="F83" s="23">
        <f t="shared" si="2"/>
        <v>0.77641600000000033</v>
      </c>
      <c r="G83" s="30">
        <f t="shared" si="3"/>
        <v>-1.71553012141761</v>
      </c>
      <c r="H83" s="293">
        <v>52.522877175414109</v>
      </c>
      <c r="I83" s="5">
        <f t="shared" ca="1" si="4"/>
        <v>-1.7850230403082605</v>
      </c>
      <c r="J83" s="8">
        <f t="shared" ca="1" si="7"/>
        <v>0.78158047300055067</v>
      </c>
      <c r="K83" s="30">
        <f t="shared" ref="K83:K114" si="8" xml:space="preserve"> -LN(F$10/F83 - 1)</f>
        <v>-2.8595734987468813</v>
      </c>
      <c r="M83" s="237"/>
    </row>
    <row r="84" spans="4:13" x14ac:dyDescent="0.15">
      <c r="D84" s="16">
        <v>1954</v>
      </c>
      <c r="E84" s="19">
        <v>34.018999999999998</v>
      </c>
      <c r="F84" s="23">
        <f t="shared" ref="F84:F139" si="9">F83+E84/1000</f>
        <v>0.81043500000000035</v>
      </c>
      <c r="G84" s="30">
        <f t="shared" si="3"/>
        <v>-1.6952549108566657</v>
      </c>
      <c r="H84" s="237">
        <v>33.367988726562992</v>
      </c>
      <c r="I84" s="5">
        <f t="shared" ca="1" si="4"/>
        <v>-2.1983722683035012</v>
      </c>
      <c r="J84" s="8">
        <f t="shared" ca="1" si="7"/>
        <v>0.81702298350184566</v>
      </c>
      <c r="K84" s="30">
        <f t="shared" si="8"/>
        <v>-2.8141773353429436</v>
      </c>
      <c r="L84" s="34"/>
    </row>
    <row r="85" spans="4:13" x14ac:dyDescent="0.15">
      <c r="D85" s="16">
        <v>1955</v>
      </c>
      <c r="E85" s="19">
        <v>37.643999999999998</v>
      </c>
      <c r="F85" s="23">
        <f t="shared" si="9"/>
        <v>0.84807900000000036</v>
      </c>
      <c r="G85" s="30">
        <f t="shared" ref="G85:G139" si="10">NORMSINV(F85/F$1)</f>
        <v>-1.6736024664098021</v>
      </c>
      <c r="H85" s="237">
        <v>30.324132548540895</v>
      </c>
      <c r="I85" s="5">
        <f t="shared" ref="I85:I107" ca="1" si="11">(G85/(NORMSINV(0.9)-NORMSINV(0.1))*IF(D85&lt;E$6,F$2-E$2,F$5-E$5) - D85 + IF(D85&lt;E$6,AVERAGE(E$2:F$2),AVERAGE(E$5:F$5)))*12</f>
        <v>-1.824675264668258</v>
      </c>
      <c r="J85" s="8">
        <f t="shared" ca="1" si="7"/>
        <v>0.85374688179966896</v>
      </c>
      <c r="K85" s="30">
        <f t="shared" si="8"/>
        <v>-2.7659859872174604</v>
      </c>
      <c r="L85" s="34"/>
    </row>
    <row r="86" spans="4:13" x14ac:dyDescent="0.15">
      <c r="D86" s="16">
        <v>1956</v>
      </c>
      <c r="E86" s="19">
        <v>39.381999999999998</v>
      </c>
      <c r="F86" s="23">
        <f t="shared" si="9"/>
        <v>0.88746100000000039</v>
      </c>
      <c r="G86" s="30">
        <f t="shared" si="10"/>
        <v>-1.6517599396637366</v>
      </c>
      <c r="H86" s="237">
        <v>32.779688571652947</v>
      </c>
      <c r="I86" s="5">
        <f t="shared" ca="1" si="11"/>
        <v>-1.3423521527020057</v>
      </c>
      <c r="J86" s="8">
        <f t="shared" ca="1" si="7"/>
        <v>0.89178172107936726</v>
      </c>
      <c r="K86" s="30">
        <f t="shared" si="8"/>
        <v>-2.7176694053879902</v>
      </c>
      <c r="L86" s="34"/>
    </row>
    <row r="87" spans="4:13" x14ac:dyDescent="0.15">
      <c r="D87" s="16">
        <v>1957</v>
      </c>
      <c r="E87" s="19">
        <v>40.909999999999997</v>
      </c>
      <c r="F87" s="23">
        <f t="shared" si="9"/>
        <v>0.92837100000000039</v>
      </c>
      <c r="G87" s="30">
        <f t="shared" si="10"/>
        <v>-1.6298747055894289</v>
      </c>
      <c r="H87" s="237">
        <v>38.469691653216906</v>
      </c>
      <c r="I87" s="5">
        <f t="shared" ca="1" si="11"/>
        <v>-0.83562313401398569</v>
      </c>
      <c r="J87" s="8">
        <f t="shared" ca="1" si="7"/>
        <v>0.93115693307377445</v>
      </c>
      <c r="K87" s="30">
        <f t="shared" si="8"/>
        <v>-2.6695541362497544</v>
      </c>
      <c r="L87" s="34"/>
    </row>
    <row r="88" spans="4:13" x14ac:dyDescent="0.15">
      <c r="D88" s="16">
        <v>1958</v>
      </c>
      <c r="E88" s="19">
        <v>42.765000000000001</v>
      </c>
      <c r="F88" s="23">
        <f t="shared" si="9"/>
        <v>0.97113600000000044</v>
      </c>
      <c r="G88" s="30">
        <f t="shared" si="10"/>
        <v>-1.6078021132391132</v>
      </c>
      <c r="H88" s="237">
        <v>47.718479740860666</v>
      </c>
      <c r="I88" s="5">
        <f t="shared" ca="1" si="11"/>
        <v>-0.2218247013315704</v>
      </c>
      <c r="J88" s="8">
        <f t="shared" ca="1" si="7"/>
        <v>0.97190178414848938</v>
      </c>
      <c r="K88" s="30">
        <f t="shared" si="8"/>
        <v>-2.6213224538447366</v>
      </c>
      <c r="L88" s="34"/>
    </row>
    <row r="89" spans="4:13" x14ac:dyDescent="0.15">
      <c r="D89" s="16">
        <v>1959</v>
      </c>
      <c r="E89" s="19">
        <v>42.076999999999998</v>
      </c>
      <c r="F89" s="23">
        <f t="shared" si="9"/>
        <v>1.0132130000000004</v>
      </c>
      <c r="G89" s="30">
        <f t="shared" si="10"/>
        <v>-1.5868234156787555</v>
      </c>
      <c r="H89" s="237">
        <v>52.771504342313783</v>
      </c>
      <c r="I89" s="5">
        <f t="shared" ca="1" si="11"/>
        <v>-0.23315303980962199</v>
      </c>
      <c r="J89" s="8">
        <f t="shared" ca="1" si="7"/>
        <v>1.0140453301364707</v>
      </c>
      <c r="K89" s="30">
        <f t="shared" si="8"/>
        <v>-2.5757520479470233</v>
      </c>
      <c r="L89" s="34"/>
    </row>
    <row r="90" spans="4:13" x14ac:dyDescent="0.15">
      <c r="D90" s="16">
        <v>1960</v>
      </c>
      <c r="E90" s="19">
        <v>43.279000000000003</v>
      </c>
      <c r="F90" s="23">
        <f t="shared" si="9"/>
        <v>1.0564920000000004</v>
      </c>
      <c r="G90" s="30">
        <f t="shared" si="10"/>
        <v>-1.5659501563167477</v>
      </c>
      <c r="H90" s="237">
        <v>53.349870064420315</v>
      </c>
      <c r="I90" s="5">
        <f t="shared" ca="1" si="11"/>
        <v>-0.3047360216942252</v>
      </c>
      <c r="J90" s="8">
        <f t="shared" ca="1" si="7"/>
        <v>1.0576163699794245</v>
      </c>
      <c r="K90" s="30">
        <f t="shared" si="8"/>
        <v>-2.5306688020539667</v>
      </c>
      <c r="L90" s="34"/>
    </row>
    <row r="91" spans="4:13" x14ac:dyDescent="0.15">
      <c r="D91" s="16">
        <v>1961</v>
      </c>
      <c r="E91" s="19">
        <v>44.128</v>
      </c>
      <c r="F91" s="23">
        <f t="shared" si="9"/>
        <v>1.1006200000000004</v>
      </c>
      <c r="G91" s="30">
        <f t="shared" si="10"/>
        <v>-1.5453474660755524</v>
      </c>
      <c r="H91" s="237">
        <v>49.903131858344345</v>
      </c>
      <c r="I91" s="5">
        <f t="shared" ca="1" si="11"/>
        <v>-0.53094082134521159</v>
      </c>
      <c r="J91" s="8">
        <f t="shared" ca="1" si="7"/>
        <v>1.1026433982386814</v>
      </c>
      <c r="K91" s="30">
        <f t="shared" si="8"/>
        <v>-2.4864185836416808</v>
      </c>
      <c r="L91" s="34"/>
    </row>
    <row r="92" spans="4:13" x14ac:dyDescent="0.15">
      <c r="D92" s="16">
        <v>1962</v>
      </c>
      <c r="E92" s="19">
        <v>45.537999999999997</v>
      </c>
      <c r="F92" s="23">
        <f t="shared" si="9"/>
        <v>1.1461580000000005</v>
      </c>
      <c r="G92" s="30">
        <f t="shared" si="10"/>
        <v>-1.5247525734159642</v>
      </c>
      <c r="H92" s="237">
        <v>44.928585381771867</v>
      </c>
      <c r="I92" s="5">
        <f t="shared" ca="1" si="11"/>
        <v>-0.76160169579998183</v>
      </c>
      <c r="J92" s="8">
        <f t="shared" ca="1" si="7"/>
        <v>1.1491545565434442</v>
      </c>
      <c r="K92" s="30">
        <f t="shared" si="8"/>
        <v>-2.4424281256130009</v>
      </c>
      <c r="L92" s="34"/>
    </row>
    <row r="93" spans="4:13" x14ac:dyDescent="0.15">
      <c r="D93" s="16">
        <v>1963</v>
      </c>
      <c r="E93" s="19">
        <v>46.588999999999999</v>
      </c>
      <c r="F93" s="23">
        <f t="shared" si="9"/>
        <v>1.1927470000000004</v>
      </c>
      <c r="G93" s="30">
        <f t="shared" si="10"/>
        <v>-1.5043310162539119</v>
      </c>
      <c r="H93" s="237">
        <v>39.498752155337428</v>
      </c>
      <c r="I93" s="5">
        <f t="shared" ca="1" si="11"/>
        <v>-1.0913184035016457</v>
      </c>
      <c r="J93" s="8">
        <f t="shared" ca="1" si="7"/>
        <v>1.197177584049451</v>
      </c>
      <c r="K93" s="30">
        <f t="shared" si="8"/>
        <v>-2.3990439747989396</v>
      </c>
      <c r="L93" s="34"/>
    </row>
    <row r="94" spans="4:13" x14ac:dyDescent="0.15">
      <c r="D94" s="16">
        <v>1964</v>
      </c>
      <c r="E94" s="19">
        <v>49.454999999999998</v>
      </c>
      <c r="F94" s="23">
        <f t="shared" si="9"/>
        <v>1.2422020000000005</v>
      </c>
      <c r="G94" s="30">
        <f t="shared" si="10"/>
        <v>-1.4833183116624122</v>
      </c>
      <c r="H94" s="237">
        <v>35.7073969940122</v>
      </c>
      <c r="I94" s="5">
        <f t="shared" ca="1" si="11"/>
        <v>-1.0832127838257293</v>
      </c>
      <c r="J94" s="8">
        <f t="shared" ca="1" si="7"/>
        <v>1.2467397669861817</v>
      </c>
      <c r="K94" s="30">
        <f t="shared" si="8"/>
        <v>-2.3546452619674691</v>
      </c>
      <c r="L94" s="34"/>
    </row>
    <row r="95" spans="4:13" x14ac:dyDescent="0.15">
      <c r="D95" s="16">
        <v>1965</v>
      </c>
      <c r="E95" s="19">
        <v>53.554000000000002</v>
      </c>
      <c r="F95" s="23">
        <f t="shared" si="9"/>
        <v>1.2957560000000006</v>
      </c>
      <c r="G95" s="30">
        <f t="shared" si="10"/>
        <v>-1.4612789688714389</v>
      </c>
      <c r="H95" s="237">
        <v>34.556823822127654</v>
      </c>
      <c r="I95" s="5">
        <f t="shared" ca="1" si="11"/>
        <v>-0.48841543777689367</v>
      </c>
      <c r="J95" s="8">
        <f t="shared" ca="1" si="7"/>
        <v>1.2978678873757823</v>
      </c>
      <c r="K95" s="30">
        <f t="shared" si="8"/>
        <v>-2.308335652618708</v>
      </c>
      <c r="L95" s="34"/>
    </row>
    <row r="96" spans="4:13" x14ac:dyDescent="0.15">
      <c r="D96" s="16">
        <v>1966</v>
      </c>
      <c r="E96" s="19">
        <v>53.055999999999997</v>
      </c>
      <c r="F96" s="23">
        <f t="shared" si="9"/>
        <v>1.3488120000000006</v>
      </c>
      <c r="G96" s="30">
        <f t="shared" si="10"/>
        <v>-1.4401229455025362</v>
      </c>
      <c r="H96" s="237">
        <v>33.476783375001013</v>
      </c>
      <c r="I96" s="5">
        <f t="shared" ca="1" si="11"/>
        <v>-0.39840760466540814</v>
      </c>
      <c r="J96" s="8">
        <f t="shared" ca="1" si="7"/>
        <v>1.3505881710117968</v>
      </c>
      <c r="K96" s="30">
        <f t="shared" si="8"/>
        <v>-2.2641263272292353</v>
      </c>
      <c r="L96" s="34"/>
    </row>
    <row r="97" spans="4:12" x14ac:dyDescent="0.15">
      <c r="D97" s="16">
        <v>1967</v>
      </c>
      <c r="E97" s="19">
        <v>53.954000000000001</v>
      </c>
      <c r="F97" s="23">
        <f t="shared" si="9"/>
        <v>1.4027660000000006</v>
      </c>
      <c r="G97" s="30">
        <f t="shared" si="10"/>
        <v>-1.419250176840416</v>
      </c>
      <c r="H97" s="237">
        <v>32.116660199899194</v>
      </c>
      <c r="I97" s="5">
        <f t="shared" ca="1" si="11"/>
        <v>-0.47027100623654405</v>
      </c>
      <c r="J97" s="8">
        <f t="shared" ca="1" si="7"/>
        <v>1.4049262347906057</v>
      </c>
      <c r="K97" s="30">
        <f t="shared" si="8"/>
        <v>-2.2207389177554857</v>
      </c>
      <c r="L97" s="34"/>
    </row>
    <row r="98" spans="4:12" x14ac:dyDescent="0.15">
      <c r="D98" s="16">
        <v>1968</v>
      </c>
      <c r="E98" s="19">
        <v>56.561</v>
      </c>
      <c r="F98" s="23">
        <f t="shared" si="9"/>
        <v>1.4593270000000007</v>
      </c>
      <c r="G98" s="30">
        <f t="shared" si="10"/>
        <v>-1.3980129984485321</v>
      </c>
      <c r="H98" s="237">
        <v>31.049884043288749</v>
      </c>
      <c r="I98" s="5">
        <f t="shared" ca="1" si="11"/>
        <v>-0.33388560743333073</v>
      </c>
      <c r="J98" s="8">
        <f t="shared" ca="1" si="7"/>
        <v>1.4609070334931615</v>
      </c>
      <c r="K98" s="30">
        <f t="shared" si="8"/>
        <v>-2.176823947494575</v>
      </c>
      <c r="L98" s="34"/>
    </row>
    <row r="99" spans="4:12" x14ac:dyDescent="0.15">
      <c r="D99" s="16">
        <v>1969</v>
      </c>
      <c r="E99" s="19">
        <v>57.085999999999999</v>
      </c>
      <c r="F99" s="23">
        <f t="shared" si="9"/>
        <v>1.5164130000000007</v>
      </c>
      <c r="G99" s="30">
        <f t="shared" si="10"/>
        <v>-1.3771995682654135</v>
      </c>
      <c r="H99" s="237">
        <v>29.796390810568123</v>
      </c>
      <c r="I99" s="5">
        <f t="shared" ca="1" si="11"/>
        <v>-0.43965909992402885</v>
      </c>
      <c r="J99" s="8">
        <f t="shared" ca="1" si="7"/>
        <v>1.5185548061190901</v>
      </c>
      <c r="K99" s="30">
        <f t="shared" si="8"/>
        <v>-2.1340057432045603</v>
      </c>
      <c r="L99" s="34"/>
    </row>
    <row r="100" spans="4:12" x14ac:dyDescent="0.15">
      <c r="D100" s="16">
        <v>1970</v>
      </c>
      <c r="E100" s="19">
        <v>59.502000000000002</v>
      </c>
      <c r="F100" s="23">
        <f t="shared" si="9"/>
        <v>1.5759150000000006</v>
      </c>
      <c r="G100" s="30">
        <f t="shared" si="10"/>
        <v>-1.3561220827943974</v>
      </c>
      <c r="H100" s="237">
        <v>28.705533410180539</v>
      </c>
      <c r="I100" s="5">
        <f t="shared" ca="1" si="11"/>
        <v>-0.3945332270959625</v>
      </c>
      <c r="J100" s="8">
        <f t="shared" ca="1" si="7"/>
        <v>1.5778930218796066</v>
      </c>
      <c r="K100" s="30">
        <f t="shared" si="8"/>
        <v>-2.0908621725973573</v>
      </c>
      <c r="L100" s="34"/>
    </row>
    <row r="101" spans="4:12" x14ac:dyDescent="0.15">
      <c r="D101" s="16">
        <v>1971</v>
      </c>
      <c r="E101" s="19">
        <v>63.844000000000001</v>
      </c>
      <c r="F101" s="23">
        <f t="shared" si="9"/>
        <v>1.6397590000000006</v>
      </c>
      <c r="G101" s="30">
        <f t="shared" si="10"/>
        <v>-1.3341569319072963</v>
      </c>
      <c r="H101" s="237">
        <v>28.350753077780471</v>
      </c>
      <c r="I101" s="5">
        <f t="shared" ca="1" si="11"/>
        <v>0.15786575876154529</v>
      </c>
      <c r="J101" s="8">
        <f t="shared" ca="1" si="7"/>
        <v>1.6389443259597833</v>
      </c>
      <c r="K101" s="30">
        <f t="shared" si="8"/>
        <v>-2.0461298374547332</v>
      </c>
      <c r="L101" s="34"/>
    </row>
    <row r="102" spans="4:12" x14ac:dyDescent="0.15">
      <c r="D102" s="16">
        <v>1972</v>
      </c>
      <c r="E102" s="19">
        <v>63.655999999999999</v>
      </c>
      <c r="F102" s="23">
        <f t="shared" si="9"/>
        <v>1.7034150000000006</v>
      </c>
      <c r="G102" s="30">
        <f t="shared" si="10"/>
        <v>-1.3128792203773287</v>
      </c>
      <c r="H102" s="237">
        <v>28.001295022859424</v>
      </c>
      <c r="I102" s="5">
        <f t="shared" ca="1" si="11"/>
        <v>0.31741458239230269</v>
      </c>
      <c r="J102" s="8">
        <f t="shared" ca="1" si="7"/>
        <v>1.7017304851646526</v>
      </c>
      <c r="K102" s="30">
        <f t="shared" si="8"/>
        <v>-2.0030145194030364</v>
      </c>
      <c r="L102" s="34"/>
    </row>
    <row r="103" spans="4:12" x14ac:dyDescent="0.15">
      <c r="D103" s="16">
        <v>1973</v>
      </c>
      <c r="E103" s="19">
        <v>67.942999999999998</v>
      </c>
      <c r="F103" s="23">
        <f t="shared" si="9"/>
        <v>1.7713580000000007</v>
      </c>
      <c r="G103" s="30">
        <f t="shared" si="10"/>
        <v>-1.2908056161277786</v>
      </c>
      <c r="H103" s="237">
        <v>28.103575564626251</v>
      </c>
      <c r="I103" s="5">
        <f t="shared" ca="1" si="11"/>
        <v>0.93179128394149302</v>
      </c>
      <c r="J103" s="8">
        <f t="shared" ca="1" si="7"/>
        <v>1.7662723335672699</v>
      </c>
      <c r="K103" s="30">
        <f t="shared" si="8"/>
        <v>-1.9585067790327861</v>
      </c>
      <c r="L103" s="34"/>
    </row>
    <row r="104" spans="4:12" x14ac:dyDescent="0.15">
      <c r="D104" s="16">
        <v>1974</v>
      </c>
      <c r="E104" s="19">
        <v>70.209999999999994</v>
      </c>
      <c r="F104" s="23">
        <f t="shared" si="9"/>
        <v>1.8415680000000005</v>
      </c>
      <c r="G104" s="30">
        <f t="shared" si="10"/>
        <v>-1.2686375668015581</v>
      </c>
      <c r="H104" s="237">
        <v>28.530388032435869</v>
      </c>
      <c r="I104" s="5">
        <f t="shared" ca="1" si="11"/>
        <v>1.600140402557372</v>
      </c>
      <c r="J104" s="8">
        <f t="shared" ca="1" si="7"/>
        <v>1.8325897182802735</v>
      </c>
      <c r="K104" s="30">
        <f t="shared" si="8"/>
        <v>-1.9140287462800349</v>
      </c>
      <c r="L104" s="34"/>
    </row>
    <row r="105" spans="4:12" x14ac:dyDescent="0.15">
      <c r="D105" s="16">
        <v>1975</v>
      </c>
      <c r="E105" s="19">
        <v>74.524000000000001</v>
      </c>
      <c r="F105" s="23">
        <f t="shared" si="9"/>
        <v>1.9160920000000006</v>
      </c>
      <c r="G105" s="30">
        <f t="shared" si="10"/>
        <v>-1.2457699932064272</v>
      </c>
      <c r="H105" s="237">
        <v>29.516394509622689</v>
      </c>
      <c r="I105" s="5">
        <f t="shared" ca="1" si="11"/>
        <v>2.6682458337418211</v>
      </c>
      <c r="J105" s="8">
        <f t="shared" ca="1" si="7"/>
        <v>1.9007014454756224</v>
      </c>
      <c r="K105" s="30">
        <f t="shared" si="8"/>
        <v>-1.8683721745074546</v>
      </c>
      <c r="L105" s="34"/>
    </row>
    <row r="106" spans="4:12" x14ac:dyDescent="0.15">
      <c r="D106" s="16">
        <v>1976</v>
      </c>
      <c r="E106" s="19">
        <v>81.786000000000001</v>
      </c>
      <c r="F106" s="23">
        <f t="shared" si="9"/>
        <v>1.9978780000000005</v>
      </c>
      <c r="G106" s="30">
        <f t="shared" si="10"/>
        <v>-1.221401507317029</v>
      </c>
      <c r="H106" s="237">
        <v>31.694388068914176</v>
      </c>
      <c r="I106" s="5">
        <f t="shared" ca="1" si="11"/>
        <v>4.5940758513534092</v>
      </c>
      <c r="J106" s="8">
        <f t="shared" ca="1" si="7"/>
        <v>1.9706252267799613</v>
      </c>
      <c r="K106" s="30">
        <f t="shared" si="8"/>
        <v>-1.8199631530695302</v>
      </c>
      <c r="L106" s="34"/>
    </row>
    <row r="107" spans="4:12" x14ac:dyDescent="0.15">
      <c r="D107" s="16">
        <v>1977</v>
      </c>
      <c r="E107" s="19">
        <v>92.676000000000002</v>
      </c>
      <c r="F107" s="23">
        <f t="shared" si="9"/>
        <v>2.0905540000000005</v>
      </c>
      <c r="G107" s="30">
        <f t="shared" si="10"/>
        <v>-1.1946368657732549</v>
      </c>
      <c r="H107" s="39">
        <v>31.694329701321834</v>
      </c>
      <c r="I107" s="5">
        <f t="shared" ca="1" si="11"/>
        <v>3.5192550571000538</v>
      </c>
      <c r="J107" s="8">
        <f t="shared" ca="1" si="7"/>
        <v>2.0544671897333382</v>
      </c>
      <c r="K107" s="30">
        <f t="shared" si="8"/>
        <v>-1.767075078186638</v>
      </c>
      <c r="L107" s="34"/>
    </row>
    <row r="108" spans="4:12" x14ac:dyDescent="0.15">
      <c r="D108" s="16">
        <v>1978</v>
      </c>
      <c r="E108" s="19">
        <v>95.959000000000003</v>
      </c>
      <c r="F108" s="23">
        <f t="shared" si="9"/>
        <v>2.1865130000000006</v>
      </c>
      <c r="G108" s="30">
        <f t="shared" si="10"/>
        <v>-1.1677973110702624</v>
      </c>
      <c r="H108" s="21">
        <v>31.694329701321834</v>
      </c>
      <c r="I108" s="5">
        <f ca="1">(G108/(NORMSINV(0.9)-NORMSINV(0.1))*IF(D108&lt;E$6,F$2-E$2,F$5-E$5) - D108 + IF(D108&lt;E$6,AVERAGE(E$2:F$2),AVERAGE(E$5:F$5)))*12</f>
        <v>0.67255164691141545</v>
      </c>
      <c r="J108" s="8">
        <f t="shared" ca="1" si="7"/>
        <v>2.1793585940005205</v>
      </c>
      <c r="K108" s="30">
        <f t="shared" si="8"/>
        <v>-1.7143238423122804</v>
      </c>
      <c r="L108" s="39"/>
    </row>
    <row r="109" spans="4:12" x14ac:dyDescent="0.15">
      <c r="D109" s="16">
        <v>1979</v>
      </c>
      <c r="E109" s="19">
        <v>110.979</v>
      </c>
      <c r="F109" s="23">
        <f t="shared" si="9"/>
        <v>2.2974920000000005</v>
      </c>
      <c r="G109" s="30">
        <f t="shared" si="10"/>
        <v>-1.1377697921136571</v>
      </c>
      <c r="H109" s="21">
        <v>31.706293273980535</v>
      </c>
      <c r="I109" s="5">
        <f ca="1">(G109/(NORMSINV(0.9)-NORMSINV(0.1))*IF(D109&lt;E$6,F$2-E$2,F$5-E$5) - D109 + IF(D109&lt;E$6,AVERAGE(E$2:F$2),AVERAGE(E$5:F$5)))*12</f>
        <v>-1.0869361721843234</v>
      </c>
      <c r="J109" s="8">
        <f t="shared" ca="1" si="7"/>
        <v>2.3094972826113094</v>
      </c>
      <c r="K109" s="30">
        <f t="shared" si="8"/>
        <v>-1.6556313109671066</v>
      </c>
      <c r="L109" s="39"/>
    </row>
    <row r="110" spans="4:12" x14ac:dyDescent="0.15">
      <c r="D110" s="16">
        <v>1980</v>
      </c>
      <c r="E110" s="19">
        <v>121.52800000000001</v>
      </c>
      <c r="F110" s="23">
        <f t="shared" si="9"/>
        <v>2.4190200000000006</v>
      </c>
      <c r="G110" s="30">
        <f t="shared" si="10"/>
        <v>-1.1060230446514598</v>
      </c>
      <c r="H110" s="237">
        <v>31.744045562333174</v>
      </c>
      <c r="I110" s="5">
        <f t="shared" ref="I110:I139" ca="1" si="12">(G110/(NORMSINV(0.9)-NORMSINV(0.1))*IF(D110&lt;E$6,F$2-E$2,F$5-E$5) - D110 + IF(D110&lt;E$6,AVERAGE(E$2:F$2),AVERAGE(E$5:F$5)))*12</f>
        <v>-2.2601024747164047</v>
      </c>
      <c r="J110" s="8">
        <f t="shared" ca="1" si="7"/>
        <v>2.4449359450106223</v>
      </c>
      <c r="K110" s="30">
        <f t="shared" si="8"/>
        <v>-1.5939339224331266</v>
      </c>
      <c r="L110" s="34"/>
    </row>
    <row r="111" spans="4:12" x14ac:dyDescent="0.15">
      <c r="D111" s="16">
        <v>1981</v>
      </c>
      <c r="E111" s="20">
        <v>135.94</v>
      </c>
      <c r="F111" s="23">
        <f t="shared" si="9"/>
        <v>2.5549600000000008</v>
      </c>
      <c r="G111" s="30">
        <f t="shared" si="10"/>
        <v>-1.07178319343356</v>
      </c>
      <c r="H111" s="237">
        <v>31.867204655006031</v>
      </c>
      <c r="I111" s="5">
        <f t="shared" ca="1" si="12"/>
        <v>-2.5830267237715816</v>
      </c>
      <c r="J111" s="8">
        <f t="shared" ca="1" si="7"/>
        <v>2.5857160350144364</v>
      </c>
      <c r="K111" s="30">
        <f t="shared" si="8"/>
        <v>-1.527779330807056</v>
      </c>
    </row>
    <row r="112" spans="4:12" x14ac:dyDescent="0.15">
      <c r="D112" s="16">
        <v>1982</v>
      </c>
      <c r="E112" s="20">
        <v>149.19300000000001</v>
      </c>
      <c r="F112" s="23">
        <f t="shared" si="9"/>
        <v>2.7041530000000007</v>
      </c>
      <c r="G112" s="30">
        <f t="shared" si="10"/>
        <v>-1.0355963189614172</v>
      </c>
      <c r="H112" s="237">
        <v>32.152635137512064</v>
      </c>
      <c r="I112" s="5">
        <f t="shared" ca="1" si="12"/>
        <v>-2.2419428880948544</v>
      </c>
      <c r="J112" s="8">
        <f t="shared" ca="1" si="7"/>
        <v>2.731867163702379</v>
      </c>
      <c r="K112" s="30">
        <f t="shared" si="8"/>
        <v>-1.4582737992435968</v>
      </c>
    </row>
    <row r="113" spans="4:11" x14ac:dyDescent="0.15">
      <c r="D113" s="16">
        <v>1983</v>
      </c>
      <c r="E113" s="20">
        <v>151.00300000000001</v>
      </c>
      <c r="F113" s="23">
        <f t="shared" si="9"/>
        <v>2.8551560000000009</v>
      </c>
      <c r="G113" s="30">
        <f t="shared" si="10"/>
        <v>-1.0003014203251777</v>
      </c>
      <c r="H113" s="237">
        <v>32.488982845852988</v>
      </c>
      <c r="I113" s="5">
        <f t="shared" ca="1" si="12"/>
        <v>-2.2050563264538141</v>
      </c>
      <c r="J113" s="8">
        <f t="shared" ca="1" si="7"/>
        <v>2.8834065281144894</v>
      </c>
      <c r="K113" s="30">
        <f t="shared" si="8"/>
        <v>-1.3908601935768834</v>
      </c>
    </row>
    <row r="114" spans="4:11" x14ac:dyDescent="0.15">
      <c r="D114" s="16">
        <v>1984</v>
      </c>
      <c r="E114" s="20">
        <v>168.33099999999999</v>
      </c>
      <c r="F114" s="23">
        <f t="shared" si="9"/>
        <v>3.0234870000000007</v>
      </c>
      <c r="G114" s="30">
        <f t="shared" si="10"/>
        <v>-0.96237017697288962</v>
      </c>
      <c r="H114" s="237">
        <v>33.126373758109892</v>
      </c>
      <c r="I114" s="5">
        <f t="shared" ca="1" si="12"/>
        <v>-1.2690771618981671</v>
      </c>
      <c r="J114" s="8">
        <f t="shared" ca="1" si="7"/>
        <v>3.0403383807408351</v>
      </c>
      <c r="K114" s="30">
        <f t="shared" si="8"/>
        <v>-1.3187951069886306</v>
      </c>
    </row>
    <row r="115" spans="4:11" x14ac:dyDescent="0.15">
      <c r="D115" s="16">
        <v>1985</v>
      </c>
      <c r="E115" s="20">
        <v>178.99099999999999</v>
      </c>
      <c r="F115" s="23">
        <f t="shared" si="9"/>
        <v>3.2024780000000006</v>
      </c>
      <c r="G115" s="30">
        <f t="shared" si="10"/>
        <v>-0.92349965026540903</v>
      </c>
      <c r="H115" s="237">
        <v>34.158581590624365</v>
      </c>
      <c r="I115" s="5">
        <f t="shared" ca="1" si="12"/>
        <v>-1.2767081756464904E-2</v>
      </c>
      <c r="J115" s="8">
        <f t="shared" ca="1" si="7"/>
        <v>3.2026535446744457</v>
      </c>
      <c r="K115" s="30">
        <f t="shared" ref="K115:K139" si="13" xml:space="preserve"> -LN(F$10/F115 - 1)</f>
        <v>-1.2453208071548389</v>
      </c>
    </row>
    <row r="116" spans="4:11" x14ac:dyDescent="0.15">
      <c r="D116" s="16">
        <v>1986</v>
      </c>
      <c r="E116" s="20">
        <v>183.21299999999999</v>
      </c>
      <c r="F116" s="23">
        <f t="shared" si="9"/>
        <v>3.3856910000000005</v>
      </c>
      <c r="G116" s="30">
        <f t="shared" si="10"/>
        <v>-0.88510671784435013</v>
      </c>
      <c r="H116" s="237">
        <v>35.437006343819519</v>
      </c>
      <c r="I116" s="5">
        <f t="shared" ca="1" si="12"/>
        <v>1.0806654021789655</v>
      </c>
      <c r="J116" s="8">
        <f t="shared" ca="1" si="7"/>
        <v>3.3703289791326254</v>
      </c>
      <c r="K116" s="30">
        <f t="shared" si="13"/>
        <v>-1.1730828236510409</v>
      </c>
    </row>
    <row r="117" spans="4:11" x14ac:dyDescent="0.15">
      <c r="D117" s="16">
        <v>1987</v>
      </c>
      <c r="E117" s="20">
        <v>183.68200000000002</v>
      </c>
      <c r="F117" s="23">
        <f t="shared" si="9"/>
        <v>3.5693730000000006</v>
      </c>
      <c r="G117" s="30">
        <f t="shared" si="10"/>
        <v>-0.84788257551209278</v>
      </c>
      <c r="H117" s="237">
        <v>36.652453790039239</v>
      </c>
      <c r="I117" s="5">
        <f t="shared" ca="1" si="12"/>
        <v>1.7754965511703631</v>
      </c>
      <c r="J117" s="8">
        <f t="shared" ca="1" si="7"/>
        <v>3.5433273998387342</v>
      </c>
      <c r="K117" s="30">
        <f t="shared" si="13"/>
        <v>-1.1033220727328485</v>
      </c>
    </row>
    <row r="118" spans="4:11" x14ac:dyDescent="0.15">
      <c r="D118" s="16">
        <v>1988</v>
      </c>
      <c r="E118" s="20">
        <v>188.78300000000002</v>
      </c>
      <c r="F118" s="23">
        <f t="shared" si="9"/>
        <v>3.7581560000000005</v>
      </c>
      <c r="G118" s="30">
        <f t="shared" si="10"/>
        <v>-0.81081084384269775</v>
      </c>
      <c r="H118" s="237">
        <v>37.736557330506898</v>
      </c>
      <c r="I118" s="5">
        <f t="shared" ca="1" si="12"/>
        <v>2.4183499376322288</v>
      </c>
      <c r="J118" s="8">
        <f t="shared" ca="1" si="7"/>
        <v>3.7215969584966748</v>
      </c>
      <c r="K118" s="30">
        <f t="shared" si="13"/>
        <v>-1.0340807807800647</v>
      </c>
    </row>
    <row r="119" spans="4:11" x14ac:dyDescent="0.15">
      <c r="D119" s="16">
        <v>1989</v>
      </c>
      <c r="E119" s="20">
        <v>183.625</v>
      </c>
      <c r="F119" s="23">
        <f t="shared" si="9"/>
        <v>3.9417810000000006</v>
      </c>
      <c r="G119" s="30">
        <f t="shared" si="10"/>
        <v>-0.77579122288531321</v>
      </c>
      <c r="H119" s="237">
        <v>38.174631549799187</v>
      </c>
      <c r="I119" s="5">
        <f t="shared" ca="1" si="12"/>
        <v>2.3613564678435068</v>
      </c>
      <c r="J119" s="8">
        <f t="shared" ca="1" si="7"/>
        <v>3.9050709852844516</v>
      </c>
      <c r="K119" s="30">
        <f t="shared" si="13"/>
        <v>-0.96885140436951034</v>
      </c>
    </row>
    <row r="120" spans="4:11" x14ac:dyDescent="0.15">
      <c r="D120" s="16">
        <v>1990</v>
      </c>
      <c r="E120" s="20">
        <v>182.566</v>
      </c>
      <c r="F120" s="23">
        <f t="shared" si="9"/>
        <v>4.1243470000000002</v>
      </c>
      <c r="G120" s="30">
        <f t="shared" si="10"/>
        <v>-0.74189230361050784</v>
      </c>
      <c r="H120" s="237">
        <v>37.807544954165763</v>
      </c>
      <c r="I120" s="5">
        <f t="shared" ca="1" si="12"/>
        <v>1.9221616164395527</v>
      </c>
      <c r="J120" s="8">
        <f t="shared" ca="1" si="7"/>
        <v>4.0936677979428779</v>
      </c>
      <c r="K120" s="30">
        <f t="shared" si="13"/>
        <v>-0.90584238951770657</v>
      </c>
    </row>
    <row r="121" spans="4:11" x14ac:dyDescent="0.15">
      <c r="D121" s="16">
        <v>1991</v>
      </c>
      <c r="E121" s="20">
        <v>186.43799999999999</v>
      </c>
      <c r="F121" s="23">
        <f t="shared" si="9"/>
        <v>4.3107850000000001</v>
      </c>
      <c r="G121" s="30">
        <f t="shared" si="10"/>
        <v>-0.70813241421019668</v>
      </c>
      <c r="H121" s="40">
        <v>36.723885552621695</v>
      </c>
      <c r="I121" s="5">
        <f t="shared" ca="1" si="12"/>
        <v>1.4355523540989452</v>
      </c>
      <c r="J121" s="8">
        <f t="shared" ca="1" si="7"/>
        <v>4.2872905806429218</v>
      </c>
      <c r="K121" s="30">
        <f t="shared" si="13"/>
        <v>-0.84318947115912346</v>
      </c>
    </row>
    <row r="122" spans="4:11" x14ac:dyDescent="0.15">
      <c r="D122" s="16">
        <v>1992</v>
      </c>
      <c r="E122" s="20">
        <v>182.36799999999999</v>
      </c>
      <c r="F122" s="23">
        <f t="shared" si="9"/>
        <v>4.4931530000000004</v>
      </c>
      <c r="G122" s="30">
        <f t="shared" si="10"/>
        <v>-0.67587287741280733</v>
      </c>
      <c r="H122" s="27">
        <v>34.758706770991601</v>
      </c>
      <c r="I122" s="5">
        <f t="shared" ca="1" si="12"/>
        <v>0.43726648177562311</v>
      </c>
      <c r="J122" s="8">
        <f t="shared" ca="1" si="7"/>
        <v>4.4858273353829548</v>
      </c>
      <c r="K122" s="30">
        <f t="shared" si="13"/>
        <v>-0.78338167412976178</v>
      </c>
    </row>
    <row r="123" spans="4:11" x14ac:dyDescent="0.15">
      <c r="D123" s="16">
        <v>1993</v>
      </c>
      <c r="E123" s="20">
        <v>189.81199999999998</v>
      </c>
      <c r="F123" s="23">
        <f t="shared" si="9"/>
        <v>4.6829650000000003</v>
      </c>
      <c r="G123" s="30">
        <f t="shared" si="10"/>
        <v>-0.64302696601727005</v>
      </c>
      <c r="H123" s="27">
        <v>32.171868621959398</v>
      </c>
      <c r="I123" s="5">
        <f t="shared" ca="1" si="12"/>
        <v>-0.36104362086734909</v>
      </c>
      <c r="J123" s="8">
        <f t="shared" ca="1" si="7"/>
        <v>4.689150908198414</v>
      </c>
      <c r="K123" s="30">
        <f t="shared" si="13"/>
        <v>-0.72251636821951681</v>
      </c>
    </row>
    <row r="124" spans="4:11" x14ac:dyDescent="0.15">
      <c r="D124" s="16">
        <v>1994</v>
      </c>
      <c r="E124" s="20">
        <v>203.613</v>
      </c>
      <c r="F124" s="23">
        <f t="shared" si="9"/>
        <v>4.8865780000000001</v>
      </c>
      <c r="G124" s="30">
        <f t="shared" si="10"/>
        <v>-0.60854672207846527</v>
      </c>
      <c r="H124" s="27">
        <v>29.368732352627585</v>
      </c>
      <c r="I124" s="5">
        <f t="shared" ca="1" si="12"/>
        <v>-0.60198491987557645</v>
      </c>
      <c r="J124" s="8">
        <f t="shared" ca="1" si="7"/>
        <v>4.8971190919648873</v>
      </c>
      <c r="K124" s="30">
        <f t="shared" si="13"/>
        <v>-0.65861898888003778</v>
      </c>
    </row>
    <row r="125" spans="4:11" x14ac:dyDescent="0.15">
      <c r="D125" s="16">
        <v>1995</v>
      </c>
      <c r="E125" s="20">
        <v>214.12300000000002</v>
      </c>
      <c r="F125" s="23">
        <f t="shared" si="9"/>
        <v>5.1007009999999999</v>
      </c>
      <c r="G125" s="30">
        <f t="shared" si="10"/>
        <v>-0.5730501247326576</v>
      </c>
      <c r="H125" s="27">
        <v>26.703700260699879</v>
      </c>
      <c r="I125" s="5">
        <f t="shared" ca="1" si="12"/>
        <v>-0.49631151989524369</v>
      </c>
      <c r="J125" s="8">
        <f t="shared" ca="1" si="7"/>
        <v>5.1095748070454556</v>
      </c>
      <c r="K125" s="30">
        <f t="shared" si="13"/>
        <v>-0.59279314703979802</v>
      </c>
    </row>
    <row r="126" spans="4:11" x14ac:dyDescent="0.15">
      <c r="D126" s="16">
        <v>1996</v>
      </c>
      <c r="E126" s="20">
        <v>213.55500000000001</v>
      </c>
      <c r="F126" s="23">
        <f t="shared" si="9"/>
        <v>5.3142560000000003</v>
      </c>
      <c r="G126" s="30">
        <f t="shared" si="10"/>
        <v>-0.53835282695238562</v>
      </c>
      <c r="H126" s="27">
        <v>24.181879517767818</v>
      </c>
      <c r="I126" s="5">
        <f t="shared" ca="1" si="12"/>
        <v>-0.66322930365276989</v>
      </c>
      <c r="J126" s="8">
        <f t="shared" ca="1" si="7"/>
        <v>5.3263463604789125</v>
      </c>
      <c r="K126" s="30">
        <f t="shared" si="13"/>
        <v>-0.52836237078734061</v>
      </c>
    </row>
    <row r="127" spans="4:11" x14ac:dyDescent="0.15">
      <c r="D127" s="16">
        <v>1997</v>
      </c>
      <c r="E127" s="20">
        <v>227.17500000000001</v>
      </c>
      <c r="F127" s="23">
        <f t="shared" si="9"/>
        <v>5.5414310000000002</v>
      </c>
      <c r="G127" s="30">
        <f t="shared" si="10"/>
        <v>-0.5021397871464528</v>
      </c>
      <c r="H127" s="27">
        <v>22.314483488087166</v>
      </c>
      <c r="I127" s="5">
        <f t="shared" ca="1" si="12"/>
        <v>-0.31322210605048895</v>
      </c>
      <c r="J127" s="8">
        <f t="shared" ca="1" si="7"/>
        <v>5.5472477838321046</v>
      </c>
      <c r="K127" s="30">
        <f t="shared" si="13"/>
        <v>-0.46097652878398598</v>
      </c>
    </row>
    <row r="128" spans="4:11" x14ac:dyDescent="0.15">
      <c r="D128" s="16">
        <v>1998</v>
      </c>
      <c r="E128" s="20">
        <v>232.63600000000002</v>
      </c>
      <c r="F128" s="23">
        <f t="shared" si="9"/>
        <v>5.7740670000000005</v>
      </c>
      <c r="G128" s="30">
        <f t="shared" si="10"/>
        <v>-0.46572614353130432</v>
      </c>
      <c r="H128" s="27">
        <v>21.11726024874104</v>
      </c>
      <c r="I128" s="5">
        <f t="shared" ca="1" si="12"/>
        <v>0.10519852773359162</v>
      </c>
      <c r="J128" s="8">
        <f t="shared" ca="1" si="7"/>
        <v>5.7720792492525588</v>
      </c>
      <c r="K128" s="30">
        <f t="shared" si="13"/>
        <v>-0.39301962194088791</v>
      </c>
    </row>
    <row r="129" spans="3:11" x14ac:dyDescent="0.15">
      <c r="D129" s="16">
        <v>1999</v>
      </c>
      <c r="E129" s="20">
        <v>229.44600000000003</v>
      </c>
      <c r="F129" s="23">
        <f t="shared" si="9"/>
        <v>6.0035130000000008</v>
      </c>
      <c r="G129" s="30">
        <f t="shared" si="10"/>
        <v>-0.43040711876736826</v>
      </c>
      <c r="H129" s="27">
        <v>20.230626266968834</v>
      </c>
      <c r="I129" s="5">
        <f t="shared" ca="1" si="12"/>
        <v>0.15031300540249504</v>
      </c>
      <c r="J129" s="8">
        <f t="shared" ca="1" si="7"/>
        <v>6.0006275626621459</v>
      </c>
      <c r="K129" s="30">
        <f t="shared" si="13"/>
        <v>-0.32686188551820694</v>
      </c>
    </row>
    <row r="130" spans="3:11" x14ac:dyDescent="0.15">
      <c r="D130" s="16">
        <v>2000</v>
      </c>
      <c r="E130" s="20">
        <v>230.54599999999999</v>
      </c>
      <c r="F130" s="23">
        <f t="shared" si="9"/>
        <v>6.2340590000000011</v>
      </c>
      <c r="G130" s="30">
        <f t="shared" si="10"/>
        <v>-0.39545152126498789</v>
      </c>
      <c r="H130" s="27">
        <v>19.540303591846072</v>
      </c>
      <c r="I130" s="5">
        <f t="shared" ca="1" si="12"/>
        <v>7.1485131918052502E-2</v>
      </c>
      <c r="J130" s="8">
        <f t="shared" ref="J130:J193" ca="1" si="14">F$1*NORMDIST(D130,IF(D130&lt;E$6,AVERAGE(E$2:F$2),AVERAGE(E$5:F$5)),IF(D130&lt;E$6,F$2-E$2,F$5-E$5)/(NORMSINV(0.9)-NORMSINV(0.1)),1)</f>
        <v>6.2326667324347405</v>
      </c>
      <c r="K130" s="30">
        <f t="shared" si="13"/>
        <v>-0.26109353274933839</v>
      </c>
    </row>
    <row r="131" spans="3:11" x14ac:dyDescent="0.15">
      <c r="D131" s="16">
        <v>2001</v>
      </c>
      <c r="E131" s="20">
        <v>230.20653300000001</v>
      </c>
      <c r="F131" s="23">
        <f t="shared" si="9"/>
        <v>6.4642655330000007</v>
      </c>
      <c r="G131" s="30">
        <f t="shared" si="10"/>
        <v>-0.3610231284412142</v>
      </c>
      <c r="H131" s="27">
        <v>18.94840974468606</v>
      </c>
      <c r="I131" s="5">
        <f t="shared" ca="1" si="12"/>
        <v>-0.18713934550578415</v>
      </c>
      <c r="J131" s="8">
        <f t="shared" ca="1" si="14"/>
        <v>6.467958611306436</v>
      </c>
      <c r="K131" s="30">
        <f t="shared" si="13"/>
        <v>-0.19597779741841387</v>
      </c>
    </row>
    <row r="132" spans="3:11" x14ac:dyDescent="0.15">
      <c r="D132" s="16">
        <v>2002</v>
      </c>
      <c r="E132" s="20">
        <v>226.29014000000001</v>
      </c>
      <c r="F132" s="23">
        <f t="shared" si="9"/>
        <v>6.6905556730000004</v>
      </c>
      <c r="G132" s="30">
        <f t="shared" si="10"/>
        <v>-0.32759279498771049</v>
      </c>
      <c r="H132" s="27">
        <v>18.355579930113944</v>
      </c>
      <c r="I132" s="5">
        <f t="shared" ca="1" si="12"/>
        <v>-0.78613956803474139</v>
      </c>
      <c r="J132" s="8">
        <f t="shared" ca="1" si="14"/>
        <v>6.7062536086820312</v>
      </c>
      <c r="K132" s="30">
        <f t="shared" si="13"/>
        <v>-0.13237184934410551</v>
      </c>
    </row>
    <row r="133" spans="3:11" x14ac:dyDescent="0.15">
      <c r="D133" s="16">
        <v>2003</v>
      </c>
      <c r="E133" s="20">
        <v>243.27597100000003</v>
      </c>
      <c r="F133" s="23">
        <f t="shared" si="9"/>
        <v>6.9338316440000005</v>
      </c>
      <c r="G133" s="30">
        <f t="shared" si="10"/>
        <v>-0.2920559415961495</v>
      </c>
      <c r="H133" s="27">
        <v>18.024165111688774</v>
      </c>
      <c r="I133" s="5">
        <f t="shared" ca="1" si="12"/>
        <v>-0.66673734392043116</v>
      </c>
      <c r="J133" s="8">
        <f t="shared" ca="1" si="14"/>
        <v>6.9472914699319626</v>
      </c>
      <c r="K133" s="30">
        <f t="shared" si="13"/>
        <v>-6.4284996594037511E-2</v>
      </c>
    </row>
    <row r="134" spans="3:11" x14ac:dyDescent="0.15">
      <c r="D134" s="16">
        <v>2004</v>
      </c>
      <c r="E134" s="20">
        <v>249.28619900000004</v>
      </c>
      <c r="F134" s="23">
        <f t="shared" si="9"/>
        <v>7.1831178430000007</v>
      </c>
      <c r="G134" s="30">
        <f t="shared" si="10"/>
        <v>-0.25601950069639789</v>
      </c>
      <c r="H134" s="27">
        <v>17.899063847218585</v>
      </c>
      <c r="I134" s="5">
        <f t="shared" ca="1" si="12"/>
        <v>-0.37695700863514503</v>
      </c>
      <c r="J134" s="8">
        <f t="shared" ca="1" si="14"/>
        <v>7.1908021187258075</v>
      </c>
      <c r="K134" s="30">
        <f t="shared" si="13"/>
        <v>5.3310693034097261E-3</v>
      </c>
    </row>
    <row r="135" spans="3:11" x14ac:dyDescent="0.15">
      <c r="D135" s="16">
        <v>2005</v>
      </c>
      <c r="E135" s="20">
        <v>249.16253600000002</v>
      </c>
      <c r="F135" s="23">
        <f t="shared" si="9"/>
        <v>7.4322803790000007</v>
      </c>
      <c r="G135" s="30">
        <f t="shared" si="10"/>
        <v>-0.22033024096318135</v>
      </c>
      <c r="H135" s="27">
        <v>17.866544290577078</v>
      </c>
      <c r="I135" s="5">
        <f t="shared" ca="1" si="12"/>
        <v>-0.20557849569195241</v>
      </c>
      <c r="J135" s="8">
        <f t="shared" ca="1" si="14"/>
        <v>7.4365065579274541</v>
      </c>
      <c r="K135" s="30">
        <f t="shared" si="13"/>
        <v>7.4925489185041758E-2</v>
      </c>
    </row>
    <row r="136" spans="3:11" x14ac:dyDescent="0.15">
      <c r="D136" s="16">
        <v>2006</v>
      </c>
      <c r="E136" s="20">
        <v>248.832515</v>
      </c>
      <c r="F136" s="23">
        <f t="shared" si="9"/>
        <v>7.6811128940000009</v>
      </c>
      <c r="G136" s="30">
        <f t="shared" si="10"/>
        <v>-0.18496625959701116</v>
      </c>
      <c r="H136" s="27">
        <v>17.864380935461657</v>
      </c>
      <c r="I136" s="5">
        <f t="shared" ca="1" si="12"/>
        <v>-0.1451321275162627</v>
      </c>
      <c r="J136" s="8">
        <f t="shared" ca="1" si="14"/>
        <v>7.6841178240886183</v>
      </c>
      <c r="K136" s="30">
        <f t="shared" si="13"/>
        <v>0.14460920260810614</v>
      </c>
    </row>
    <row r="137" spans="3:11" x14ac:dyDescent="0.15">
      <c r="D137" s="16">
        <v>2007</v>
      </c>
      <c r="E137" s="21">
        <v>251.50810199999998</v>
      </c>
      <c r="F137" s="23">
        <f t="shared" si="9"/>
        <v>7.9326209960000007</v>
      </c>
      <c r="G137" s="30">
        <f t="shared" si="10"/>
        <v>-0.14945546672604437</v>
      </c>
      <c r="H137" s="23">
        <v>17.888378202690731</v>
      </c>
      <c r="I137" s="5">
        <f t="shared" ca="1" si="12"/>
        <v>-3.4617520090250764E-2</v>
      </c>
      <c r="J137" s="8">
        <f t="shared" ca="1" si="14"/>
        <v>7.933341990126956</v>
      </c>
      <c r="K137" s="30">
        <f t="shared" si="13"/>
        <v>0.21540093758248555</v>
      </c>
    </row>
    <row r="138" spans="3:11" x14ac:dyDescent="0.15">
      <c r="D138" s="16">
        <v>2008</v>
      </c>
      <c r="E138" s="21">
        <v>256.04169999999999</v>
      </c>
      <c r="F138" s="23">
        <f t="shared" si="9"/>
        <v>8.1886626960000015</v>
      </c>
      <c r="G138" s="30">
        <f t="shared" si="10"/>
        <v>-0.11349691543889999</v>
      </c>
      <c r="H138" s="23">
        <v>17.950167942848044</v>
      </c>
      <c r="I138" s="5">
        <f t="shared" ca="1" si="12"/>
        <v>0.2285995307702251</v>
      </c>
      <c r="J138" s="8">
        <f t="shared" ca="1" si="14"/>
        <v>8.1838792103671594</v>
      </c>
      <c r="K138" s="30">
        <f t="shared" si="13"/>
        <v>0.28802664699838909</v>
      </c>
    </row>
    <row r="139" spans="3:11" x14ac:dyDescent="0.15">
      <c r="D139" s="16">
        <v>2009</v>
      </c>
      <c r="E139" s="18">
        <v>253.4547</v>
      </c>
      <c r="F139" s="23">
        <f t="shared" si="9"/>
        <v>8.4421173960000022</v>
      </c>
      <c r="G139" s="30">
        <f t="shared" si="10"/>
        <v>-7.8045834875683381E-2</v>
      </c>
      <c r="H139" s="248">
        <v>18.004254442992103</v>
      </c>
      <c r="I139" s="5">
        <f t="shared" ca="1" si="12"/>
        <v>0.31874999769388523</v>
      </c>
      <c r="J139" s="8">
        <f t="shared" ca="1" si="14"/>
        <v>8.4354248017628777</v>
      </c>
      <c r="K139" s="30">
        <f t="shared" si="13"/>
        <v>0.36066899385961049</v>
      </c>
    </row>
    <row r="140" spans="3:11" x14ac:dyDescent="0.15">
      <c r="C140" s="123"/>
      <c r="D140" s="16">
        <v>2010</v>
      </c>
      <c r="E140" s="18"/>
      <c r="I140" s="129"/>
      <c r="J140" s="8">
        <f t="shared" ca="1" si="14"/>
        <v>8.6876703548077536</v>
      </c>
    </row>
    <row r="141" spans="3:11" x14ac:dyDescent="0.15">
      <c r="C141" s="123"/>
      <c r="D141" s="16">
        <v>2011</v>
      </c>
      <c r="E141" s="18"/>
      <c r="I141" s="129"/>
      <c r="J141" s="8">
        <f t="shared" ca="1" si="14"/>
        <v>8.9403048673889067</v>
      </c>
    </row>
    <row r="142" spans="3:11" x14ac:dyDescent="0.15">
      <c r="C142" s="123"/>
      <c r="D142" s="16">
        <v>2012</v>
      </c>
      <c r="E142" s="18"/>
      <c r="I142" s="129"/>
      <c r="J142" s="8">
        <f t="shared" ca="1" si="14"/>
        <v>9.1930158946384957</v>
      </c>
    </row>
    <row r="143" spans="3:11" x14ac:dyDescent="0.15">
      <c r="C143" s="123"/>
      <c r="D143" s="16">
        <v>2013</v>
      </c>
      <c r="E143" s="18"/>
      <c r="I143" s="129"/>
      <c r="J143" s="8">
        <f t="shared" ca="1" si="14"/>
        <v>9.4454907077008965</v>
      </c>
    </row>
    <row r="144" spans="3:11" x14ac:dyDescent="0.15">
      <c r="C144" s="123"/>
      <c r="D144" s="16">
        <v>2014</v>
      </c>
      <c r="E144" s="18"/>
      <c r="I144" s="129"/>
      <c r="J144" s="8">
        <f t="shared" ca="1" si="14"/>
        <v>9.6974174542558504</v>
      </c>
    </row>
    <row r="145" spans="3:10" x14ac:dyDescent="0.15">
      <c r="C145" s="123"/>
      <c r="D145" s="16">
        <v>2015</v>
      </c>
      <c r="E145" s="18"/>
      <c r="I145" s="129"/>
      <c r="J145" s="8">
        <f t="shared" ca="1" si="14"/>
        <v>9.9484863136228654</v>
      </c>
    </row>
    <row r="146" spans="3:10" x14ac:dyDescent="0.15">
      <c r="C146" s="123"/>
      <c r="D146" s="16">
        <v>2016</v>
      </c>
      <c r="E146" s="18"/>
      <c r="I146" s="129"/>
      <c r="J146" s="8">
        <f t="shared" ca="1" si="14"/>
        <v>10.198390639318848</v>
      </c>
    </row>
    <row r="147" spans="3:10" x14ac:dyDescent="0.15">
      <c r="C147" s="123"/>
      <c r="D147" s="16">
        <v>2017</v>
      </c>
      <c r="E147" s="18"/>
      <c r="I147" s="129"/>
      <c r="J147" s="8">
        <f t="shared" ca="1" si="14"/>
        <v>10.446828082049619</v>
      </c>
    </row>
    <row r="148" spans="3:10" x14ac:dyDescent="0.15">
      <c r="C148" s="123"/>
      <c r="D148" s="16">
        <v>2018</v>
      </c>
      <c r="E148" s="18"/>
      <c r="I148" s="129"/>
      <c r="J148" s="8">
        <f t="shared" ca="1" si="14"/>
        <v>10.69350168628449</v>
      </c>
    </row>
    <row r="149" spans="3:10" x14ac:dyDescent="0.15">
      <c r="C149" s="123"/>
      <c r="D149" s="16">
        <v>2019</v>
      </c>
      <c r="E149" s="18"/>
      <c r="I149" s="129"/>
      <c r="J149" s="8">
        <f t="shared" ca="1" si="14"/>
        <v>10.938120953790568</v>
      </c>
    </row>
    <row r="150" spans="3:10" x14ac:dyDescent="0.15">
      <c r="C150" s="123"/>
      <c r="D150" s="16">
        <v>2020</v>
      </c>
      <c r="E150" s="18"/>
      <c r="I150" s="129"/>
      <c r="J150" s="8">
        <f t="shared" ca="1" si="14"/>
        <v>11.180402867786491</v>
      </c>
    </row>
    <row r="151" spans="3:10" x14ac:dyDescent="0.15">
      <c r="C151" s="123"/>
      <c r="D151" s="16">
        <v>2021</v>
      </c>
      <c r="E151" s="18"/>
      <c r="I151" s="129"/>
      <c r="J151" s="8">
        <f t="shared" ca="1" si="14"/>
        <v>11.420072871711513</v>
      </c>
    </row>
    <row r="152" spans="3:10" x14ac:dyDescent="0.15">
      <c r="C152" s="123"/>
      <c r="D152" s="16">
        <v>2022</v>
      </c>
      <c r="E152" s="18"/>
      <c r="I152" s="129"/>
      <c r="J152" s="8">
        <f t="shared" ca="1" si="14"/>
        <v>11.656865796990994</v>
      </c>
    </row>
    <row r="153" spans="3:10" x14ac:dyDescent="0.15">
      <c r="C153" s="123"/>
      <c r="D153" s="16">
        <v>2023</v>
      </c>
      <c r="E153" s="18"/>
      <c r="I153" s="129"/>
      <c r="J153" s="8">
        <f t="shared" ca="1" si="14"/>
        <v>11.890526734609587</v>
      </c>
    </row>
    <row r="154" spans="3:10" x14ac:dyDescent="0.15">
      <c r="C154" s="123"/>
      <c r="D154" s="16">
        <v>2024</v>
      </c>
      <c r="E154" s="18"/>
      <c r="I154" s="129"/>
      <c r="J154" s="8">
        <f t="shared" ca="1" si="14"/>
        <v>12.120811845773858</v>
      </c>
    </row>
    <row r="155" spans="3:10" x14ac:dyDescent="0.15">
      <c r="C155" s="123"/>
      <c r="D155" s="16">
        <v>2025</v>
      </c>
      <c r="E155" s="18"/>
      <c r="I155" s="129"/>
      <c r="J155" s="8">
        <f t="shared" ca="1" si="14"/>
        <v>12.347489107451839</v>
      </c>
    </row>
    <row r="156" spans="3:10" x14ac:dyDescent="0.15">
      <c r="C156" s="123"/>
      <c r="D156" s="16">
        <v>2026</v>
      </c>
      <c r="E156" s="18"/>
      <c r="I156" s="129"/>
      <c r="J156" s="8">
        <f t="shared" ca="1" si="14"/>
        <v>12.570338989112546</v>
      </c>
    </row>
    <row r="157" spans="3:10" x14ac:dyDescent="0.15">
      <c r="C157" s="123"/>
      <c r="D157" s="16">
        <v>2027</v>
      </c>
      <c r="E157" s="18"/>
      <c r="I157" s="129"/>
      <c r="J157" s="8">
        <f t="shared" ca="1" si="14"/>
        <v>12.789155057548227</v>
      </c>
    </row>
    <row r="158" spans="3:10" x14ac:dyDescent="0.15">
      <c r="C158" s="123"/>
      <c r="D158" s="16">
        <v>2028</v>
      </c>
      <c r="E158" s="18"/>
      <c r="I158" s="129"/>
      <c r="J158" s="8">
        <f t="shared" ca="1" si="14"/>
        <v>13.00374450724027</v>
      </c>
    </row>
    <row r="159" spans="3:10" x14ac:dyDescent="0.15">
      <c r="C159" s="123"/>
      <c r="D159" s="16">
        <v>2029</v>
      </c>
      <c r="E159" s="18"/>
      <c r="I159" s="129"/>
      <c r="J159" s="8">
        <f t="shared" ca="1" si="14"/>
        <v>13.21392861432008</v>
      </c>
    </row>
    <row r="160" spans="3:10" x14ac:dyDescent="0.15">
      <c r="C160" s="123"/>
      <c r="D160" s="16">
        <v>2030</v>
      </c>
      <c r="E160" s="18"/>
      <c r="I160" s="129"/>
      <c r="J160" s="8">
        <f t="shared" ca="1" si="14"/>
        <v>13.419543112773233</v>
      </c>
    </row>
    <row r="161" spans="3:10" x14ac:dyDescent="0.15">
      <c r="C161" s="123"/>
      <c r="D161" s="16">
        <v>2031</v>
      </c>
      <c r="E161" s="18"/>
      <c r="I161" s="129"/>
      <c r="J161" s="8">
        <f t="shared" ca="1" si="14"/>
        <v>13.620438492132401</v>
      </c>
    </row>
    <row r="162" spans="3:10" x14ac:dyDescent="0.15">
      <c r="C162" s="123"/>
      <c r="D162" s="16">
        <v>2032</v>
      </c>
      <c r="E162" s="18"/>
      <c r="I162" s="129"/>
      <c r="J162" s="8">
        <f t="shared" ca="1" si="14"/>
        <v>13.816480216496487</v>
      </c>
    </row>
    <row r="163" spans="3:10" x14ac:dyDescent="0.15">
      <c r="C163" s="123"/>
      <c r="D163" s="16">
        <v>2033</v>
      </c>
      <c r="E163" s="18"/>
      <c r="I163" s="129"/>
      <c r="J163" s="8">
        <f t="shared" ca="1" si="14"/>
        <v>14.007548865294178</v>
      </c>
    </row>
    <row r="164" spans="3:10" x14ac:dyDescent="0.15">
      <c r="D164" s="16">
        <v>2034</v>
      </c>
      <c r="E164" s="18"/>
      <c r="I164" s="129"/>
      <c r="J164" s="8">
        <f t="shared" ca="1" si="14"/>
        <v>14.193540196774263</v>
      </c>
    </row>
    <row r="165" spans="3:10" x14ac:dyDescent="0.15">
      <c r="D165" s="16">
        <v>2035</v>
      </c>
      <c r="E165" s="18"/>
      <c r="I165" s="129"/>
      <c r="J165" s="8">
        <f t="shared" ca="1" si="14"/>
        <v>14.374365135747727</v>
      </c>
    </row>
    <row r="166" spans="3:10" x14ac:dyDescent="0.15">
      <c r="D166" s="16">
        <v>2036</v>
      </c>
      <c r="E166" s="18"/>
      <c r="I166" s="129"/>
      <c r="J166" s="8">
        <f t="shared" ca="1" si="14"/>
        <v>14.54994968762257</v>
      </c>
    </row>
    <row r="167" spans="3:10" x14ac:dyDescent="0.15">
      <c r="D167" s="16">
        <v>2037</v>
      </c>
      <c r="E167" s="18"/>
      <c r="I167" s="129"/>
      <c r="J167" s="8">
        <f t="shared" ca="1" si="14"/>
        <v>14.720234781257723</v>
      </c>
    </row>
    <row r="168" spans="3:10" x14ac:dyDescent="0.15">
      <c r="D168" s="16">
        <v>2038</v>
      </c>
      <c r="E168" s="18"/>
      <c r="I168" s="129"/>
      <c r="J168" s="8">
        <f t="shared" ca="1" si="14"/>
        <v>14.885176043612752</v>
      </c>
    </row>
    <row r="169" spans="3:10" x14ac:dyDescent="0.15">
      <c r="D169" s="16">
        <v>2039</v>
      </c>
      <c r="E169" s="18"/>
      <c r="I169" s="129"/>
      <c r="J169" s="8">
        <f t="shared" ca="1" si="14"/>
        <v>15.044743509582599</v>
      </c>
    </row>
    <row r="170" spans="3:10" x14ac:dyDescent="0.15">
      <c r="D170" s="16">
        <v>2040</v>
      </c>
      <c r="E170" s="18"/>
      <c r="I170" s="129"/>
      <c r="J170" s="8">
        <f t="shared" ca="1" si="14"/>
        <v>15.198921270777756</v>
      </c>
    </row>
    <row r="171" spans="3:10" x14ac:dyDescent="0.15">
      <c r="D171" s="16">
        <v>2041</v>
      </c>
      <c r="E171" s="18"/>
      <c r="I171" s="129"/>
      <c r="J171" s="8">
        <f t="shared" ca="1" si="14"/>
        <v>15.347707067338108</v>
      </c>
    </row>
    <row r="172" spans="3:10" x14ac:dyDescent="0.15">
      <c r="D172" s="16">
        <v>2042</v>
      </c>
      <c r="E172" s="18"/>
      <c r="I172" s="129"/>
      <c r="J172" s="8">
        <f t="shared" ca="1" si="14"/>
        <v>15.491111827151261</v>
      </c>
    </row>
    <row r="173" spans="3:10" x14ac:dyDescent="0.15">
      <c r="D173" s="16">
        <v>2043</v>
      </c>
      <c r="E173" s="18"/>
      <c r="I173" s="129"/>
      <c r="J173" s="8">
        <f t="shared" ca="1" si="14"/>
        <v>15.629159157082128</v>
      </c>
    </row>
    <row r="174" spans="3:10" x14ac:dyDescent="0.15">
      <c r="D174" s="16">
        <v>2044</v>
      </c>
      <c r="E174" s="18"/>
      <c r="I174" s="129"/>
      <c r="J174" s="8">
        <f t="shared" ca="1" si="14"/>
        <v>15.761884791009251</v>
      </c>
    </row>
    <row r="175" spans="3:10" x14ac:dyDescent="0.15">
      <c r="D175" s="16">
        <v>2045</v>
      </c>
      <c r="E175" s="18"/>
      <c r="I175" s="129"/>
      <c r="J175" s="8">
        <f t="shared" ca="1" si="14"/>
        <v>15.889335999604603</v>
      </c>
    </row>
    <row r="176" spans="3:10" x14ac:dyDescent="0.15">
      <c r="D176" s="16">
        <v>2046</v>
      </c>
      <c r="E176" s="18"/>
      <c r="I176" s="129"/>
      <c r="J176" s="8">
        <f t="shared" ca="1" si="14"/>
        <v>16.011570966887692</v>
      </c>
    </row>
    <row r="177" spans="4:10" x14ac:dyDescent="0.15">
      <c r="D177" s="16">
        <v>2047</v>
      </c>
      <c r="E177" s="18"/>
      <c r="I177" s="129"/>
      <c r="J177" s="8">
        <f t="shared" ca="1" si="14"/>
        <v>16.128658138632805</v>
      </c>
    </row>
    <row r="178" spans="4:10" x14ac:dyDescent="0.15">
      <c r="D178" s="16">
        <v>2048</v>
      </c>
      <c r="E178" s="18"/>
      <c r="I178" s="129"/>
      <c r="J178" s="8">
        <f t="shared" ca="1" si="14"/>
        <v>16.240675547710882</v>
      </c>
    </row>
    <row r="179" spans="4:10" x14ac:dyDescent="0.15">
      <c r="D179" s="16">
        <v>2049</v>
      </c>
      <c r="E179" s="18"/>
      <c r="I179" s="129"/>
      <c r="J179" s="8">
        <f t="shared" ca="1" si="14"/>
        <v>16.347710121407555</v>
      </c>
    </row>
    <row r="180" spans="4:10" x14ac:dyDescent="0.15">
      <c r="D180" s="16">
        <v>2050</v>
      </c>
      <c r="E180" s="18"/>
      <c r="I180" s="129"/>
      <c r="J180" s="8">
        <f t="shared" ca="1" si="14"/>
        <v>16.44985697567726</v>
      </c>
    </row>
    <row r="181" spans="4:10" x14ac:dyDescent="0.15">
      <c r="D181" s="16">
        <v>2051</v>
      </c>
      <c r="E181" s="18"/>
      <c r="I181" s="129"/>
      <c r="J181" s="8">
        <f t="shared" ca="1" si="14"/>
        <v>16.54721870117373</v>
      </c>
    </row>
    <row r="182" spans="4:10" x14ac:dyDescent="0.15">
      <c r="D182" s="16">
        <v>2052</v>
      </c>
      <c r="E182" s="18"/>
      <c r="I182" s="129"/>
      <c r="J182" s="8">
        <f t="shared" ca="1" si="14"/>
        <v>16.639904645741474</v>
      </c>
    </row>
    <row r="183" spans="4:10" x14ac:dyDescent="0.15">
      <c r="D183" s="16">
        <v>2053</v>
      </c>
      <c r="E183" s="18"/>
      <c r="I183" s="129"/>
      <c r="J183" s="8">
        <f t="shared" ca="1" si="14"/>
        <v>16.728030197864832</v>
      </c>
    </row>
    <row r="184" spans="4:10" x14ac:dyDescent="0.15">
      <c r="D184" s="16">
        <v>2054</v>
      </c>
      <c r="E184" s="18"/>
      <c r="I184" s="129"/>
      <c r="J184" s="8">
        <f t="shared" ca="1" si="14"/>
        <v>16.811716075353598</v>
      </c>
    </row>
    <row r="185" spans="4:10" x14ac:dyDescent="0.15">
      <c r="D185" s="16">
        <v>2055</v>
      </c>
      <c r="E185" s="18"/>
      <c r="I185" s="129"/>
      <c r="J185" s="8">
        <f t="shared" ca="1" si="14"/>
        <v>16.891087623301068</v>
      </c>
    </row>
    <row r="186" spans="4:10" x14ac:dyDescent="0.15">
      <c r="D186" s="16">
        <v>2056</v>
      </c>
      <c r="E186" s="18"/>
      <c r="I186" s="129"/>
      <c r="J186" s="8">
        <f t="shared" ca="1" si="14"/>
        <v>16.966274125084734</v>
      </c>
    </row>
    <row r="187" spans="4:10" x14ac:dyDescent="0.15">
      <c r="D187" s="16">
        <v>2057</v>
      </c>
      <c r="E187" s="18"/>
      <c r="I187" s="129"/>
      <c r="J187" s="8">
        <f t="shared" ca="1" si="14"/>
        <v>17.037408129895805</v>
      </c>
    </row>
    <row r="188" spans="4:10" x14ac:dyDescent="0.15">
      <c r="D188" s="16">
        <v>2058</v>
      </c>
      <c r="E188" s="18"/>
      <c r="I188" s="129"/>
      <c r="J188" s="8">
        <f t="shared" ca="1" si="14"/>
        <v>17.104624799984613</v>
      </c>
    </row>
    <row r="189" spans="4:10" x14ac:dyDescent="0.15">
      <c r="D189" s="16">
        <v>2059</v>
      </c>
      <c r="E189" s="18"/>
      <c r="I189" s="129"/>
      <c r="J189" s="8">
        <f t="shared" ca="1" si="14"/>
        <v>17.168061280498712</v>
      </c>
    </row>
    <row r="190" spans="4:10" x14ac:dyDescent="0.15">
      <c r="D190" s="16">
        <v>2060</v>
      </c>
      <c r="E190" s="18"/>
      <c r="I190" s="129"/>
      <c r="J190" s="8">
        <f t="shared" ca="1" si="14"/>
        <v>17.227856094472507</v>
      </c>
    </row>
    <row r="191" spans="4:10" x14ac:dyDescent="0.15">
      <c r="D191" s="16">
        <v>2061</v>
      </c>
      <c r="E191" s="18"/>
      <c r="I191" s="129"/>
      <c r="J191" s="8">
        <f t="shared" ca="1" si="14"/>
        <v>17.284148565204919</v>
      </c>
    </row>
    <row r="192" spans="4:10" x14ac:dyDescent="0.15">
      <c r="D192" s="16">
        <v>2062</v>
      </c>
      <c r="E192" s="18"/>
      <c r="I192" s="129"/>
      <c r="J192" s="8">
        <f t="shared" ca="1" si="14"/>
        <v>17.337078267938619</v>
      </c>
    </row>
    <row r="193" spans="4:10" x14ac:dyDescent="0.15">
      <c r="D193" s="16">
        <v>2063</v>
      </c>
      <c r="E193" s="18"/>
      <c r="I193" s="129"/>
      <c r="J193" s="8">
        <f t="shared" ca="1" si="14"/>
        <v>17.386784512433419</v>
      </c>
    </row>
    <row r="194" spans="4:10" x14ac:dyDescent="0.15">
      <c r="D194" s="16">
        <v>2064</v>
      </c>
      <c r="E194" s="18"/>
      <c r="I194" s="129"/>
      <c r="J194" s="8">
        <f t="shared" ref="J194:J257" ca="1" si="15">F$1*NORMDIST(D194,IF(D194&lt;E$6,AVERAGE(E$2:F$2),AVERAGE(E$5:F$5)),IF(D194&lt;E$6,F$2-E$2,F$5-E$5)/(NORMSINV(0.9)-NORMSINV(0.1)),1)</f>
        <v>17.43340585771087</v>
      </c>
    </row>
    <row r="195" spans="4:10" x14ac:dyDescent="0.15">
      <c r="D195" s="16">
        <v>2065</v>
      </c>
      <c r="E195" s="18"/>
      <c r="I195" s="129"/>
      <c r="J195" s="8">
        <f t="shared" ca="1" si="15"/>
        <v>17.477079659939367</v>
      </c>
    </row>
    <row r="196" spans="4:10" x14ac:dyDescent="0.15">
      <c r="D196" s="16">
        <v>2066</v>
      </c>
      <c r="E196" s="18"/>
      <c r="I196" s="129"/>
      <c r="J196" s="8">
        <f t="shared" ca="1" si="15"/>
        <v>17.517941654131796</v>
      </c>
    </row>
    <row r="197" spans="4:10" x14ac:dyDescent="0.15">
      <c r="D197" s="16">
        <v>2067</v>
      </c>
      <c r="E197" s="18"/>
      <c r="I197" s="129"/>
      <c r="J197" s="8">
        <f t="shared" ca="1" si="15"/>
        <v>17.556125570043172</v>
      </c>
    </row>
    <row r="198" spans="4:10" x14ac:dyDescent="0.15">
      <c r="D198" s="16">
        <v>2068</v>
      </c>
      <c r="E198" s="18"/>
      <c r="I198" s="129"/>
      <c r="J198" s="8">
        <f t="shared" ca="1" si="15"/>
        <v>17.591762782385565</v>
      </c>
    </row>
    <row r="199" spans="4:10" x14ac:dyDescent="0.15">
      <c r="D199" s="16">
        <v>2069</v>
      </c>
      <c r="E199" s="18"/>
      <c r="I199" s="129"/>
      <c r="J199" s="8">
        <f t="shared" ca="1" si="15"/>
        <v>17.624981995223884</v>
      </c>
    </row>
    <row r="200" spans="4:10" x14ac:dyDescent="0.15">
      <c r="D200" s="16">
        <v>2070</v>
      </c>
      <c r="E200" s="18"/>
      <c r="I200" s="129"/>
      <c r="J200" s="8">
        <f t="shared" ca="1" si="15"/>
        <v>17.655908960179715</v>
      </c>
    </row>
    <row r="201" spans="4:10" x14ac:dyDescent="0.15">
      <c r="D201" s="16">
        <v>2071</v>
      </c>
      <c r="E201" s="18"/>
      <c r="I201" s="129"/>
      <c r="J201" s="8">
        <f t="shared" ca="1" si="15"/>
        <v>17.684666227853132</v>
      </c>
    </row>
    <row r="202" spans="4:10" x14ac:dyDescent="0.15">
      <c r="D202" s="16">
        <v>2072</v>
      </c>
      <c r="E202" s="18"/>
      <c r="I202" s="129"/>
      <c r="J202" s="8">
        <f t="shared" ca="1" si="15"/>
        <v>17.711372931674266</v>
      </c>
    </row>
    <row r="203" spans="4:10" x14ac:dyDescent="0.15">
      <c r="D203" s="16">
        <v>2073</v>
      </c>
      <c r="E203" s="18"/>
      <c r="I203" s="129"/>
      <c r="J203" s="8">
        <f t="shared" ca="1" si="15"/>
        <v>17.736144603218726</v>
      </c>
    </row>
    <row r="204" spans="4:10" x14ac:dyDescent="0.15">
      <c r="D204" s="16">
        <v>2074</v>
      </c>
      <c r="E204" s="18"/>
      <c r="I204" s="129"/>
      <c r="J204" s="8">
        <f t="shared" ca="1" si="15"/>
        <v>17.759093017863545</v>
      </c>
    </row>
    <row r="205" spans="4:10" x14ac:dyDescent="0.15">
      <c r="D205" s="16">
        <v>2075</v>
      </c>
      <c r="E205" s="18"/>
      <c r="I205" s="129"/>
      <c r="J205" s="8">
        <f t="shared" ca="1" si="15"/>
        <v>17.78032606952338</v>
      </c>
    </row>
    <row r="206" spans="4:10" x14ac:dyDescent="0.15">
      <c r="D206" s="16">
        <v>2076</v>
      </c>
      <c r="E206" s="18"/>
      <c r="I206" s="129"/>
      <c r="J206" s="8">
        <f t="shared" ca="1" si="15"/>
        <v>17.799947673090244</v>
      </c>
    </row>
    <row r="207" spans="4:10" x14ac:dyDescent="0.15">
      <c r="D207" s="16">
        <v>2077</v>
      </c>
      <c r="E207" s="18"/>
      <c r="I207" s="129"/>
      <c r="J207" s="8">
        <f t="shared" ca="1" si="15"/>
        <v>17.818057693103377</v>
      </c>
    </row>
    <row r="208" spans="4:10" x14ac:dyDescent="0.15">
      <c r="D208" s="16">
        <v>2078</v>
      </c>
      <c r="E208" s="18"/>
      <c r="I208" s="129"/>
      <c r="J208" s="8">
        <f t="shared" ca="1" si="15"/>
        <v>17.834751897098766</v>
      </c>
    </row>
    <row r="209" spans="4:10" x14ac:dyDescent="0.15">
      <c r="D209" s="16">
        <v>2079</v>
      </c>
      <c r="E209" s="18"/>
      <c r="I209" s="129"/>
      <c r="J209" s="8">
        <f t="shared" ca="1" si="15"/>
        <v>17.850121932029374</v>
      </c>
    </row>
    <row r="210" spans="4:10" x14ac:dyDescent="0.15">
      <c r="D210" s="16">
        <v>2080</v>
      </c>
      <c r="E210" s="18"/>
      <c r="I210" s="129"/>
      <c r="J210" s="8">
        <f t="shared" ca="1" si="15"/>
        <v>17.864255322106619</v>
      </c>
    </row>
    <row r="211" spans="4:10" x14ac:dyDescent="0.15">
      <c r="D211" s="16">
        <v>2081</v>
      </c>
      <c r="E211" s="18"/>
      <c r="I211" s="129"/>
      <c r="J211" s="8">
        <f t="shared" ca="1" si="15"/>
        <v>17.877235486389701</v>
      </c>
    </row>
    <row r="212" spans="4:10" x14ac:dyDescent="0.15">
      <c r="D212" s="16">
        <v>2082</v>
      </c>
      <c r="E212" s="18"/>
      <c r="I212" s="129"/>
      <c r="J212" s="8">
        <f t="shared" ca="1" si="15"/>
        <v>17.889141774441772</v>
      </c>
    </row>
    <row r="213" spans="4:10" x14ac:dyDescent="0.15">
      <c r="D213" s="16">
        <v>2083</v>
      </c>
      <c r="E213" s="18"/>
      <c r="I213" s="129"/>
      <c r="J213" s="8">
        <f t="shared" ca="1" si="15"/>
        <v>17.900049518378179</v>
      </c>
    </row>
    <row r="214" spans="4:10" x14ac:dyDescent="0.15">
      <c r="D214" s="16">
        <v>2084</v>
      </c>
      <c r="E214" s="18"/>
      <c r="I214" s="129"/>
      <c r="J214" s="8">
        <f t="shared" ca="1" si="15"/>
        <v>17.910030099652342</v>
      </c>
    </row>
    <row r="215" spans="4:10" x14ac:dyDescent="0.15">
      <c r="D215" s="16">
        <v>2085</v>
      </c>
      <c r="E215" s="18"/>
      <c r="I215" s="129"/>
      <c r="J215" s="8">
        <f t="shared" ca="1" si="15"/>
        <v>17.919151028956637</v>
      </c>
    </row>
    <row r="216" spans="4:10" x14ac:dyDescent="0.15">
      <c r="D216" s="16">
        <v>2086</v>
      </c>
      <c r="E216" s="18"/>
      <c r="I216" s="129"/>
      <c r="J216" s="8">
        <f t="shared" ca="1" si="15"/>
        <v>17.927476037658675</v>
      </c>
    </row>
    <row r="217" spans="4:10" x14ac:dyDescent="0.15">
      <c r="D217" s="16">
        <v>2087</v>
      </c>
      <c r="E217" s="18"/>
      <c r="I217" s="129"/>
      <c r="J217" s="8">
        <f t="shared" ca="1" si="15"/>
        <v>17.935065179245608</v>
      </c>
    </row>
    <row r="218" spans="4:10" x14ac:dyDescent="0.15">
      <c r="D218" s="16">
        <v>2088</v>
      </c>
      <c r="E218" s="18"/>
      <c r="I218" s="129"/>
      <c r="J218" s="8">
        <f t="shared" ca="1" si="15"/>
        <v>17.941974939309546</v>
      </c>
    </row>
    <row r="219" spans="4:10" x14ac:dyDescent="0.15">
      <c r="D219" s="16">
        <v>2089</v>
      </c>
      <c r="E219" s="18"/>
      <c r="I219" s="129"/>
      <c r="J219" s="8">
        <f t="shared" ca="1" si="15"/>
        <v>17.94825835267465</v>
      </c>
    </row>
    <row r="220" spans="4:10" x14ac:dyDescent="0.15">
      <c r="D220" s="16">
        <v>2090</v>
      </c>
      <c r="E220" s="18"/>
      <c r="I220" s="129"/>
      <c r="J220" s="8">
        <f t="shared" ca="1" si="15"/>
        <v>17.953965126339352</v>
      </c>
    </row>
    <row r="221" spans="4:10" x14ac:dyDescent="0.15">
      <c r="D221" s="16">
        <v>2091</v>
      </c>
      <c r="E221" s="18"/>
      <c r="I221" s="129"/>
      <c r="J221" s="8">
        <f t="shared" ca="1" si="15"/>
        <v>17.959141766984796</v>
      </c>
    </row>
    <row r="222" spans="4:10" x14ac:dyDescent="0.15">
      <c r="D222" s="16">
        <v>2092</v>
      </c>
      <c r="E222" s="18"/>
      <c r="I222" s="129"/>
      <c r="J222" s="8">
        <f t="shared" ca="1" si="15"/>
        <v>17.963831711881319</v>
      </c>
    </row>
    <row r="223" spans="4:10" x14ac:dyDescent="0.15">
      <c r="D223" s="16">
        <v>2093</v>
      </c>
      <c r="E223" s="18"/>
      <c r="I223" s="129"/>
      <c r="J223" s="8">
        <f t="shared" ca="1" si="15"/>
        <v>17.968075462107986</v>
      </c>
    </row>
    <row r="224" spans="4:10" x14ac:dyDescent="0.15">
      <c r="D224" s="16">
        <v>2094</v>
      </c>
      <c r="E224" s="18"/>
      <c r="I224" s="129"/>
      <c r="J224" s="8">
        <f t="shared" ca="1" si="15"/>
        <v>17.97191071708448</v>
      </c>
    </row>
    <row r="225" spans="4:10" x14ac:dyDescent="0.15">
      <c r="D225" s="16">
        <v>2095</v>
      </c>
      <c r="E225" s="18"/>
      <c r="I225" s="129"/>
      <c r="J225" s="8">
        <f t="shared" ca="1" si="15"/>
        <v>17.975372509499532</v>
      </c>
    </row>
    <row r="226" spans="4:10" x14ac:dyDescent="0.15">
      <c r="D226" s="16">
        <v>2096</v>
      </c>
      <c r="E226" s="18"/>
      <c r="I226" s="129"/>
      <c r="J226" s="8">
        <f t="shared" ca="1" si="15"/>
        <v>17.978493339804178</v>
      </c>
    </row>
    <row r="227" spans="4:10" x14ac:dyDescent="0.15">
      <c r="D227" s="16">
        <v>2097</v>
      </c>
      <c r="E227" s="18"/>
      <c r="I227" s="129"/>
      <c r="J227" s="8">
        <f t="shared" ca="1" si="15"/>
        <v>17.981303309521451</v>
      </c>
    </row>
    <row r="228" spans="4:10" x14ac:dyDescent="0.15">
      <c r="D228" s="16">
        <v>2098</v>
      </c>
      <c r="E228" s="18"/>
      <c r="I228" s="129"/>
      <c r="J228" s="8">
        <f t="shared" ca="1" si="15"/>
        <v>17.983830252705026</v>
      </c>
    </row>
    <row r="229" spans="4:10" x14ac:dyDescent="0.15">
      <c r="D229" s="16">
        <v>2099</v>
      </c>
      <c r="E229" s="18"/>
      <c r="I229" s="129"/>
      <c r="J229" s="8">
        <f t="shared" ca="1" si="15"/>
        <v>17.986099864958319</v>
      </c>
    </row>
    <row r="230" spans="4:10" x14ac:dyDescent="0.15">
      <c r="D230" s="16">
        <v>2100</v>
      </c>
      <c r="E230" s="18"/>
      <c r="I230" s="129"/>
      <c r="J230" s="8">
        <f t="shared" ca="1" si="15"/>
        <v>17.988135829501136</v>
      </c>
    </row>
    <row r="231" spans="4:10" x14ac:dyDescent="0.15">
      <c r="D231" s="16">
        <v>2101</v>
      </c>
      <c r="E231" s="18"/>
      <c r="I231" s="129"/>
      <c r="J231" s="8">
        <f t="shared" ca="1" si="15"/>
        <v>17.989959939843484</v>
      </c>
    </row>
    <row r="232" spans="4:10" x14ac:dyDescent="0.15">
      <c r="D232" s="16">
        <v>2102</v>
      </c>
      <c r="E232" s="18"/>
      <c r="I232" s="129"/>
      <c r="J232" s="8">
        <f t="shared" ca="1" si="15"/>
        <v>17.991592218694784</v>
      </c>
    </row>
    <row r="233" spans="4:10" x14ac:dyDescent="0.15">
      <c r="D233" s="16">
        <v>2103</v>
      </c>
      <c r="E233" s="18"/>
      <c r="I233" s="129"/>
      <c r="J233" s="8">
        <f t="shared" ca="1" si="15"/>
        <v>17.993051032801471</v>
      </c>
    </row>
    <row r="234" spans="4:10" x14ac:dyDescent="0.15">
      <c r="D234" s="16">
        <v>2104</v>
      </c>
      <c r="E234" s="18"/>
      <c r="I234" s="129"/>
      <c r="J234" s="8">
        <f t="shared" ca="1" si="15"/>
        <v>17.994353203466446</v>
      </c>
    </row>
    <row r="235" spans="4:10" x14ac:dyDescent="0.15">
      <c r="D235" s="16">
        <v>2105</v>
      </c>
      <c r="E235" s="18"/>
      <c r="I235" s="129"/>
      <c r="J235" s="8">
        <f t="shared" ca="1" si="15"/>
        <v>17.995514112560169</v>
      </c>
    </row>
    <row r="236" spans="4:10" x14ac:dyDescent="0.15">
      <c r="D236" s="16">
        <v>2106</v>
      </c>
      <c r="E236" s="18"/>
      <c r="I236" s="129"/>
      <c r="J236" s="8">
        <f t="shared" ca="1" si="15"/>
        <v>17.996547803884908</v>
      </c>
    </row>
    <row r="237" spans="4:10" x14ac:dyDescent="0.15">
      <c r="D237" s="16">
        <v>2107</v>
      </c>
      <c r="E237" s="18"/>
      <c r="I237" s="129"/>
      <c r="J237" s="8">
        <f t="shared" ca="1" si="15"/>
        <v>17.997467079801165</v>
      </c>
    </row>
    <row r="238" spans="4:10" x14ac:dyDescent="0.15">
      <c r="D238" s="16">
        <v>2108</v>
      </c>
      <c r="E238" s="18"/>
      <c r="I238" s="129"/>
      <c r="J238" s="8">
        <f t="shared" ca="1" si="15"/>
        <v>17.998283593068393</v>
      </c>
    </row>
    <row r="239" spans="4:10" x14ac:dyDescent="0.15">
      <c r="D239" s="16">
        <v>2109</v>
      </c>
      <c r="E239" s="18"/>
      <c r="I239" s="129"/>
      <c r="J239" s="8">
        <f t="shared" ca="1" si="15"/>
        <v>17.999007933890805</v>
      </c>
    </row>
    <row r="240" spans="4:10" x14ac:dyDescent="0.15">
      <c r="D240" s="16">
        <v>2110</v>
      </c>
      <c r="E240" s="18"/>
      <c r="I240" s="129"/>
      <c r="J240" s="8">
        <f t="shared" ca="1" si="15"/>
        <v>17.999649712193719</v>
      </c>
    </row>
    <row r="241" spans="4:10" x14ac:dyDescent="0.15">
      <c r="D241" s="16">
        <v>2111</v>
      </c>
      <c r="E241" s="18"/>
      <c r="I241" s="129"/>
      <c r="J241" s="8">
        <f t="shared" ca="1" si="15"/>
        <v>18.000217635186377</v>
      </c>
    </row>
    <row r="242" spans="4:10" x14ac:dyDescent="0.15">
      <c r="D242" s="16">
        <v>2112</v>
      </c>
      <c r="E242" s="18"/>
      <c r="I242" s="129"/>
      <c r="J242" s="8">
        <f t="shared" ca="1" si="15"/>
        <v>18.000719580293833</v>
      </c>
    </row>
    <row r="243" spans="4:10" x14ac:dyDescent="0.15">
      <c r="D243" s="16">
        <v>2113</v>
      </c>
      <c r="E243" s="18"/>
      <c r="I243" s="129"/>
      <c r="J243" s="8">
        <f t="shared" ca="1" si="15"/>
        <v>18.001162663563424</v>
      </c>
    </row>
    <row r="244" spans="4:10" x14ac:dyDescent="0.15">
      <c r="D244" s="16">
        <v>2114</v>
      </c>
      <c r="E244" s="18"/>
      <c r="I244" s="129"/>
      <c r="J244" s="8">
        <f t="shared" ca="1" si="15"/>
        <v>18.001553303670843</v>
      </c>
    </row>
    <row r="245" spans="4:10" x14ac:dyDescent="0.15">
      <c r="D245" s="16">
        <v>2115</v>
      </c>
      <c r="E245" s="18"/>
      <c r="I245" s="129"/>
      <c r="J245" s="8">
        <f t="shared" ca="1" si="15"/>
        <v>18.001897281666999</v>
      </c>
    </row>
    <row r="246" spans="4:10" x14ac:dyDescent="0.15">
      <c r="D246" s="16">
        <v>2116</v>
      </c>
      <c r="E246" s="18"/>
      <c r="I246" s="129"/>
      <c r="J246" s="8">
        <f t="shared" ca="1" si="15"/>
        <v>18.002199796619998</v>
      </c>
    </row>
    <row r="247" spans="4:10" x14ac:dyDescent="0.15">
      <c r="D247" s="16">
        <v>2117</v>
      </c>
      <c r="E247" s="18"/>
      <c r="I247" s="129"/>
      <c r="J247" s="8">
        <f t="shared" ca="1" si="15"/>
        <v>18.002465517316946</v>
      </c>
    </row>
    <row r="248" spans="4:10" x14ac:dyDescent="0.15">
      <c r="D248" s="16">
        <v>2118</v>
      </c>
      <c r="E248" s="18"/>
      <c r="I248" s="129"/>
      <c r="J248" s="8">
        <f t="shared" ca="1" si="15"/>
        <v>18.0026986301981</v>
      </c>
    </row>
    <row r="249" spans="4:10" x14ac:dyDescent="0.15">
      <c r="D249" s="16">
        <v>2119</v>
      </c>
      <c r="E249" s="18"/>
      <c r="I249" s="129"/>
      <c r="J249" s="8">
        <f t="shared" ca="1" si="15"/>
        <v>18.002902883701239</v>
      </c>
    </row>
    <row r="250" spans="4:10" x14ac:dyDescent="0.15">
      <c r="D250" s="16">
        <v>2120</v>
      </c>
      <c r="E250" s="18"/>
      <c r="I250" s="129"/>
      <c r="J250" s="8">
        <f t="shared" ca="1" si="15"/>
        <v>18.003081629197577</v>
      </c>
    </row>
    <row r="251" spans="4:10" x14ac:dyDescent="0.15">
      <c r="D251" s="16">
        <v>2121</v>
      </c>
      <c r="E251" s="18"/>
      <c r="I251" s="129"/>
      <c r="J251" s="8">
        <f t="shared" ca="1" si="15"/>
        <v>18.003237858701972</v>
      </c>
    </row>
    <row r="252" spans="4:10" x14ac:dyDescent="0.15">
      <c r="D252" s="16">
        <v>2122</v>
      </c>
      <c r="E252" s="18"/>
      <c r="I252" s="129"/>
      <c r="J252" s="8">
        <f t="shared" ca="1" si="15"/>
        <v>18.003374239539923</v>
      </c>
    </row>
    <row r="253" spans="4:10" x14ac:dyDescent="0.15">
      <c r="D253" s="16">
        <v>2123</v>
      </c>
      <c r="E253" s="18"/>
      <c r="I253" s="129"/>
      <c r="J253" s="8">
        <f t="shared" ca="1" si="15"/>
        <v>18.003493146152355</v>
      </c>
    </row>
    <row r="254" spans="4:10" x14ac:dyDescent="0.15">
      <c r="D254" s="16">
        <v>2124</v>
      </c>
      <c r="E254" s="18"/>
      <c r="I254" s="129"/>
      <c r="J254" s="8">
        <f t="shared" ca="1" si="15"/>
        <v>18.003596689216078</v>
      </c>
    </row>
    <row r="255" spans="4:10" x14ac:dyDescent="0.15">
      <c r="D255" s="16">
        <v>2125</v>
      </c>
      <c r="E255" s="18"/>
      <c r="I255" s="129"/>
      <c r="J255" s="8">
        <f t="shared" ca="1" si="15"/>
        <v>18.003686742254008</v>
      </c>
    </row>
    <row r="256" spans="4:10" x14ac:dyDescent="0.15">
      <c r="D256" s="16">
        <v>2126</v>
      </c>
      <c r="E256" s="18"/>
      <c r="I256" s="129"/>
      <c r="J256" s="8">
        <f t="shared" ca="1" si="15"/>
        <v>18.003764965904232</v>
      </c>
    </row>
    <row r="257" spans="4:10" x14ac:dyDescent="0.15">
      <c r="D257" s="16">
        <v>2127</v>
      </c>
      <c r="E257" s="18"/>
      <c r="I257" s="129"/>
      <c r="J257" s="8">
        <f t="shared" ca="1" si="15"/>
        <v>18.003832830011472</v>
      </c>
    </row>
    <row r="258" spans="4:10" x14ac:dyDescent="0.15">
      <c r="D258" s="16">
        <v>2128</v>
      </c>
      <c r="E258" s="18"/>
      <c r="I258" s="129"/>
      <c r="J258" s="8">
        <f t="shared" ref="J258:J280" ca="1" si="16">F$1*NORMDIST(D258,IF(D258&lt;E$6,AVERAGE(E$2:F$2),AVERAGE(E$5:F$5)),IF(D258&lt;E$6,F$2-E$2,F$5-E$5)/(NORMSINV(0.9)-NORMSINV(0.1)),1)</f>
        <v>18.003891633698178</v>
      </c>
    </row>
    <row r="259" spans="4:10" x14ac:dyDescent="0.15">
      <c r="D259" s="16">
        <v>2129</v>
      </c>
      <c r="E259" s="18"/>
      <c r="I259" s="129"/>
      <c r="J259" s="8">
        <f t="shared" ca="1" si="16"/>
        <v>18.003942523565957</v>
      </c>
    </row>
    <row r="260" spans="4:10" x14ac:dyDescent="0.15">
      <c r="D260" s="16">
        <v>2130</v>
      </c>
      <c r="E260" s="18"/>
      <c r="I260" s="129"/>
      <c r="J260" s="8">
        <f t="shared" ca="1" si="16"/>
        <v>18.003986510170868</v>
      </c>
    </row>
    <row r="261" spans="4:10" x14ac:dyDescent="0.15">
      <c r="D261" s="16">
        <v>2131</v>
      </c>
      <c r="E261" s="18"/>
      <c r="I261" s="129"/>
      <c r="J261" s="8">
        <f t="shared" ca="1" si="16"/>
        <v>18.004024482909056</v>
      </c>
    </row>
    <row r="262" spans="4:10" x14ac:dyDescent="0.15">
      <c r="D262" s="16">
        <v>2132</v>
      </c>
      <c r="E262" s="18"/>
      <c r="I262" s="129"/>
      <c r="J262" s="8">
        <f t="shared" ca="1" si="16"/>
        <v>18.004057223441663</v>
      </c>
    </row>
    <row r="263" spans="4:10" x14ac:dyDescent="0.15">
      <c r="D263" s="16">
        <v>2133</v>
      </c>
      <c r="E263" s="18"/>
      <c r="I263" s="129"/>
      <c r="J263" s="8">
        <f t="shared" ca="1" si="16"/>
        <v>18.004085417780686</v>
      </c>
    </row>
    <row r="264" spans="4:10" x14ac:dyDescent="0.15">
      <c r="D264" s="16">
        <v>2134</v>
      </c>
      <c r="E264" s="18"/>
      <c r="I264" s="129"/>
      <c r="J264" s="8">
        <f t="shared" ca="1" si="16"/>
        <v>18.004109667150001</v>
      </c>
    </row>
    <row r="265" spans="4:10" x14ac:dyDescent="0.15">
      <c r="D265" s="16">
        <v>2135</v>
      </c>
      <c r="E265" s="18"/>
      <c r="I265" s="129"/>
      <c r="J265" s="8">
        <f t="shared" ca="1" si="16"/>
        <v>18.004130497728465</v>
      </c>
    </row>
    <row r="266" spans="4:10" x14ac:dyDescent="0.15">
      <c r="D266" s="16">
        <v>2136</v>
      </c>
      <c r="E266" s="18"/>
      <c r="I266" s="129"/>
      <c r="J266" s="8">
        <f t="shared" ca="1" si="16"/>
        <v>18.004148369374978</v>
      </c>
    </row>
    <row r="267" spans="4:10" x14ac:dyDescent="0.15">
      <c r="D267" s="16">
        <v>2137</v>
      </c>
      <c r="E267" s="18"/>
      <c r="I267" s="129"/>
      <c r="J267" s="8">
        <f t="shared" ca="1" si="16"/>
        <v>18.004163683428253</v>
      </c>
    </row>
    <row r="268" spans="4:10" x14ac:dyDescent="0.15">
      <c r="D268" s="16">
        <v>2138</v>
      </c>
      <c r="E268" s="18"/>
      <c r="I268" s="129"/>
      <c r="J268" s="8">
        <f t="shared" ca="1" si="16"/>
        <v>18.004176789667575</v>
      </c>
    </row>
    <row r="269" spans="4:10" x14ac:dyDescent="0.15">
      <c r="D269" s="16">
        <v>2139</v>
      </c>
      <c r="E269" s="18"/>
      <c r="I269" s="129"/>
      <c r="J269" s="8">
        <f t="shared" ca="1" si="16"/>
        <v>18.004187992514115</v>
      </c>
    </row>
    <row r="270" spans="4:10" x14ac:dyDescent="0.15">
      <c r="D270" s="16">
        <v>2140</v>
      </c>
      <c r="E270" s="18"/>
      <c r="I270" s="129"/>
      <c r="J270" s="8">
        <f t="shared" ca="1" si="16"/>
        <v>18.004197556546377</v>
      </c>
    </row>
    <row r="271" spans="4:10" x14ac:dyDescent="0.15">
      <c r="D271" s="16">
        <v>2141</v>
      </c>
      <c r="E271" s="18"/>
      <c r="I271" s="129"/>
      <c r="J271" s="8">
        <f t="shared" ca="1" si="16"/>
        <v>18.004205711397379</v>
      </c>
    </row>
    <row r="272" spans="4:10" x14ac:dyDescent="0.15">
      <c r="D272" s="16">
        <v>2142</v>
      </c>
      <c r="E272" s="18"/>
      <c r="I272" s="129"/>
      <c r="J272" s="8">
        <f t="shared" ca="1" si="16"/>
        <v>18.004212656095639</v>
      </c>
    </row>
    <row r="273" spans="4:10" x14ac:dyDescent="0.15">
      <c r="D273" s="16">
        <v>2143</v>
      </c>
      <c r="E273" s="18"/>
      <c r="I273" s="129"/>
      <c r="J273" s="8">
        <f t="shared" ca="1" si="16"/>
        <v>18.004218562906761</v>
      </c>
    </row>
    <row r="274" spans="4:10" x14ac:dyDescent="0.15">
      <c r="D274" s="16">
        <v>2144</v>
      </c>
      <c r="E274" s="18"/>
      <c r="I274" s="129"/>
      <c r="J274" s="8">
        <f t="shared" ca="1" si="16"/>
        <v>18.004223580727473</v>
      </c>
    </row>
    <row r="275" spans="4:10" x14ac:dyDescent="0.15">
      <c r="D275" s="16">
        <v>2145</v>
      </c>
      <c r="E275" s="18"/>
      <c r="I275" s="129"/>
      <c r="J275" s="8">
        <f t="shared" ca="1" si="16"/>
        <v>18.004227838079359</v>
      </c>
    </row>
    <row r="276" spans="4:10" x14ac:dyDescent="0.15">
      <c r="D276" s="16">
        <v>2146</v>
      </c>
      <c r="E276" s="18"/>
      <c r="I276" s="129"/>
      <c r="J276" s="8">
        <f t="shared" ca="1" si="16"/>
        <v>18.004231445745237</v>
      </c>
    </row>
    <row r="277" spans="4:10" x14ac:dyDescent="0.15">
      <c r="D277" s="16">
        <v>2147</v>
      </c>
      <c r="E277" s="18"/>
      <c r="I277" s="129"/>
      <c r="J277" s="8">
        <f t="shared" ca="1" si="16"/>
        <v>18.004234499087026</v>
      </c>
    </row>
    <row r="278" spans="4:10" x14ac:dyDescent="0.15">
      <c r="D278" s="16">
        <v>2148</v>
      </c>
      <c r="E278" s="18"/>
      <c r="I278" s="129"/>
      <c r="J278" s="8">
        <f t="shared" ca="1" si="16"/>
        <v>18.00423708008039</v>
      </c>
    </row>
    <row r="279" spans="4:10" x14ac:dyDescent="0.15">
      <c r="D279" s="16">
        <v>2149</v>
      </c>
      <c r="E279" s="18"/>
      <c r="I279" s="129"/>
      <c r="J279" s="8">
        <f t="shared" ca="1" si="16"/>
        <v>18.00423925909783</v>
      </c>
    </row>
    <row r="280" spans="4:10" x14ac:dyDescent="0.15">
      <c r="D280" s="16">
        <v>2150</v>
      </c>
      <c r="E280" s="18"/>
      <c r="I280" s="129"/>
      <c r="J280" s="8">
        <f t="shared" ca="1" si="16"/>
        <v>18.004241096468913</v>
      </c>
    </row>
    <row r="281" spans="4:10" x14ac:dyDescent="0.15">
      <c r="I281" s="129"/>
    </row>
    <row r="282" spans="4:10" x14ac:dyDescent="0.15">
      <c r="I282" s="129"/>
    </row>
    <row r="283" spans="4:10" x14ac:dyDescent="0.15">
      <c r="I283" s="129"/>
    </row>
    <row r="284" spans="4:10" x14ac:dyDescent="0.15">
      <c r="I284" s="129"/>
    </row>
    <row r="285" spans="4:10" x14ac:dyDescent="0.15">
      <c r="I285" s="129"/>
    </row>
    <row r="286" spans="4:10" x14ac:dyDescent="0.15">
      <c r="I286" s="129"/>
    </row>
    <row r="287" spans="4:10" x14ac:dyDescent="0.15">
      <c r="I287" s="129"/>
    </row>
    <row r="288" spans="4:10" x14ac:dyDescent="0.15">
      <c r="I288" s="129"/>
    </row>
    <row r="289" spans="9:9" x14ac:dyDescent="0.15">
      <c r="I289" s="129"/>
    </row>
    <row r="290" spans="9:9" x14ac:dyDescent="0.15">
      <c r="I290" s="129"/>
    </row>
    <row r="291" spans="9:9" x14ac:dyDescent="0.15">
      <c r="I291" s="129"/>
    </row>
    <row r="292" spans="9:9" x14ac:dyDescent="0.15">
      <c r="I292" s="129"/>
    </row>
    <row r="293" spans="9:9" x14ac:dyDescent="0.15">
      <c r="I293" s="129"/>
    </row>
    <row r="294" spans="9:9" x14ac:dyDescent="0.15">
      <c r="I294" s="129"/>
    </row>
    <row r="295" spans="9:9" x14ac:dyDescent="0.15">
      <c r="I295" s="129"/>
    </row>
    <row r="296" spans="9:9" x14ac:dyDescent="0.15">
      <c r="I296" s="129"/>
    </row>
    <row r="297" spans="9:9" x14ac:dyDescent="0.15">
      <c r="I297" s="129"/>
    </row>
    <row r="298" spans="9:9" x14ac:dyDescent="0.15">
      <c r="I298" s="129"/>
    </row>
    <row r="299" spans="9:9" x14ac:dyDescent="0.15">
      <c r="I299" s="129"/>
    </row>
    <row r="300" spans="9:9" x14ac:dyDescent="0.15">
      <c r="I300" s="129"/>
    </row>
    <row r="301" spans="9:9" x14ac:dyDescent="0.15">
      <c r="I301" s="129"/>
    </row>
    <row r="302" spans="9:9" x14ac:dyDescent="0.15">
      <c r="I302" s="129"/>
    </row>
    <row r="303" spans="9:9" x14ac:dyDescent="0.15">
      <c r="I303" s="129"/>
    </row>
    <row r="304" spans="9:9" x14ac:dyDescent="0.15">
      <c r="I304" s="129"/>
    </row>
    <row r="305" spans="9:9" x14ac:dyDescent="0.15">
      <c r="I305" s="129"/>
    </row>
    <row r="306" spans="9:9" x14ac:dyDescent="0.15">
      <c r="I306" s="129"/>
    </row>
    <row r="307" spans="9:9" x14ac:dyDescent="0.15">
      <c r="I307" s="129"/>
    </row>
    <row r="308" spans="9:9" x14ac:dyDescent="0.15">
      <c r="I308" s="129"/>
    </row>
    <row r="309" spans="9:9" x14ac:dyDescent="0.15">
      <c r="I309" s="129"/>
    </row>
    <row r="310" spans="9:9" x14ac:dyDescent="0.15">
      <c r="I310" s="129"/>
    </row>
    <row r="311" spans="9:9" x14ac:dyDescent="0.15">
      <c r="I311" s="129"/>
    </row>
    <row r="312" spans="9:9" x14ac:dyDescent="0.15">
      <c r="I312" s="129"/>
    </row>
    <row r="313" spans="9:9" x14ac:dyDescent="0.15">
      <c r="I313" s="129"/>
    </row>
    <row r="314" spans="9:9" x14ac:dyDescent="0.15">
      <c r="I314" s="129"/>
    </row>
    <row r="315" spans="9:9" x14ac:dyDescent="0.15">
      <c r="I315" s="129"/>
    </row>
    <row r="316" spans="9:9" x14ac:dyDescent="0.15">
      <c r="I316" s="129"/>
    </row>
    <row r="317" spans="9:9" x14ac:dyDescent="0.15">
      <c r="I317" s="129"/>
    </row>
    <row r="318" spans="9:9" x14ac:dyDescent="0.15">
      <c r="I318" s="129"/>
    </row>
    <row r="319" spans="9:9" x14ac:dyDescent="0.15">
      <c r="I319" s="129"/>
    </row>
    <row r="320" spans="9:9" x14ac:dyDescent="0.15">
      <c r="I320" s="129"/>
    </row>
    <row r="321" spans="9:9" x14ac:dyDescent="0.15">
      <c r="I321" s="129"/>
    </row>
    <row r="322" spans="9:9" x14ac:dyDescent="0.15">
      <c r="I322" s="129"/>
    </row>
    <row r="323" spans="9:9" x14ac:dyDescent="0.15">
      <c r="I323" s="129"/>
    </row>
    <row r="324" spans="9:9" x14ac:dyDescent="0.15">
      <c r="I324" s="129"/>
    </row>
    <row r="325" spans="9:9" x14ac:dyDescent="0.15">
      <c r="I325" s="129"/>
    </row>
    <row r="326" spans="9:9" x14ac:dyDescent="0.15">
      <c r="I326" s="129"/>
    </row>
    <row r="327" spans="9:9" x14ac:dyDescent="0.15">
      <c r="I327" s="129"/>
    </row>
    <row r="328" spans="9:9" x14ac:dyDescent="0.15">
      <c r="I328" s="129"/>
    </row>
    <row r="329" spans="9:9" x14ac:dyDescent="0.15">
      <c r="I329" s="129"/>
    </row>
    <row r="330" spans="9:9" x14ac:dyDescent="0.15">
      <c r="I330" s="129"/>
    </row>
    <row r="331" spans="9:9" x14ac:dyDescent="0.15">
      <c r="I331" s="129"/>
    </row>
    <row r="332" spans="9:9" x14ac:dyDescent="0.15">
      <c r="I332" s="129"/>
    </row>
    <row r="333" spans="9:9" x14ac:dyDescent="0.15">
      <c r="I333" s="129"/>
    </row>
  </sheetData>
  <pageMargins left="0.7" right="0.7" top="0.75" bottom="0.75" header="0.3" footer="0.3"/>
  <pageSetup scale="55"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008000"/>
  </sheetPr>
  <dimension ref="A1:BF370"/>
  <sheetViews>
    <sheetView topLeftCell="A66" zoomScaleNormal="100" workbookViewId="0">
      <selection activeCell="A111" sqref="A111"/>
    </sheetView>
  </sheetViews>
  <sheetFormatPr baseColWidth="10" defaultColWidth="9.1640625" defaultRowHeight="11" x14ac:dyDescent="0.15"/>
  <cols>
    <col min="1" max="1" width="6.6640625" style="15" customWidth="1"/>
    <col min="2" max="2" width="90.6640625" style="15" customWidth="1"/>
    <col min="3" max="3" width="7.5" style="15" customWidth="1"/>
    <col min="4" max="4" width="4.5" style="15" bestFit="1" customWidth="1"/>
    <col min="5" max="5" width="9" style="15" bestFit="1" customWidth="1"/>
    <col min="6" max="6" width="4.83203125" style="15" bestFit="1" customWidth="1"/>
    <col min="7" max="7" width="16.33203125" style="15" bestFit="1" customWidth="1"/>
    <col min="8" max="8" width="8.6640625" style="15" bestFit="1" customWidth="1"/>
    <col min="9" max="9" width="6.1640625" style="15" bestFit="1" customWidth="1"/>
    <col min="10" max="10" width="4.83203125" style="15" bestFit="1" customWidth="1"/>
    <col min="11" max="11" width="5.1640625" style="15" bestFit="1" customWidth="1"/>
    <col min="12" max="12" width="7" style="15" customWidth="1"/>
    <col min="13" max="13" width="6.1640625" style="15" bestFit="1" customWidth="1"/>
    <col min="14" max="14" width="12" style="15" bestFit="1" customWidth="1"/>
    <col min="15" max="15" width="42.83203125" style="15" bestFit="1" customWidth="1"/>
    <col min="16" max="16" width="3.5" style="15" bestFit="1" customWidth="1"/>
    <col min="17" max="17" width="9.5" style="15" bestFit="1" customWidth="1"/>
    <col min="18" max="18" width="5.83203125" style="15" bestFit="1" customWidth="1"/>
    <col min="19" max="19" width="6.5" style="15" bestFit="1" customWidth="1"/>
    <col min="20" max="20" width="11.33203125" style="15" bestFit="1" customWidth="1"/>
    <col min="21" max="22" width="7.1640625" style="15" bestFit="1" customWidth="1"/>
    <col min="23" max="23" width="5.83203125" style="15" bestFit="1" customWidth="1"/>
    <col min="24" max="24" width="6.5" style="15" bestFit="1" customWidth="1"/>
    <col min="25" max="25" width="5.83203125" style="15" bestFit="1" customWidth="1"/>
    <col min="26" max="26" width="4" style="15" bestFit="1" customWidth="1"/>
    <col min="27" max="27" width="9.5" style="15" bestFit="1" customWidth="1"/>
    <col min="28" max="28" width="6.1640625" style="15" bestFit="1" customWidth="1"/>
    <col min="29" max="29" width="5.6640625" style="15" bestFit="1" customWidth="1"/>
    <col min="30" max="30" width="6.6640625" style="15" bestFit="1" customWidth="1"/>
    <col min="31" max="31" width="7" style="15" bestFit="1" customWidth="1"/>
    <col min="32" max="32" width="4.6640625" style="15" bestFit="1" customWidth="1"/>
    <col min="33" max="33" width="6.33203125" style="15" bestFit="1" customWidth="1"/>
    <col min="34" max="34" width="5.5" style="15" bestFit="1" customWidth="1"/>
    <col min="35" max="35" width="6.33203125" style="15" bestFit="1" customWidth="1"/>
    <col min="36" max="36" width="8.1640625" style="15" bestFit="1" customWidth="1"/>
    <col min="37" max="16384" width="9.1640625" style="15"/>
  </cols>
  <sheetData>
    <row r="1" spans="1:21" x14ac:dyDescent="0.15">
      <c r="A1" s="23"/>
      <c r="B1" s="75"/>
      <c r="C1" s="75"/>
      <c r="E1" s="31">
        <f ca="1">(RSQ(OFFSET(G$18,E$3-D$18,0):OFFSET(G$18,E$4-D$18,0),OFFSET(D$18,E$3-D$18,0):OFFSET(D$18,E$4-D$18,0))*DEVSQ(OFFSET(G$18,E$3-D$18,0):OFFSET(G$18,E$4-D$18,0))+RSQ(OFFSET(G$18,E$6-D$18,0):OFFSET(G$18,E$7-D$18,0),OFFSET(D$18,E$6-D$18,0):OFFSET(D$18,E$7-D$18,0))*DEVSQ(OFFSET(G$18,E$6-D$18,0):OFFSET(G$18,E$7-D$18,0)))/(DEVSQ(OFFSET(G$18,E$3-D$18,0):OFFSET(G$18,E$4-D$18,0))+DEVSQ(OFFSET(G$18,E$6-D$18,0):OFFSET(G$18,E$7-D$18,0)))</f>
        <v>0.99990781659218908</v>
      </c>
      <c r="F1" s="23">
        <v>134.11264299536776</v>
      </c>
      <c r="G1" s="116" t="s">
        <v>78</v>
      </c>
      <c r="H1" s="272"/>
      <c r="O1" s="35"/>
      <c r="Q1" s="24"/>
      <c r="R1" s="87"/>
      <c r="S1" s="35"/>
      <c r="T1" s="88"/>
      <c r="U1" s="86"/>
    </row>
    <row r="2" spans="1:21" x14ac:dyDescent="0.15">
      <c r="A2" s="75"/>
      <c r="B2" s="75"/>
      <c r="C2" s="75"/>
      <c r="D2" s="75"/>
      <c r="E2" s="35">
        <f ca="1">(-INTERCEPT(OFFSET(G18,E3-D18,0):OFFSET(G18,E4-D18,0),OFFSET(D18,E3-D18,0):OFFSET(D18,E4-D18,0)) - LN(9))/SLOPE(OFFSET(G18,E3-D18,0):OFFSET(G18,E4-D18,0),OFFSET(D18,E3-D18,0):OFFSET(D18,E4-D18,0))</f>
        <v>1933.8620725688215</v>
      </c>
      <c r="F2" s="114">
        <f ca="1">(-INTERCEPT(OFFSET(G18,E3-D18,0):OFFSET(G18,E4-D18,0),OFFSET(D18,E3-D18,0):OFFSET(D18,E4-D18,0)) + LN(9))/SLOPE(OFFSET(G18,E3-D18,0):OFFSET(G18,E4-D18,0),OFFSET(D18,E3-D18,0):OFFSET(D18,E4-D18,0))</f>
        <v>2046.043367835008</v>
      </c>
      <c r="G2" s="240" t="s">
        <v>176</v>
      </c>
      <c r="H2" s="35"/>
      <c r="I2" s="81"/>
      <c r="O2" s="76"/>
      <c r="P2" s="78"/>
      <c r="Q2" s="35"/>
      <c r="R2" s="74"/>
      <c r="S2" s="35"/>
      <c r="T2" s="74"/>
    </row>
    <row r="3" spans="1:21" x14ac:dyDescent="0.15">
      <c r="A3" s="75"/>
      <c r="B3" s="75"/>
      <c r="C3" s="75"/>
      <c r="D3" s="75"/>
      <c r="E3" s="15">
        <v>1952</v>
      </c>
      <c r="F3" s="8">
        <f ca="1">(E3-AVERAGE(E$2:F$2))/(F$2-E$2)*LN(81)</f>
        <v>-1.4867121904153608</v>
      </c>
      <c r="G3" s="172" t="s">
        <v>81</v>
      </c>
      <c r="H3" s="35"/>
      <c r="I3" s="81"/>
      <c r="O3" s="76"/>
      <c r="P3" s="78"/>
      <c r="Q3" s="35"/>
      <c r="R3" s="74"/>
      <c r="S3" s="35"/>
      <c r="T3" s="74"/>
    </row>
    <row r="4" spans="1:21" x14ac:dyDescent="0.15">
      <c r="A4" s="75"/>
      <c r="B4" s="75"/>
      <c r="C4" s="75"/>
      <c r="D4" s="23"/>
      <c r="E4" s="35">
        <f>E6-1</f>
        <v>1992</v>
      </c>
      <c r="F4" s="8">
        <f ca="1">(E4-AVERAGE(E$2:F$2))/(F$2-E$2)*LN(81)</f>
        <v>8.0197567310358181E-2</v>
      </c>
      <c r="G4" s="24"/>
      <c r="L4" s="35"/>
      <c r="M4" s="35"/>
      <c r="N4" s="88"/>
      <c r="O4" s="11"/>
      <c r="P4" s="8"/>
      <c r="Q4" s="6"/>
      <c r="R4" s="6"/>
      <c r="S4" s="100"/>
    </row>
    <row r="5" spans="1:21" x14ac:dyDescent="0.15">
      <c r="A5" s="75"/>
      <c r="B5" s="75"/>
      <c r="C5" s="75"/>
      <c r="D5" s="23"/>
      <c r="E5" s="35">
        <f ca="1">(-INTERCEPT(OFFSET(G21,E6-D21,0):OFFSET(G21,E7-D21,0),OFFSET(D21,E6-D21,0):OFFSET(D21,E7-D21,0)) - LN(9))/SLOPE(OFFSET(G21,E6-D21,0):OFFSET(G21,E7-D21,0),OFFSET(D21,E6-D21,0):OFFSET(D21,E7-D21,0))</f>
        <v>1899.4729183489678</v>
      </c>
      <c r="F5" s="114">
        <f ca="1">(-INTERCEPT(OFFSET(G21,E6-D21,0):OFFSET(G21,E7-D21,0),OFFSET(D21,E6-D21,0):OFFSET(D21,E7-D21,0)) + LN(9))/SLOPE(OFFSET(G21,E6-D21,0):OFFSET(G21,E7-D21,0),OFFSET(D21,E6-D21,0):OFFSET(D21,E7-D21,0))</f>
        <v>2078.0243628323087</v>
      </c>
      <c r="G5" s="256" t="s">
        <v>249</v>
      </c>
      <c r="O5" s="3"/>
      <c r="P5" s="8"/>
      <c r="Q5" s="61"/>
      <c r="R5" s="8"/>
      <c r="S5" s="6"/>
    </row>
    <row r="6" spans="1:21" x14ac:dyDescent="0.15">
      <c r="A6" s="75"/>
      <c r="B6" s="75"/>
      <c r="C6" s="75"/>
      <c r="D6" s="23"/>
      <c r="E6" s="35">
        <v>1993</v>
      </c>
      <c r="F6" s="8">
        <f ca="1">(E6-AVERAGE(E$5:F$5))/(F$5-E$5)*LN(81)</f>
        <v>0.10463305304943052</v>
      </c>
      <c r="G6" s="257" t="s">
        <v>247</v>
      </c>
      <c r="H6" s="29"/>
      <c r="O6" s="3"/>
      <c r="P6" s="8"/>
      <c r="Q6" s="10"/>
      <c r="R6" s="12"/>
      <c r="S6" s="6"/>
    </row>
    <row r="7" spans="1:21" x14ac:dyDescent="0.15">
      <c r="A7" s="75"/>
      <c r="B7" s="75"/>
      <c r="C7" s="75"/>
      <c r="D7" s="23"/>
      <c r="E7" s="203">
        <f ca="1">OFFSET(D18,COUNT(E19:E277),0)</f>
        <v>2009</v>
      </c>
      <c r="F7" s="8">
        <f ca="1">(E7-AVERAGE(E$5:F$5))/(F$5-E$5)*LN(81)</f>
        <v>0.49841976633093049</v>
      </c>
      <c r="G7" s="24"/>
      <c r="H7" s="29"/>
      <c r="O7" s="11"/>
      <c r="P7" s="27"/>
      <c r="Q7" s="61"/>
      <c r="R7" s="3"/>
      <c r="S7" s="3"/>
    </row>
    <row r="8" spans="1:21" x14ac:dyDescent="0.15">
      <c r="A8" s="75"/>
      <c r="B8" s="75"/>
      <c r="D8" s="23"/>
      <c r="E8" s="208">
        <v>0.99991243658090301</v>
      </c>
      <c r="F8" s="184">
        <v>134.38960222878472</v>
      </c>
      <c r="G8" s="117" t="s">
        <v>77</v>
      </c>
      <c r="H8" s="29"/>
    </row>
    <row r="9" spans="1:21" x14ac:dyDescent="0.15">
      <c r="A9" s="75"/>
      <c r="B9" s="75"/>
      <c r="D9" s="23"/>
      <c r="E9" s="208">
        <v>0.99992856144387787</v>
      </c>
      <c r="F9" s="23">
        <v>117.03245074957367</v>
      </c>
      <c r="G9" s="258" t="s">
        <v>251</v>
      </c>
      <c r="H9" s="29"/>
    </row>
    <row r="10" spans="1:21" x14ac:dyDescent="0.15">
      <c r="A10" s="75"/>
      <c r="B10" s="75"/>
      <c r="C10" s="75"/>
      <c r="D10" s="23"/>
      <c r="E10" s="31">
        <f ca="1">(RSQ(OFFSET(K$18,E$3-D$18,0):OFFSET(K$18,E$4-D$18,0),OFFSET(D$18,E$3-D$18,0):OFFSET(D$18,E$4-D$18,0))*DEVSQ(OFFSET(K$18,E$3-D$18,0):OFFSET(K$18,E$4-D$18,0))+RSQ(OFFSET(K$18,E$6-D$18,0):OFFSET(K$18,E$7-D$18,0),OFFSET(D$18,E$6-D$18,0):OFFSET(D$18,E$7-D$18,0))*DEVSQ(OFFSET(K$18,E$6-D$18,0):OFFSET(K$18,E$7-D$18,0)))/(DEVSQ(OFFSET(K$18,E$3-D$18,0):OFFSET(K$18,E$4-D$18,0))+DEVSQ(OFFSET(K$18,E$6-D$18,0):OFFSET(K$18,E$7-D$18,0)))</f>
        <v>0.99990119198875294</v>
      </c>
      <c r="F10" s="23">
        <v>162.4148680517801</v>
      </c>
      <c r="G10" s="116" t="s">
        <v>79</v>
      </c>
      <c r="H10" s="29"/>
    </row>
    <row r="11" spans="1:21" x14ac:dyDescent="0.15">
      <c r="A11" s="75"/>
      <c r="B11" s="75"/>
      <c r="C11" s="75"/>
      <c r="D11" s="23"/>
      <c r="E11" s="32"/>
      <c r="F11" s="35"/>
      <c r="G11" s="80"/>
      <c r="H11" s="29"/>
    </row>
    <row r="12" spans="1:21" x14ac:dyDescent="0.15">
      <c r="A12" s="75"/>
      <c r="B12" s="75"/>
      <c r="C12" s="75"/>
      <c r="D12" s="23"/>
      <c r="E12" s="84" t="s">
        <v>62</v>
      </c>
      <c r="F12" s="41" t="s">
        <v>18</v>
      </c>
      <c r="G12" s="36" t="s">
        <v>19</v>
      </c>
      <c r="H12" s="29"/>
    </row>
    <row r="13" spans="1:21" x14ac:dyDescent="0.15">
      <c r="A13" s="75"/>
      <c r="B13" s="75"/>
      <c r="C13" s="75"/>
      <c r="D13" s="23"/>
      <c r="E13" s="31">
        <v>0.99990672704286354</v>
      </c>
      <c r="F13" s="23">
        <v>135.74001864271557</v>
      </c>
      <c r="G13" s="15">
        <v>1992</v>
      </c>
      <c r="H13" s="29"/>
    </row>
    <row r="14" spans="1:21" x14ac:dyDescent="0.15">
      <c r="A14" s="75"/>
      <c r="B14" s="75"/>
      <c r="C14" s="75"/>
      <c r="D14" s="23"/>
      <c r="E14" s="31">
        <v>0.99990781659218886</v>
      </c>
      <c r="F14" s="23">
        <v>134.11264299536776</v>
      </c>
      <c r="G14" s="16">
        <v>1993</v>
      </c>
      <c r="H14" s="29"/>
    </row>
    <row r="15" spans="1:21" x14ac:dyDescent="0.15">
      <c r="A15" s="75"/>
      <c r="B15" s="75"/>
      <c r="C15" s="75"/>
      <c r="D15" s="23"/>
      <c r="E15" s="31">
        <v>0.99988445765533995</v>
      </c>
      <c r="F15" s="23">
        <v>131.62910828372665</v>
      </c>
      <c r="G15" s="16">
        <v>1994</v>
      </c>
      <c r="H15" s="29"/>
    </row>
    <row r="16" spans="1:21" x14ac:dyDescent="0.15">
      <c r="A16" s="75"/>
      <c r="B16" s="75"/>
      <c r="C16" s="75"/>
      <c r="D16" s="23"/>
      <c r="H16" s="29"/>
    </row>
    <row r="17" spans="1:58" x14ac:dyDescent="0.15">
      <c r="A17" s="75"/>
      <c r="B17" s="75"/>
      <c r="C17" s="75"/>
      <c r="D17" s="75"/>
      <c r="E17" s="17" t="s">
        <v>0</v>
      </c>
      <c r="F17" s="22" t="s">
        <v>1</v>
      </c>
      <c r="G17" s="85" t="s">
        <v>2</v>
      </c>
      <c r="H17" s="209" t="s">
        <v>217</v>
      </c>
      <c r="I17" s="81" t="s">
        <v>20</v>
      </c>
      <c r="J17" s="77" t="s">
        <v>41</v>
      </c>
      <c r="K17" s="81" t="s">
        <v>3</v>
      </c>
      <c r="N17" s="199" t="s">
        <v>166</v>
      </c>
      <c r="O17" s="148" t="s">
        <v>82</v>
      </c>
      <c r="P17" s="81" t="s">
        <v>40</v>
      </c>
      <c r="Q17" s="22" t="s">
        <v>42</v>
      </c>
      <c r="R17" s="22" t="s">
        <v>43</v>
      </c>
      <c r="S17" s="22" t="s">
        <v>44</v>
      </c>
      <c r="T17" s="22" t="s">
        <v>45</v>
      </c>
      <c r="U17" s="22" t="s">
        <v>46</v>
      </c>
      <c r="V17" s="22" t="s">
        <v>47</v>
      </c>
      <c r="W17" s="22" t="s">
        <v>48</v>
      </c>
      <c r="X17" s="22" t="s">
        <v>49</v>
      </c>
      <c r="Y17" s="22" t="s">
        <v>50</v>
      </c>
      <c r="Z17" s="22" t="s">
        <v>51</v>
      </c>
      <c r="AA17" s="22" t="s">
        <v>52</v>
      </c>
      <c r="AB17" s="22" t="s">
        <v>53</v>
      </c>
      <c r="AC17" s="22" t="s">
        <v>54</v>
      </c>
      <c r="AD17" s="22" t="s">
        <v>55</v>
      </c>
      <c r="AE17" s="22" t="s">
        <v>56</v>
      </c>
      <c r="AF17" s="22" t="s">
        <v>57</v>
      </c>
      <c r="AG17" s="22" t="s">
        <v>58</v>
      </c>
      <c r="AH17" s="22" t="s">
        <v>59</v>
      </c>
      <c r="AI17" s="22" t="s">
        <v>60</v>
      </c>
      <c r="AJ17" s="22" t="s">
        <v>61</v>
      </c>
    </row>
    <row r="18" spans="1:58" x14ac:dyDescent="0.15">
      <c r="A18" s="75"/>
      <c r="B18" s="75"/>
      <c r="C18" s="75"/>
      <c r="D18" s="75">
        <v>1798</v>
      </c>
      <c r="E18" s="18"/>
      <c r="F18" s="22">
        <v>0</v>
      </c>
      <c r="M18" s="80" t="s">
        <v>7</v>
      </c>
      <c r="N18" s="15">
        <v>1913</v>
      </c>
      <c r="O18" s="35">
        <f t="shared" ref="O18:O40" si="0">LOOKUP(N18-2,D$19:D$293,F$19:F$293)+P18</f>
        <v>568.19678580999994</v>
      </c>
      <c r="P18" s="35">
        <f>SUM(Q18:AJ18)</f>
        <v>561.5809999999999</v>
      </c>
      <c r="Q18" s="23">
        <v>0</v>
      </c>
      <c r="R18" s="23">
        <v>53.875999999999998</v>
      </c>
      <c r="S18" s="23">
        <v>0.38800000000000001</v>
      </c>
      <c r="T18" s="23">
        <v>0</v>
      </c>
      <c r="U18" s="23">
        <v>0.05</v>
      </c>
      <c r="V18" s="23">
        <v>423.35599999999999</v>
      </c>
      <c r="W18" s="23">
        <v>0.04</v>
      </c>
      <c r="X18" s="23">
        <v>1.7170000000000001</v>
      </c>
      <c r="Y18" s="23">
        <v>0</v>
      </c>
      <c r="Z18" s="23">
        <v>0.24299999999999999</v>
      </c>
      <c r="AA18" s="23">
        <v>4.4020000000000001</v>
      </c>
      <c r="AB18" s="23">
        <v>8.75</v>
      </c>
      <c r="AC18" s="23">
        <v>0</v>
      </c>
      <c r="AD18" s="23">
        <v>0.02</v>
      </c>
      <c r="AE18" s="23">
        <v>3.9E-2</v>
      </c>
      <c r="AF18" s="23">
        <v>8.7680000000000007</v>
      </c>
      <c r="AG18" s="23">
        <v>0.114</v>
      </c>
      <c r="AH18" s="23">
        <v>0</v>
      </c>
      <c r="AI18" s="23">
        <v>55.613</v>
      </c>
      <c r="AJ18" s="23">
        <v>4.2050000000000001</v>
      </c>
      <c r="AL18" s="23"/>
      <c r="AM18" s="23"/>
      <c r="AN18" s="23"/>
      <c r="AO18" s="23"/>
      <c r="AP18" s="23"/>
      <c r="AQ18" s="23"/>
      <c r="AR18" s="23"/>
      <c r="AS18" s="23"/>
      <c r="AT18" s="23"/>
      <c r="AU18" s="23"/>
      <c r="AV18" s="23"/>
      <c r="AW18" s="23"/>
      <c r="AX18" s="23"/>
      <c r="AY18" s="23"/>
      <c r="AZ18" s="23"/>
      <c r="BA18" s="23"/>
      <c r="BB18" s="23"/>
      <c r="BC18" s="23"/>
      <c r="BD18" s="23"/>
      <c r="BE18" s="23"/>
      <c r="BF18" s="23"/>
    </row>
    <row r="19" spans="1:58" x14ac:dyDescent="0.15">
      <c r="A19" s="75"/>
      <c r="B19" s="75"/>
      <c r="C19" s="75"/>
      <c r="D19" s="75">
        <v>1799</v>
      </c>
      <c r="E19" s="19">
        <v>1.7600000000000001E-2</v>
      </c>
      <c r="F19" s="23">
        <f>F18+E19/1000</f>
        <v>1.7600000000000001E-5</v>
      </c>
      <c r="G19" s="30">
        <f t="shared" ref="G19:G82" si="1" xml:space="preserve"> - LN(F$1/F19 - 1)</f>
        <v>-15.84629159088394</v>
      </c>
      <c r="I19" s="23">
        <f t="shared" ref="I19:I82" ca="1" si="2" xml:space="preserve"> (G19/LN(81)*IF(D19&lt;E$6,F$2-E$2,F$5-E$5) - D19 + IF(D19&lt;E$6,AVERAGE(E$2:F$2),AVERAGE(E$5:F$5)))*12</f>
        <v>-2562.8481648293109</v>
      </c>
      <c r="J19" s="23"/>
      <c r="K19" s="30">
        <f t="shared" ref="K19:K82" si="3">NORMSINV(F19/F$10)</f>
        <v>-5.1843849110039972</v>
      </c>
      <c r="M19" s="142" t="s">
        <v>99</v>
      </c>
      <c r="N19" s="15">
        <v>1936</v>
      </c>
      <c r="O19" s="35">
        <f t="shared" si="0"/>
        <v>508.28055017666668</v>
      </c>
      <c r="P19" s="35">
        <f t="shared" ref="P19:P39" si="4">SUM(Q19:AJ19)</f>
        <v>493.1397</v>
      </c>
      <c r="Q19" s="23">
        <v>0</v>
      </c>
      <c r="R19" s="23">
        <v>2.3559999999999999</v>
      </c>
      <c r="S19" s="23">
        <v>1.0012000000000001</v>
      </c>
      <c r="T19" s="23">
        <v>25</v>
      </c>
      <c r="U19" s="23">
        <v>0.05</v>
      </c>
      <c r="V19" s="23">
        <v>336.274</v>
      </c>
      <c r="W19" s="23">
        <v>0.03</v>
      </c>
      <c r="X19" s="23">
        <v>1.75</v>
      </c>
      <c r="Y19" s="23">
        <v>0.107</v>
      </c>
      <c r="Z19" s="23">
        <v>0.247</v>
      </c>
      <c r="AA19" s="23">
        <v>4.4740000000000002</v>
      </c>
      <c r="AB19" s="23">
        <v>8</v>
      </c>
      <c r="AC19" s="23">
        <v>52.792999999999999</v>
      </c>
      <c r="AD19" s="23">
        <v>0.02</v>
      </c>
      <c r="AE19" s="23">
        <v>3.9E-2</v>
      </c>
      <c r="AF19" s="23">
        <v>5</v>
      </c>
      <c r="AG19" s="23">
        <v>0.105</v>
      </c>
      <c r="AH19" s="23">
        <v>0</v>
      </c>
      <c r="AI19" s="23">
        <v>55.613</v>
      </c>
      <c r="AJ19" s="23">
        <v>0.28050000000000003</v>
      </c>
      <c r="AL19" s="23"/>
      <c r="AM19" s="23"/>
      <c r="AN19" s="23"/>
      <c r="AO19" s="23"/>
      <c r="AP19" s="23"/>
      <c r="AQ19" s="23"/>
      <c r="AR19" s="23"/>
      <c r="AS19" s="23"/>
      <c r="AT19" s="23"/>
      <c r="AU19" s="23"/>
      <c r="AV19" s="23"/>
      <c r="AW19" s="23"/>
      <c r="AX19" s="23"/>
      <c r="AY19" s="23"/>
      <c r="AZ19" s="23"/>
      <c r="BA19" s="23"/>
      <c r="BB19" s="23"/>
      <c r="BC19" s="23"/>
      <c r="BD19" s="23"/>
      <c r="BE19" s="23"/>
      <c r="BF19" s="23"/>
    </row>
    <row r="20" spans="1:58" x14ac:dyDescent="0.15">
      <c r="A20" s="75"/>
      <c r="B20" s="75"/>
      <c r="C20" s="75"/>
      <c r="D20" s="75">
        <v>1800</v>
      </c>
      <c r="E20" s="19">
        <v>4.8999999999999998E-4</v>
      </c>
      <c r="F20" s="23">
        <f t="shared" ref="F20:F83" si="5">F19+E20/1000</f>
        <v>1.8090000000000001E-5</v>
      </c>
      <c r="G20" s="30">
        <f t="shared" si="1"/>
        <v>-15.818831189867197</v>
      </c>
      <c r="I20" s="23">
        <f t="shared" ca="1" si="2"/>
        <v>-2566.4360706273001</v>
      </c>
      <c r="J20" s="23"/>
      <c r="K20" s="30">
        <f t="shared" si="3"/>
        <v>-5.1792641458718256</v>
      </c>
      <c r="M20" s="142" t="s">
        <v>100</v>
      </c>
      <c r="N20" s="15">
        <v>1937</v>
      </c>
      <c r="O20" s="35">
        <f t="shared" si="0"/>
        <v>561.80560517666675</v>
      </c>
      <c r="P20" s="35">
        <f t="shared" si="4"/>
        <v>546.21810000000005</v>
      </c>
      <c r="Q20" s="23">
        <v>0</v>
      </c>
      <c r="R20" s="23">
        <v>2.3559999999999999</v>
      </c>
      <c r="S20" s="23">
        <v>1.0012000000000001</v>
      </c>
      <c r="T20" s="23">
        <v>25</v>
      </c>
      <c r="U20" s="23">
        <v>7.0000000000000001E-3</v>
      </c>
      <c r="V20" s="23">
        <v>336.274</v>
      </c>
      <c r="W20" s="23">
        <v>0.03</v>
      </c>
      <c r="X20" s="23">
        <v>1.75</v>
      </c>
      <c r="Y20" s="23">
        <v>0.107</v>
      </c>
      <c r="Z20" s="23">
        <v>0.247</v>
      </c>
      <c r="AA20" s="23">
        <v>4.4740000000000002</v>
      </c>
      <c r="AB20" s="23">
        <v>8</v>
      </c>
      <c r="AC20" s="23">
        <v>96.5</v>
      </c>
      <c r="AD20" s="23">
        <v>0.02</v>
      </c>
      <c r="AE20" s="23">
        <v>2.8698999999999999</v>
      </c>
      <c r="AF20" s="23">
        <v>5.5</v>
      </c>
      <c r="AG20" s="23">
        <v>0.105</v>
      </c>
      <c r="AH20" s="23">
        <v>0</v>
      </c>
      <c r="AI20" s="23">
        <v>55.613</v>
      </c>
      <c r="AJ20" s="23">
        <v>6.3639999999999999</v>
      </c>
      <c r="AL20" s="23"/>
      <c r="AM20" s="23"/>
      <c r="AN20" s="23"/>
      <c r="AO20" s="23"/>
      <c r="AP20" s="23"/>
      <c r="AQ20" s="23"/>
      <c r="AR20" s="23"/>
      <c r="AS20" s="23"/>
      <c r="AT20" s="23"/>
      <c r="AU20" s="23"/>
      <c r="AV20" s="23"/>
      <c r="AW20" s="23"/>
      <c r="AX20" s="23"/>
      <c r="AY20" s="23"/>
      <c r="AZ20" s="23"/>
      <c r="BA20" s="23"/>
      <c r="BB20" s="23"/>
      <c r="BC20" s="23"/>
      <c r="BD20" s="23"/>
      <c r="BE20" s="23"/>
      <c r="BF20" s="23"/>
    </row>
    <row r="21" spans="1:58" x14ac:dyDescent="0.15">
      <c r="A21" s="75"/>
      <c r="B21" s="75"/>
      <c r="C21" s="75"/>
      <c r="D21" s="75">
        <v>1801</v>
      </c>
      <c r="E21" s="19">
        <v>5.9999999999999995E-4</v>
      </c>
      <c r="F21" s="23">
        <f t="shared" si="5"/>
        <v>1.8690000000000002E-5</v>
      </c>
      <c r="G21" s="30">
        <f t="shared" si="1"/>
        <v>-15.786201863333076</v>
      </c>
      <c r="I21" s="23">
        <f t="shared" ca="1" si="2"/>
        <v>-2568.4405513198526</v>
      </c>
      <c r="J21" s="23"/>
      <c r="K21" s="30">
        <f t="shared" si="3"/>
        <v>-5.1731733182784136</v>
      </c>
      <c r="M21" s="142" t="s">
        <v>101</v>
      </c>
      <c r="N21" s="15">
        <v>1938</v>
      </c>
      <c r="O21" s="35">
        <f t="shared" si="0"/>
        <v>555.9466031766666</v>
      </c>
      <c r="P21" s="35">
        <f t="shared" si="4"/>
        <v>539.87419999999997</v>
      </c>
      <c r="Q21" s="23">
        <v>0</v>
      </c>
      <c r="R21" s="23">
        <v>2.3559999999999999</v>
      </c>
      <c r="S21" s="23">
        <v>1.0012000000000001</v>
      </c>
      <c r="T21" s="23">
        <v>18.95</v>
      </c>
      <c r="U21" s="23">
        <v>7.0000000000000001E-3</v>
      </c>
      <c r="V21" s="23">
        <v>336.274</v>
      </c>
      <c r="W21" s="23">
        <v>0.03</v>
      </c>
      <c r="X21" s="23">
        <v>1.71</v>
      </c>
      <c r="Y21" s="23">
        <v>0.107</v>
      </c>
      <c r="Z21" s="23">
        <v>0.247</v>
      </c>
      <c r="AA21" s="23">
        <v>4.4740000000000002</v>
      </c>
      <c r="AB21" s="23">
        <v>8</v>
      </c>
      <c r="AC21" s="23">
        <v>96.5</v>
      </c>
      <c r="AD21" s="23">
        <v>0.02</v>
      </c>
      <c r="AE21" s="23">
        <v>2.6160000000000001</v>
      </c>
      <c r="AF21" s="23">
        <v>5.5</v>
      </c>
      <c r="AG21" s="23">
        <v>0.105</v>
      </c>
      <c r="AH21" s="23">
        <v>0</v>
      </c>
      <c r="AI21" s="23">
        <v>55.613</v>
      </c>
      <c r="AJ21" s="23">
        <v>6.3639999999999999</v>
      </c>
      <c r="AL21" s="23"/>
      <c r="AM21" s="23"/>
      <c r="AN21" s="23"/>
      <c r="AO21" s="23"/>
      <c r="AP21" s="23"/>
      <c r="AQ21" s="23"/>
      <c r="AR21" s="23"/>
      <c r="AS21" s="23"/>
      <c r="AT21" s="23"/>
      <c r="AU21" s="23"/>
      <c r="AV21" s="23"/>
      <c r="AW21" s="23"/>
      <c r="AX21" s="23"/>
      <c r="AY21" s="23"/>
      <c r="AZ21" s="23"/>
      <c r="BA21" s="23"/>
      <c r="BB21" s="23"/>
      <c r="BC21" s="23"/>
      <c r="BD21" s="23"/>
      <c r="BE21" s="23"/>
      <c r="BF21" s="23"/>
    </row>
    <row r="22" spans="1:58" x14ac:dyDescent="0.15">
      <c r="A22" s="75"/>
      <c r="B22" s="75"/>
      <c r="C22" s="75"/>
      <c r="D22" s="75">
        <v>1802</v>
      </c>
      <c r="E22" s="19">
        <v>6.9999999999999999E-4</v>
      </c>
      <c r="F22" s="23">
        <f t="shared" si="5"/>
        <v>1.9390000000000002E-5</v>
      </c>
      <c r="G22" s="30">
        <f t="shared" si="1"/>
        <v>-15.749433010326495</v>
      </c>
      <c r="I22" s="23">
        <f t="shared" ca="1" si="2"/>
        <v>-2569.1769483228436</v>
      </c>
      <c r="J22" s="23"/>
      <c r="K22" s="30">
        <f t="shared" si="3"/>
        <v>-5.1663017199767074</v>
      </c>
      <c r="M22" s="142" t="s">
        <v>102</v>
      </c>
      <c r="N22" s="15">
        <v>1948</v>
      </c>
      <c r="O22" s="35">
        <f t="shared" si="0"/>
        <v>548.89074017666655</v>
      </c>
      <c r="P22" s="35">
        <f t="shared" si="4"/>
        <v>527.48079999999993</v>
      </c>
      <c r="Q22" s="23">
        <v>0</v>
      </c>
      <c r="R22" s="23">
        <v>2.3559999999999999</v>
      </c>
      <c r="S22" s="23">
        <v>0.99839999999999995</v>
      </c>
      <c r="T22" s="23">
        <v>18.95</v>
      </c>
      <c r="U22" s="23">
        <v>7.0000000000000001E-3</v>
      </c>
      <c r="V22" s="23">
        <v>336.274</v>
      </c>
      <c r="W22" s="23">
        <v>0.03</v>
      </c>
      <c r="X22" s="23">
        <v>1.71</v>
      </c>
      <c r="Y22" s="23">
        <v>1.4999999999999999E-2</v>
      </c>
      <c r="Z22" s="23">
        <v>1.0189999999999999</v>
      </c>
      <c r="AA22" s="23">
        <v>3.113</v>
      </c>
      <c r="AB22" s="23">
        <v>1.5</v>
      </c>
      <c r="AC22" s="23">
        <v>80.0184</v>
      </c>
      <c r="AD22" s="23">
        <v>10.236000000000001</v>
      </c>
      <c r="AE22" s="23">
        <v>2.9169999999999998</v>
      </c>
      <c r="AF22" s="23">
        <v>5.5</v>
      </c>
      <c r="AG22" s="23">
        <v>0.105</v>
      </c>
      <c r="AH22" s="23">
        <v>0.755</v>
      </c>
      <c r="AI22" s="23">
        <v>55.613</v>
      </c>
      <c r="AJ22" s="23">
        <v>6.3639999999999999</v>
      </c>
      <c r="AL22" s="23"/>
      <c r="AM22" s="23"/>
      <c r="AN22" s="23"/>
      <c r="AO22" s="23"/>
      <c r="AP22" s="23"/>
      <c r="AQ22" s="23"/>
      <c r="AR22" s="23"/>
      <c r="AS22" s="23"/>
      <c r="AT22" s="23"/>
      <c r="AU22" s="23"/>
      <c r="AV22" s="23"/>
      <c r="AW22" s="23"/>
      <c r="AX22" s="23"/>
      <c r="AY22" s="23"/>
      <c r="AZ22" s="23"/>
      <c r="BA22" s="23"/>
      <c r="BB22" s="23"/>
      <c r="BC22" s="23"/>
      <c r="BD22" s="23"/>
      <c r="BE22" s="23"/>
      <c r="BF22" s="23"/>
    </row>
    <row r="23" spans="1:58" x14ac:dyDescent="0.15">
      <c r="A23" s="75"/>
      <c r="B23" s="75"/>
      <c r="C23" s="75"/>
      <c r="D23" s="75">
        <v>1803</v>
      </c>
      <c r="E23" s="19">
        <v>1.1200000000000001E-3</v>
      </c>
      <c r="F23" s="23">
        <f t="shared" si="5"/>
        <v>2.0510000000000002E-5</v>
      </c>
      <c r="G23" s="30">
        <f t="shared" si="1"/>
        <v>-15.693277899145576</v>
      </c>
      <c r="I23" s="23">
        <f t="shared" ca="1" si="2"/>
        <v>-2563.9746472752322</v>
      </c>
      <c r="J23" s="23"/>
      <c r="K23" s="30">
        <f t="shared" si="3"/>
        <v>-5.1557905494453067</v>
      </c>
      <c r="L23" s="32"/>
      <c r="M23" s="142" t="s">
        <v>103</v>
      </c>
      <c r="N23" s="15">
        <v>1950</v>
      </c>
      <c r="O23" s="35">
        <f t="shared" si="0"/>
        <v>549.60867317666668</v>
      </c>
      <c r="P23" s="35">
        <f t="shared" si="4"/>
        <v>527.2568</v>
      </c>
      <c r="Q23" s="23">
        <v>0</v>
      </c>
      <c r="R23" s="23">
        <v>0.16</v>
      </c>
      <c r="S23" s="23">
        <v>0.99839999999999995</v>
      </c>
      <c r="T23" s="23">
        <v>18.95</v>
      </c>
      <c r="U23" s="23">
        <v>8.0000000000000002E-3</v>
      </c>
      <c r="V23" s="23">
        <v>336.274</v>
      </c>
      <c r="W23" s="23">
        <v>2</v>
      </c>
      <c r="X23" s="23">
        <v>1.71</v>
      </c>
      <c r="Y23" s="23">
        <v>1.6E-2</v>
      </c>
      <c r="Z23" s="23">
        <v>1.0189999999999999</v>
      </c>
      <c r="AA23" s="23">
        <v>3.113</v>
      </c>
      <c r="AB23" s="23">
        <v>1.5</v>
      </c>
      <c r="AC23" s="23">
        <v>80.0184</v>
      </c>
      <c r="AD23" s="23">
        <v>10.236000000000001</v>
      </c>
      <c r="AE23" s="23">
        <v>2.9169999999999998</v>
      </c>
      <c r="AF23" s="23">
        <v>5.5</v>
      </c>
      <c r="AG23" s="23">
        <v>0.105</v>
      </c>
      <c r="AH23" s="23">
        <v>0.755</v>
      </c>
      <c r="AI23" s="23">
        <v>55.613</v>
      </c>
      <c r="AJ23" s="23">
        <v>6.3639999999999999</v>
      </c>
      <c r="AL23" s="23"/>
      <c r="AM23" s="23"/>
      <c r="AN23" s="23"/>
      <c r="AO23" s="23"/>
      <c r="AP23" s="23"/>
      <c r="AQ23" s="23"/>
      <c r="AR23" s="23"/>
      <c r="AS23" s="23"/>
      <c r="AT23" s="23"/>
      <c r="AU23" s="23"/>
      <c r="AV23" s="23"/>
      <c r="AW23" s="23"/>
      <c r="AX23" s="23"/>
      <c r="AY23" s="23"/>
      <c r="AZ23" s="23"/>
      <c r="BA23" s="23"/>
      <c r="BB23" s="23"/>
      <c r="BC23" s="23"/>
      <c r="BD23" s="23"/>
      <c r="BE23" s="23"/>
      <c r="BF23" s="23"/>
    </row>
    <row r="24" spans="1:58" x14ac:dyDescent="0.15">
      <c r="A24" s="75"/>
      <c r="B24" s="75"/>
      <c r="C24" s="75"/>
      <c r="D24" s="75">
        <v>1804</v>
      </c>
      <c r="E24" s="19">
        <v>1.4E-3</v>
      </c>
      <c r="F24" s="23">
        <f t="shared" si="5"/>
        <v>2.1910000000000002E-5</v>
      </c>
      <c r="G24" s="30">
        <f t="shared" si="1"/>
        <v>-15.627247307183502</v>
      </c>
      <c r="I24" s="23">
        <f t="shared" ca="1" si="2"/>
        <v>-2555.7471364147459</v>
      </c>
      <c r="J24" s="23"/>
      <c r="K24" s="30">
        <f t="shared" si="3"/>
        <v>-5.1434051606647229</v>
      </c>
      <c r="L24" s="32"/>
      <c r="M24" s="142" t="s">
        <v>104</v>
      </c>
      <c r="N24" s="15">
        <v>1952</v>
      </c>
      <c r="O24" s="35">
        <f t="shared" si="0"/>
        <v>496.99709467666662</v>
      </c>
      <c r="P24" s="35">
        <f t="shared" si="4"/>
        <v>473.47849999999994</v>
      </c>
      <c r="Q24" s="23">
        <v>0</v>
      </c>
      <c r="R24" s="23">
        <v>0.16800000000000001</v>
      </c>
      <c r="S24" s="23">
        <v>0.99839999999999995</v>
      </c>
      <c r="T24" s="23">
        <v>18.95</v>
      </c>
      <c r="U24" s="23">
        <v>0</v>
      </c>
      <c r="V24" s="23">
        <v>287.32799999999997</v>
      </c>
      <c r="W24" s="23">
        <v>2</v>
      </c>
      <c r="X24" s="23">
        <v>1.71</v>
      </c>
      <c r="Y24" s="23">
        <v>1.6E-2</v>
      </c>
      <c r="Z24" s="23">
        <v>1.0189999999999999</v>
      </c>
      <c r="AA24" s="23">
        <v>3.113</v>
      </c>
      <c r="AB24" s="23">
        <v>1.5</v>
      </c>
      <c r="AC24" s="23">
        <v>80.0184</v>
      </c>
      <c r="AD24" s="23">
        <v>3.27E-2</v>
      </c>
      <c r="AE24" s="23">
        <v>2.9169999999999998</v>
      </c>
      <c r="AF24" s="23">
        <v>5.5</v>
      </c>
      <c r="AG24" s="23">
        <v>0.105</v>
      </c>
      <c r="AH24" s="23">
        <v>1.778</v>
      </c>
      <c r="AI24" s="23">
        <v>55.613</v>
      </c>
      <c r="AJ24" s="23">
        <v>10.712</v>
      </c>
      <c r="AL24" s="23"/>
      <c r="AM24" s="23"/>
      <c r="AN24" s="23"/>
      <c r="AO24" s="23"/>
      <c r="AP24" s="23"/>
      <c r="AQ24" s="23"/>
      <c r="AR24" s="23"/>
      <c r="AS24" s="23"/>
      <c r="AT24" s="23"/>
      <c r="AU24" s="23"/>
      <c r="AV24" s="23"/>
      <c r="AW24" s="23"/>
      <c r="AX24" s="23"/>
      <c r="AY24" s="23"/>
      <c r="AZ24" s="23"/>
      <c r="BA24" s="23"/>
      <c r="BB24" s="23"/>
      <c r="BC24" s="23"/>
      <c r="BD24" s="23"/>
      <c r="BE24" s="23"/>
      <c r="BF24" s="23"/>
    </row>
    <row r="25" spans="1:58" x14ac:dyDescent="0.15">
      <c r="D25" s="16">
        <v>1805</v>
      </c>
      <c r="E25" s="19">
        <v>1.5E-3</v>
      </c>
      <c r="F25" s="23">
        <f t="shared" si="5"/>
        <v>2.3410000000000001E-5</v>
      </c>
      <c r="G25" s="30">
        <f t="shared" si="1"/>
        <v>-15.561027168103427</v>
      </c>
      <c r="I25" s="23">
        <f t="shared" ca="1" si="2"/>
        <v>-2547.4615605532654</v>
      </c>
      <c r="J25" s="23"/>
      <c r="K25" s="30">
        <f t="shared" si="3"/>
        <v>-5.1309561280107188</v>
      </c>
      <c r="L25" s="32"/>
      <c r="M25" s="142" t="s">
        <v>105</v>
      </c>
      <c r="N25" s="15">
        <v>1954</v>
      </c>
      <c r="O25" s="35">
        <f t="shared" si="0"/>
        <v>500.9208456766666</v>
      </c>
      <c r="P25" s="35">
        <f t="shared" si="4"/>
        <v>476.06749999999994</v>
      </c>
      <c r="Q25" s="23">
        <v>0</v>
      </c>
      <c r="R25" s="23">
        <v>0.16800000000000001</v>
      </c>
      <c r="S25" s="23">
        <v>0.99839999999999995</v>
      </c>
      <c r="T25" s="23">
        <v>18.95</v>
      </c>
      <c r="U25" s="23">
        <v>0</v>
      </c>
      <c r="V25" s="23">
        <v>287.32799999999997</v>
      </c>
      <c r="W25" s="23">
        <v>2</v>
      </c>
      <c r="X25" s="23">
        <v>1.71</v>
      </c>
      <c r="Y25" s="23">
        <v>1.6E-2</v>
      </c>
      <c r="Z25" s="23">
        <v>1.0189999999999999</v>
      </c>
      <c r="AA25" s="23">
        <v>2.4</v>
      </c>
      <c r="AB25" s="23">
        <v>1.5</v>
      </c>
      <c r="AC25" s="23">
        <v>80.0184</v>
      </c>
      <c r="AD25" s="23">
        <v>3.27E-2</v>
      </c>
      <c r="AE25" s="23">
        <v>2.9169999999999998</v>
      </c>
      <c r="AF25" s="23">
        <v>5.5</v>
      </c>
      <c r="AG25" s="23">
        <v>0.04</v>
      </c>
      <c r="AH25" s="23">
        <v>1.778</v>
      </c>
      <c r="AI25" s="23">
        <v>55.613</v>
      </c>
      <c r="AJ25" s="23">
        <v>14.079000000000001</v>
      </c>
      <c r="AL25" s="23"/>
      <c r="AM25" s="23"/>
      <c r="AN25" s="23"/>
      <c r="AO25" s="23"/>
      <c r="AP25" s="23"/>
      <c r="AQ25" s="23"/>
      <c r="AR25" s="23"/>
      <c r="AS25" s="23"/>
      <c r="AT25" s="23"/>
      <c r="AU25" s="23"/>
      <c r="AV25" s="23"/>
      <c r="AW25" s="23"/>
      <c r="AX25" s="23"/>
      <c r="AY25" s="23"/>
      <c r="AZ25" s="23"/>
      <c r="BA25" s="23"/>
      <c r="BB25" s="23"/>
      <c r="BC25" s="23"/>
      <c r="BD25" s="23"/>
      <c r="BE25" s="23"/>
      <c r="BF25" s="23"/>
    </row>
    <row r="26" spans="1:58" x14ac:dyDescent="0.15">
      <c r="D26" s="16">
        <v>1806</v>
      </c>
      <c r="E26" s="19">
        <v>1.8600000000000001E-3</v>
      </c>
      <c r="F26" s="23">
        <f t="shared" si="5"/>
        <v>2.527E-5</v>
      </c>
      <c r="G26" s="30">
        <f t="shared" si="1"/>
        <v>-15.484572514337204</v>
      </c>
      <c r="I26" s="23">
        <f t="shared" ca="1" si="2"/>
        <v>-2536.0407900673817</v>
      </c>
      <c r="J26" s="23"/>
      <c r="K26" s="30">
        <f t="shared" si="3"/>
        <v>-5.1165478269161655</v>
      </c>
      <c r="L26" s="32"/>
      <c r="M26" s="142" t="s">
        <v>106</v>
      </c>
      <c r="N26" s="15">
        <v>1956</v>
      </c>
      <c r="O26" s="35">
        <f t="shared" si="0"/>
        <v>502.64764167666664</v>
      </c>
      <c r="P26" s="35">
        <f t="shared" si="4"/>
        <v>476.33119999999997</v>
      </c>
      <c r="Q26" s="23">
        <v>0</v>
      </c>
      <c r="R26" s="23">
        <v>0.29399999999999998</v>
      </c>
      <c r="S26" s="23">
        <v>0.99839999999999995</v>
      </c>
      <c r="T26" s="23">
        <v>18.95</v>
      </c>
      <c r="U26" s="23">
        <v>0</v>
      </c>
      <c r="V26" s="23">
        <v>286.3</v>
      </c>
      <c r="W26" s="23">
        <v>2</v>
      </c>
      <c r="X26" s="23">
        <v>1.71</v>
      </c>
      <c r="Y26" s="23">
        <v>1.6E-2</v>
      </c>
      <c r="Z26" s="23">
        <v>1.0189999999999999</v>
      </c>
      <c r="AA26" s="23">
        <v>3.4014000000000002</v>
      </c>
      <c r="AB26" s="23">
        <v>1.5</v>
      </c>
      <c r="AC26" s="23">
        <v>80.0184</v>
      </c>
      <c r="AD26" s="23">
        <v>6.0999999999999999E-2</v>
      </c>
      <c r="AE26" s="23">
        <v>2.9169999999999998</v>
      </c>
      <c r="AF26" s="23">
        <v>5.5</v>
      </c>
      <c r="AG26" s="23">
        <v>0.04</v>
      </c>
      <c r="AH26" s="23">
        <v>1.778</v>
      </c>
      <c r="AI26" s="23">
        <v>55.613</v>
      </c>
      <c r="AJ26" s="23">
        <v>14.215</v>
      </c>
      <c r="AL26" s="23"/>
      <c r="AM26" s="23"/>
      <c r="AN26" s="23"/>
      <c r="AO26" s="23"/>
      <c r="AP26" s="23"/>
      <c r="AQ26" s="23"/>
      <c r="AR26" s="23"/>
      <c r="AS26" s="23"/>
      <c r="AT26" s="23"/>
      <c r="AU26" s="23"/>
      <c r="AV26" s="23"/>
      <c r="AW26" s="23"/>
      <c r="AX26" s="23"/>
      <c r="AY26" s="23"/>
      <c r="AZ26" s="23"/>
      <c r="BA26" s="23"/>
      <c r="BB26" s="23"/>
      <c r="BC26" s="23"/>
      <c r="BD26" s="23"/>
      <c r="BE26" s="23"/>
      <c r="BF26" s="23"/>
    </row>
    <row r="27" spans="1:58" x14ac:dyDescent="0.15">
      <c r="D27" s="16">
        <v>1807</v>
      </c>
      <c r="E27" s="19">
        <v>1.9E-3</v>
      </c>
      <c r="F27" s="23">
        <f t="shared" si="5"/>
        <v>2.7169999999999999E-5</v>
      </c>
      <c r="G27" s="30">
        <f t="shared" si="1"/>
        <v>-15.412076998131852</v>
      </c>
      <c r="I27" s="23">
        <f t="shared" ca="1" si="2"/>
        <v>-2525.8328437533128</v>
      </c>
      <c r="J27" s="23"/>
      <c r="K27" s="30">
        <f t="shared" si="3"/>
        <v>-5.1028505137542561</v>
      </c>
      <c r="M27" s="142" t="s">
        <v>107</v>
      </c>
      <c r="N27" s="15">
        <v>1960</v>
      </c>
      <c r="O27" s="35">
        <f t="shared" si="0"/>
        <v>511.42772617666662</v>
      </c>
      <c r="P27" s="35">
        <f t="shared" si="4"/>
        <v>481.70119999999997</v>
      </c>
      <c r="Q27" s="23">
        <v>0</v>
      </c>
      <c r="R27" s="23">
        <v>0.28999999999999998</v>
      </c>
      <c r="S27" s="23">
        <v>0.99839999999999995</v>
      </c>
      <c r="T27" s="23">
        <v>18.95</v>
      </c>
      <c r="U27" s="23">
        <v>0</v>
      </c>
      <c r="V27" s="23">
        <v>286.3</v>
      </c>
      <c r="W27" s="23">
        <v>2</v>
      </c>
      <c r="X27" s="23">
        <v>1.71</v>
      </c>
      <c r="Y27" s="23">
        <v>1.6E-2</v>
      </c>
      <c r="Z27" s="23">
        <v>1.0189999999999999</v>
      </c>
      <c r="AA27" s="23">
        <v>3.4024000000000001</v>
      </c>
      <c r="AB27" s="23">
        <v>1.5</v>
      </c>
      <c r="AC27" s="23">
        <v>80.0184</v>
      </c>
      <c r="AD27" s="23">
        <v>6.2E-2</v>
      </c>
      <c r="AE27" s="23">
        <v>2.9169999999999998</v>
      </c>
      <c r="AF27" s="23">
        <v>3.3969999999999998</v>
      </c>
      <c r="AG27" s="23">
        <v>0.04</v>
      </c>
      <c r="AH27" s="23">
        <v>1.825</v>
      </c>
      <c r="AI27" s="23">
        <v>55.613</v>
      </c>
      <c r="AJ27" s="23">
        <v>21.643000000000001</v>
      </c>
      <c r="AL27" s="23"/>
      <c r="AM27" s="23"/>
      <c r="AN27" s="23"/>
      <c r="AO27" s="23"/>
      <c r="AP27" s="23"/>
      <c r="AQ27" s="23"/>
      <c r="AR27" s="23"/>
      <c r="AS27" s="23"/>
      <c r="AT27" s="23"/>
      <c r="AU27" s="23"/>
      <c r="AV27" s="23"/>
      <c r="AW27" s="23"/>
      <c r="AX27" s="23"/>
      <c r="AY27" s="23"/>
      <c r="AZ27" s="23"/>
      <c r="BA27" s="23"/>
      <c r="BB27" s="23"/>
      <c r="BC27" s="23"/>
      <c r="BD27" s="23"/>
      <c r="BE27" s="23"/>
      <c r="BF27" s="23"/>
    </row>
    <row r="28" spans="1:58" x14ac:dyDescent="0.15">
      <c r="D28" s="16">
        <v>1808</v>
      </c>
      <c r="E28" s="19">
        <v>2.1000000000000003E-3</v>
      </c>
      <c r="F28" s="23">
        <f t="shared" si="5"/>
        <v>2.9269999999999999E-5</v>
      </c>
      <c r="G28" s="30">
        <f t="shared" si="1"/>
        <v>-15.337627305207832</v>
      </c>
      <c r="I28" s="23">
        <f t="shared" ca="1" si="2"/>
        <v>-2515.0262638419099</v>
      </c>
      <c r="J28" s="23"/>
      <c r="K28" s="30">
        <f t="shared" si="3"/>
        <v>-5.0887481128128549</v>
      </c>
      <c r="M28" s="142" t="s">
        <v>108</v>
      </c>
      <c r="N28" s="15">
        <v>1962</v>
      </c>
      <c r="O28" s="35">
        <f t="shared" si="0"/>
        <v>433.8327481766666</v>
      </c>
      <c r="P28" s="35">
        <f t="shared" si="4"/>
        <v>402.22329999999994</v>
      </c>
      <c r="Q28" s="23">
        <v>0</v>
      </c>
      <c r="R28" s="23">
        <v>3.0000000000000001E-3</v>
      </c>
      <c r="S28" s="23">
        <v>0.99839999999999995</v>
      </c>
      <c r="T28" s="23">
        <v>18.95</v>
      </c>
      <c r="U28" s="23">
        <v>0</v>
      </c>
      <c r="V28" s="23">
        <v>229.9</v>
      </c>
      <c r="W28" s="23">
        <v>2</v>
      </c>
      <c r="X28" s="23">
        <v>1.71</v>
      </c>
      <c r="Y28" s="23">
        <v>8.1500000000000003E-2</v>
      </c>
      <c r="Z28" s="23">
        <v>0.7</v>
      </c>
      <c r="AA28" s="23">
        <v>2.3940000000000001</v>
      </c>
      <c r="AB28" s="23">
        <v>1.8</v>
      </c>
      <c r="AC28" s="23">
        <v>80.0184</v>
      </c>
      <c r="AD28" s="23">
        <v>2.9000000000000001E-2</v>
      </c>
      <c r="AE28" s="23">
        <v>2.9169999999999998</v>
      </c>
      <c r="AF28" s="23">
        <v>2.9569999999999999</v>
      </c>
      <c r="AG28" s="23">
        <v>0.09</v>
      </c>
      <c r="AH28" s="23">
        <v>1.825</v>
      </c>
      <c r="AI28" s="23">
        <v>55.613</v>
      </c>
      <c r="AJ28" s="23">
        <v>0.23699999999999999</v>
      </c>
      <c r="AL28" s="23"/>
      <c r="AM28" s="23"/>
      <c r="AN28" s="23"/>
      <c r="AO28" s="23"/>
      <c r="AP28" s="23"/>
      <c r="AQ28" s="23"/>
      <c r="AR28" s="23"/>
      <c r="AS28" s="23"/>
      <c r="AT28" s="23"/>
      <c r="AU28" s="23"/>
      <c r="AV28" s="23"/>
      <c r="AW28" s="23"/>
      <c r="AX28" s="23"/>
      <c r="AY28" s="23"/>
      <c r="AZ28" s="23"/>
      <c r="BA28" s="23"/>
      <c r="BB28" s="23"/>
      <c r="BC28" s="23"/>
      <c r="BD28" s="23"/>
      <c r="BE28" s="23"/>
      <c r="BF28" s="23"/>
    </row>
    <row r="29" spans="1:58" x14ac:dyDescent="0.15">
      <c r="D29" s="16">
        <v>1809</v>
      </c>
      <c r="E29" s="19">
        <v>2.3E-3</v>
      </c>
      <c r="F29" s="23">
        <f t="shared" si="5"/>
        <v>3.1569999999999998E-5</v>
      </c>
      <c r="G29" s="30">
        <f t="shared" si="1"/>
        <v>-15.261983086191959</v>
      </c>
      <c r="I29" s="23">
        <f t="shared" ca="1" si="2"/>
        <v>-2503.8537582469999</v>
      </c>
      <c r="J29" s="23"/>
      <c r="K29" s="30">
        <f t="shared" si="3"/>
        <v>-5.0743819374981491</v>
      </c>
      <c r="M29" s="142" t="s">
        <v>109</v>
      </c>
      <c r="N29" s="15">
        <v>1968</v>
      </c>
      <c r="O29" s="35">
        <f t="shared" si="0"/>
        <v>232.5297881766667</v>
      </c>
      <c r="P29" s="35">
        <f t="shared" si="4"/>
        <v>194.63970000000003</v>
      </c>
      <c r="Q29" s="23">
        <v>0</v>
      </c>
      <c r="R29" s="23">
        <v>2.5000000000000001E-3</v>
      </c>
      <c r="S29" s="23">
        <v>1.147</v>
      </c>
      <c r="T29" s="23">
        <v>11.573</v>
      </c>
      <c r="U29" s="23">
        <v>0</v>
      </c>
      <c r="V29" s="23">
        <v>70.05</v>
      </c>
      <c r="W29" s="23">
        <v>2</v>
      </c>
      <c r="X29" s="23">
        <v>0.71399999999999997</v>
      </c>
      <c r="Y29" s="23">
        <v>4.8399999999999999E-2</v>
      </c>
      <c r="Z29" s="23">
        <v>8.0000000000000004E-4</v>
      </c>
      <c r="AA29" s="23">
        <v>2.3940000000000001</v>
      </c>
      <c r="AB29" s="23">
        <v>0.16600000000000001</v>
      </c>
      <c r="AC29" s="23">
        <v>45.741</v>
      </c>
      <c r="AD29" s="23">
        <v>2.5999999999999999E-2</v>
      </c>
      <c r="AE29" s="23">
        <v>0.59</v>
      </c>
      <c r="AF29" s="23">
        <v>2.83</v>
      </c>
      <c r="AG29" s="23">
        <v>0.09</v>
      </c>
      <c r="AH29" s="23">
        <v>1.335</v>
      </c>
      <c r="AI29" s="23">
        <v>55.613</v>
      </c>
      <c r="AJ29" s="23">
        <v>0.31900000000000001</v>
      </c>
      <c r="AL29" s="23"/>
      <c r="AM29" s="23"/>
      <c r="AN29" s="23"/>
      <c r="AO29" s="23"/>
      <c r="AP29" s="23"/>
      <c r="AQ29" s="23"/>
      <c r="AR29" s="23"/>
      <c r="AS29" s="23"/>
      <c r="AT29" s="23"/>
      <c r="AU29" s="23"/>
      <c r="AV29" s="23"/>
      <c r="AW29" s="23"/>
      <c r="AX29" s="23"/>
      <c r="AY29" s="23"/>
      <c r="AZ29" s="23"/>
      <c r="BA29" s="23"/>
      <c r="BB29" s="23"/>
      <c r="BC29" s="23"/>
      <c r="BD29" s="23"/>
      <c r="BE29" s="23"/>
      <c r="BF29" s="23"/>
    </row>
    <row r="30" spans="1:58" x14ac:dyDescent="0.15">
      <c r="D30" s="16">
        <v>1810</v>
      </c>
      <c r="E30" s="19">
        <v>2.5000000000000001E-3</v>
      </c>
      <c r="F30" s="23">
        <f t="shared" si="5"/>
        <v>3.4069999999999997E-5</v>
      </c>
      <c r="G30" s="30">
        <f t="shared" si="1"/>
        <v>-15.185773138447933</v>
      </c>
      <c r="I30" s="23">
        <f t="shared" ca="1" si="2"/>
        <v>-2492.5079498896412</v>
      </c>
      <c r="J30" s="23"/>
      <c r="K30" s="30">
        <f t="shared" si="3"/>
        <v>-5.0598697943061559</v>
      </c>
      <c r="M30" s="142" t="s">
        <v>8</v>
      </c>
      <c r="N30" s="35">
        <v>1974</v>
      </c>
      <c r="O30" s="35">
        <f t="shared" si="0"/>
        <v>224.60661217666669</v>
      </c>
      <c r="P30" s="35">
        <f t="shared" si="4"/>
        <v>180.14700000000002</v>
      </c>
      <c r="Q30" s="23">
        <v>0</v>
      </c>
      <c r="R30" s="23">
        <v>6.4000000000000001E-2</v>
      </c>
      <c r="S30" s="23">
        <v>4.3869999999999996</v>
      </c>
      <c r="T30" s="23">
        <v>6.3630000000000004</v>
      </c>
      <c r="U30" s="23">
        <v>0</v>
      </c>
      <c r="V30" s="23">
        <v>65.771000000000001</v>
      </c>
      <c r="W30" s="23">
        <v>0.68</v>
      </c>
      <c r="X30" s="23">
        <v>1.675</v>
      </c>
      <c r="Y30" s="23">
        <v>1.7999999999999999E-2</v>
      </c>
      <c r="Z30" s="23">
        <v>3.3000000000000002E-2</v>
      </c>
      <c r="AA30" s="23">
        <v>1.84</v>
      </c>
      <c r="AB30" s="23">
        <v>2E-3</v>
      </c>
      <c r="AC30" s="23">
        <v>22.64</v>
      </c>
      <c r="AD30" s="23">
        <v>3.3000000000000002E-2</v>
      </c>
      <c r="AE30" s="23">
        <v>1.1499999999999999</v>
      </c>
      <c r="AF30" s="23">
        <v>1.643</v>
      </c>
      <c r="AG30" s="23">
        <v>0.03</v>
      </c>
      <c r="AH30" s="23">
        <v>1.335</v>
      </c>
      <c r="AI30" s="23">
        <v>55.613</v>
      </c>
      <c r="AJ30" s="23">
        <v>16.87</v>
      </c>
      <c r="AL30" s="23"/>
      <c r="AM30" s="23"/>
      <c r="AN30" s="23"/>
      <c r="AO30" s="23"/>
      <c r="AP30" s="23"/>
      <c r="AQ30" s="23"/>
      <c r="AR30" s="23"/>
      <c r="AS30" s="23"/>
      <c r="AT30" s="23"/>
      <c r="AU30" s="23"/>
      <c r="AV30" s="23"/>
      <c r="AW30" s="23"/>
      <c r="AX30" s="23"/>
      <c r="AY30" s="23"/>
      <c r="AZ30" s="23"/>
      <c r="BA30" s="23"/>
      <c r="BB30" s="23"/>
      <c r="BC30" s="23"/>
      <c r="BD30" s="23"/>
      <c r="BE30" s="23"/>
      <c r="BF30" s="23"/>
    </row>
    <row r="31" spans="1:58" x14ac:dyDescent="0.15">
      <c r="D31" s="16">
        <v>1811</v>
      </c>
      <c r="E31" s="19">
        <v>2.6199999999999999E-3</v>
      </c>
      <c r="F31" s="23">
        <f t="shared" si="5"/>
        <v>3.6689999999999996E-5</v>
      </c>
      <c r="G31" s="30">
        <f t="shared" si="1"/>
        <v>-15.111686112217797</v>
      </c>
      <c r="I31" s="23">
        <f t="shared" ca="1" si="2"/>
        <v>-2481.8124676417792</v>
      </c>
      <c r="J31" s="23"/>
      <c r="K31" s="30">
        <f t="shared" si="3"/>
        <v>-5.0457245465967224</v>
      </c>
      <c r="M31" s="142" t="s">
        <v>9</v>
      </c>
      <c r="N31" s="35">
        <v>1980</v>
      </c>
      <c r="O31" s="35">
        <f t="shared" si="0"/>
        <v>267.29656517666666</v>
      </c>
      <c r="P31" s="35">
        <f t="shared" si="4"/>
        <v>215.7835</v>
      </c>
      <c r="Q31" s="23">
        <v>0</v>
      </c>
      <c r="R31" s="23">
        <v>6.54E-2</v>
      </c>
      <c r="S31" s="23">
        <v>3.73</v>
      </c>
      <c r="T31" s="23">
        <v>5.56</v>
      </c>
      <c r="U31" s="23">
        <v>0</v>
      </c>
      <c r="V31" s="23">
        <v>84.141000000000005</v>
      </c>
      <c r="W31" s="23">
        <v>1.55</v>
      </c>
      <c r="X31" s="23">
        <v>4.2249999999999996</v>
      </c>
      <c r="Y31" s="23">
        <v>3.5000000000000003E-2</v>
      </c>
      <c r="Z31" s="23">
        <v>3.1E-2</v>
      </c>
      <c r="AA31" s="23">
        <v>1.194</v>
      </c>
      <c r="AB31" s="23">
        <v>1.7999999999999999E-2</v>
      </c>
      <c r="AC31" s="23">
        <v>39</v>
      </c>
      <c r="AD31" s="23">
        <v>3.8299999999999994E-2</v>
      </c>
      <c r="AE31" s="23">
        <v>1.1499999999999999</v>
      </c>
      <c r="AF31" s="23">
        <v>0.94899999999999995</v>
      </c>
      <c r="AG31" s="23">
        <v>1E-3</v>
      </c>
      <c r="AH31" s="23">
        <v>1.9128000000000001</v>
      </c>
      <c r="AI31" s="23">
        <v>55.613</v>
      </c>
      <c r="AJ31" s="23">
        <v>16.57</v>
      </c>
      <c r="AL31" s="23"/>
      <c r="AM31" s="23"/>
      <c r="AN31" s="23"/>
      <c r="AO31" s="23"/>
      <c r="AP31" s="23"/>
      <c r="AQ31" s="23"/>
      <c r="AR31" s="23"/>
      <c r="AS31" s="23"/>
      <c r="AT31" s="23"/>
      <c r="AU31" s="23"/>
      <c r="AV31" s="23"/>
      <c r="AW31" s="23"/>
      <c r="AX31" s="23"/>
      <c r="AY31" s="23"/>
      <c r="AZ31" s="23"/>
      <c r="BA31" s="23"/>
      <c r="BB31" s="23"/>
      <c r="BC31" s="23"/>
      <c r="BD31" s="23"/>
      <c r="BE31" s="23"/>
      <c r="BF31" s="23"/>
    </row>
    <row r="32" spans="1:58" x14ac:dyDescent="0.15">
      <c r="D32" s="16">
        <v>1812</v>
      </c>
      <c r="E32" s="19">
        <v>2.7000000000000001E-3</v>
      </c>
      <c r="F32" s="23">
        <f t="shared" si="5"/>
        <v>3.9389999999999994E-5</v>
      </c>
      <c r="G32" s="30">
        <f t="shared" si="1"/>
        <v>-15.040678353469836</v>
      </c>
      <c r="I32" s="23">
        <f t="shared" ca="1" si="2"/>
        <v>-2472.0602741724579</v>
      </c>
      <c r="J32" s="23"/>
      <c r="K32" s="30">
        <f t="shared" si="3"/>
        <v>-5.0321323840326668</v>
      </c>
      <c r="M32" s="142" t="s">
        <v>10</v>
      </c>
      <c r="N32" s="15">
        <v>1986</v>
      </c>
      <c r="O32" s="35">
        <f t="shared" si="0"/>
        <v>278.45276001966039</v>
      </c>
      <c r="P32" s="35">
        <f t="shared" si="4"/>
        <v>219.29110000000003</v>
      </c>
      <c r="Q32" s="23">
        <v>0</v>
      </c>
      <c r="R32" s="23">
        <v>6.4000000000000001E-2</v>
      </c>
      <c r="S32" s="23">
        <v>3.73</v>
      </c>
      <c r="T32" s="23">
        <v>5.56</v>
      </c>
      <c r="U32" s="23">
        <v>0</v>
      </c>
      <c r="V32" s="23">
        <v>80.069000000000003</v>
      </c>
      <c r="W32" s="23">
        <v>3</v>
      </c>
      <c r="X32" s="23">
        <v>4.4610000000000003</v>
      </c>
      <c r="Y32" s="23">
        <v>1.4999999999999999E-2</v>
      </c>
      <c r="Z32" s="23">
        <v>3.9E-2</v>
      </c>
      <c r="AA32" s="23">
        <v>0.497</v>
      </c>
      <c r="AB32" s="23">
        <v>0.03</v>
      </c>
      <c r="AC32" s="23">
        <v>42.7</v>
      </c>
      <c r="AD32" s="23">
        <v>5.2299999999999999E-2</v>
      </c>
      <c r="AE32" s="23">
        <v>1.1499999999999999</v>
      </c>
      <c r="AF32" s="23">
        <v>0.88279999999999992</v>
      </c>
      <c r="AG32" s="23">
        <v>1E-3</v>
      </c>
      <c r="AH32" s="23">
        <v>4.8570000000000002</v>
      </c>
      <c r="AI32" s="23">
        <v>55.613</v>
      </c>
      <c r="AJ32" s="23">
        <v>16.57</v>
      </c>
      <c r="AL32" s="23"/>
      <c r="AM32" s="23"/>
      <c r="AN32" s="23"/>
      <c r="AO32" s="23"/>
      <c r="AP32" s="23"/>
      <c r="AQ32" s="23"/>
      <c r="AR32" s="23"/>
      <c r="AS32" s="23"/>
      <c r="AT32" s="23"/>
      <c r="AU32" s="23"/>
      <c r="AV32" s="23"/>
      <c r="AW32" s="23"/>
      <c r="AX32" s="23"/>
      <c r="AY32" s="23"/>
      <c r="AZ32" s="23"/>
      <c r="BA32" s="23"/>
      <c r="BB32" s="23"/>
      <c r="BC32" s="23"/>
      <c r="BD32" s="23"/>
      <c r="BE32" s="23"/>
      <c r="BF32" s="23"/>
    </row>
    <row r="33" spans="4:58" x14ac:dyDescent="0.15">
      <c r="D33" s="16">
        <v>1813</v>
      </c>
      <c r="E33" s="19">
        <v>2.8900000000000002E-3</v>
      </c>
      <c r="F33" s="23">
        <f t="shared" si="5"/>
        <v>4.2279999999999995E-5</v>
      </c>
      <c r="G33" s="30">
        <f t="shared" si="1"/>
        <v>-14.969876147901557</v>
      </c>
      <c r="I33" s="23">
        <f t="shared" ca="1" si="2"/>
        <v>-2462.3710489281784</v>
      </c>
      <c r="J33" s="23"/>
      <c r="K33" s="30">
        <f t="shared" si="3"/>
        <v>-5.0185453679390051</v>
      </c>
      <c r="M33" s="142" t="s">
        <v>11</v>
      </c>
      <c r="N33" s="15">
        <v>1989</v>
      </c>
      <c r="O33" s="35">
        <f t="shared" si="0"/>
        <v>281.24820492725826</v>
      </c>
      <c r="P33" s="35">
        <f t="shared" si="4"/>
        <v>217.89860000000004</v>
      </c>
      <c r="Q33" s="23">
        <v>0</v>
      </c>
      <c r="R33" s="23">
        <v>6.5000000000000002E-2</v>
      </c>
      <c r="S33" s="23">
        <v>3.73</v>
      </c>
      <c r="T33" s="23">
        <v>5.37</v>
      </c>
      <c r="U33" s="23">
        <v>0</v>
      </c>
      <c r="V33" s="23">
        <v>80.069000000000003</v>
      </c>
      <c r="W33" s="23">
        <v>3</v>
      </c>
      <c r="X33" s="23">
        <v>4.4610000000000003</v>
      </c>
      <c r="Y33" s="23">
        <v>1.4E-2</v>
      </c>
      <c r="Z33" s="23">
        <v>3.9E-2</v>
      </c>
      <c r="AA33" s="23">
        <v>0.497</v>
      </c>
      <c r="AB33" s="23">
        <v>9.5999999999999992E-3</v>
      </c>
      <c r="AC33" s="23">
        <v>40.4</v>
      </c>
      <c r="AD33" s="23">
        <v>3.5999999999999997E-2</v>
      </c>
      <c r="AE33" s="23">
        <v>1.1499999999999999</v>
      </c>
      <c r="AF33" s="23">
        <v>0.77</v>
      </c>
      <c r="AG33" s="23">
        <v>1E-3</v>
      </c>
      <c r="AH33" s="23">
        <v>6.1040000000000001</v>
      </c>
      <c r="AI33" s="23">
        <v>55.613</v>
      </c>
      <c r="AJ33" s="23">
        <v>16.57</v>
      </c>
      <c r="AL33" s="23"/>
      <c r="AM33" s="23"/>
      <c r="AN33" s="23"/>
      <c r="AO33" s="23"/>
      <c r="AP33" s="23"/>
      <c r="AQ33" s="23"/>
      <c r="AR33" s="23"/>
      <c r="AS33" s="23"/>
      <c r="AT33" s="23"/>
      <c r="AU33" s="23"/>
      <c r="AV33" s="23"/>
      <c r="AW33" s="23"/>
      <c r="AX33" s="23"/>
      <c r="AY33" s="23"/>
      <c r="AZ33" s="23"/>
      <c r="BA33" s="23"/>
      <c r="BB33" s="23"/>
      <c r="BC33" s="23"/>
      <c r="BD33" s="23"/>
      <c r="BE33" s="23"/>
      <c r="BF33" s="23"/>
    </row>
    <row r="34" spans="4:58" x14ac:dyDescent="0.15">
      <c r="D34" s="16">
        <v>1814</v>
      </c>
      <c r="E34" s="19">
        <v>2.8999999999999998E-3</v>
      </c>
      <c r="F34" s="23">
        <f t="shared" si="5"/>
        <v>4.5179999999999998E-5</v>
      </c>
      <c r="G34" s="30">
        <f t="shared" si="1"/>
        <v>-14.903535776240117</v>
      </c>
      <c r="I34" s="23">
        <f t="shared" ca="1" si="2"/>
        <v>-2454.0486415652249</v>
      </c>
      <c r="J34" s="23"/>
      <c r="K34" s="30">
        <f t="shared" si="3"/>
        <v>-5.0057833661169928</v>
      </c>
      <c r="M34" s="142" t="s">
        <v>12</v>
      </c>
      <c r="N34" s="15">
        <v>1992</v>
      </c>
      <c r="O34" s="35">
        <f t="shared" si="0"/>
        <v>289.71467406353759</v>
      </c>
      <c r="P34" s="35">
        <f t="shared" si="4"/>
        <v>222.38299999999998</v>
      </c>
      <c r="Q34" s="23">
        <v>0</v>
      </c>
      <c r="R34" s="23">
        <v>5.8999999999999997E-2</v>
      </c>
      <c r="S34" s="23">
        <v>3.73</v>
      </c>
      <c r="T34" s="23">
        <v>5.37</v>
      </c>
      <c r="U34" s="23">
        <v>0</v>
      </c>
      <c r="V34" s="23">
        <v>80.069000000000003</v>
      </c>
      <c r="W34" s="23">
        <v>3</v>
      </c>
      <c r="X34" s="23">
        <v>4.4610000000000003</v>
      </c>
      <c r="Y34" s="23">
        <v>1.4E-2</v>
      </c>
      <c r="Z34" s="23">
        <v>3.4000000000000002E-2</v>
      </c>
      <c r="AA34" s="23">
        <v>0.497</v>
      </c>
      <c r="AB34" s="23">
        <v>1.2999999999999999E-2</v>
      </c>
      <c r="AC34" s="23">
        <v>41.2</v>
      </c>
      <c r="AD34" s="23">
        <v>3.5999999999999997E-2</v>
      </c>
      <c r="AE34" s="23">
        <v>3.1179999999999999</v>
      </c>
      <c r="AF34" s="23">
        <v>1.45</v>
      </c>
      <c r="AG34" s="23">
        <v>1E-3</v>
      </c>
      <c r="AH34" s="23">
        <v>7.1479999999999997</v>
      </c>
      <c r="AI34" s="23">
        <v>55.613</v>
      </c>
      <c r="AJ34" s="23">
        <v>16.57</v>
      </c>
      <c r="AL34" s="23"/>
      <c r="AM34" s="23"/>
      <c r="AN34" s="23"/>
      <c r="AO34" s="23"/>
      <c r="AP34" s="23"/>
      <c r="AQ34" s="23"/>
      <c r="AR34" s="23"/>
      <c r="AS34" s="23"/>
      <c r="AT34" s="23"/>
      <c r="AU34" s="23"/>
      <c r="AV34" s="23"/>
      <c r="AW34" s="23"/>
      <c r="AX34" s="23"/>
      <c r="AY34" s="23"/>
      <c r="AZ34" s="23"/>
      <c r="BA34" s="23"/>
      <c r="BB34" s="23"/>
      <c r="BC34" s="23"/>
      <c r="BD34" s="23"/>
      <c r="BE34" s="23"/>
      <c r="BF34" s="23"/>
    </row>
    <row r="35" spans="4:58" x14ac:dyDescent="0.15">
      <c r="D35" s="16">
        <v>1815</v>
      </c>
      <c r="E35" s="19">
        <v>3.0999999999999999E-3</v>
      </c>
      <c r="F35" s="23">
        <f t="shared" si="5"/>
        <v>4.8279999999999999E-5</v>
      </c>
      <c r="G35" s="30">
        <f t="shared" si="1"/>
        <v>-14.837172867935738</v>
      </c>
      <c r="I35" s="23">
        <f t="shared" ca="1" si="2"/>
        <v>-2445.7193304296943</v>
      </c>
      <c r="J35" s="23"/>
      <c r="K35" s="30">
        <f t="shared" si="3"/>
        <v>-4.9929865963540232</v>
      </c>
      <c r="M35" s="142" t="s">
        <v>13</v>
      </c>
      <c r="N35" s="15">
        <v>1995</v>
      </c>
      <c r="O35" s="35">
        <f t="shared" si="0"/>
        <v>279.84949210115133</v>
      </c>
      <c r="P35" s="35">
        <f t="shared" si="4"/>
        <v>209.45699999999999</v>
      </c>
      <c r="Q35" s="23">
        <v>0</v>
      </c>
      <c r="R35" s="23">
        <v>3.1E-2</v>
      </c>
      <c r="S35" s="23">
        <v>2.71</v>
      </c>
      <c r="T35" s="23">
        <v>5.37</v>
      </c>
      <c r="U35" s="23">
        <v>0</v>
      </c>
      <c r="V35" s="23">
        <v>67.3</v>
      </c>
      <c r="W35" s="23">
        <v>3</v>
      </c>
      <c r="X35" s="23">
        <v>4.4610000000000003</v>
      </c>
      <c r="Y35" s="23">
        <v>1.4E-2</v>
      </c>
      <c r="Z35" s="23">
        <v>3.4000000000000002E-2</v>
      </c>
      <c r="AA35" s="23">
        <v>0.497</v>
      </c>
      <c r="AB35" s="23">
        <v>4.0000000000000001E-3</v>
      </c>
      <c r="AC35" s="23">
        <v>42.1</v>
      </c>
      <c r="AD35" s="23">
        <v>3.5999999999999997E-2</v>
      </c>
      <c r="AE35" s="23">
        <v>3.1179999999999999</v>
      </c>
      <c r="AF35" s="23">
        <v>1.45</v>
      </c>
      <c r="AG35" s="23">
        <v>1E-3</v>
      </c>
      <c r="AH35" s="23">
        <v>7.1479999999999997</v>
      </c>
      <c r="AI35" s="23">
        <v>55.613</v>
      </c>
      <c r="AJ35" s="23">
        <v>16.57</v>
      </c>
      <c r="AL35" s="23"/>
      <c r="AM35" s="23"/>
      <c r="AN35" s="23"/>
      <c r="AO35" s="23"/>
      <c r="AP35" s="23"/>
      <c r="AQ35" s="23"/>
      <c r="AR35" s="23"/>
      <c r="AS35" s="23"/>
      <c r="AT35" s="23"/>
      <c r="AU35" s="23"/>
      <c r="AV35" s="23"/>
      <c r="AW35" s="23"/>
      <c r="AX35" s="23"/>
      <c r="AY35" s="23"/>
      <c r="AZ35" s="23"/>
      <c r="BA35" s="23"/>
      <c r="BB35" s="23"/>
      <c r="BC35" s="23"/>
      <c r="BD35" s="23"/>
      <c r="BE35" s="23"/>
      <c r="BF35" s="23"/>
    </row>
    <row r="36" spans="4:58" x14ac:dyDescent="0.15">
      <c r="D36" s="16">
        <v>1816</v>
      </c>
      <c r="E36" s="19">
        <v>3.2799999999999999E-3</v>
      </c>
      <c r="F36" s="23">
        <f t="shared" si="5"/>
        <v>5.1560000000000001E-5</v>
      </c>
      <c r="G36" s="30">
        <f t="shared" si="1"/>
        <v>-14.77144406163702</v>
      </c>
      <c r="I36" s="23">
        <f t="shared" ca="1" si="2"/>
        <v>-2437.5842672150902</v>
      </c>
      <c r="J36" s="23"/>
      <c r="K36" s="30">
        <f t="shared" si="3"/>
        <v>-4.980281887176055</v>
      </c>
      <c r="M36" s="142" t="s">
        <v>14</v>
      </c>
      <c r="N36" s="15">
        <v>1998</v>
      </c>
      <c r="O36" s="35">
        <f t="shared" si="0"/>
        <v>227.60925121729707</v>
      </c>
      <c r="P36" s="35">
        <f t="shared" si="4"/>
        <v>154.55000000000001</v>
      </c>
      <c r="Q36" s="23">
        <v>0</v>
      </c>
      <c r="R36" s="23">
        <v>2.5000000000000001E-2</v>
      </c>
      <c r="S36" s="23">
        <v>2.7109999999999999</v>
      </c>
      <c r="T36" s="23">
        <v>6.3490000000000002</v>
      </c>
      <c r="U36" s="23">
        <v>0</v>
      </c>
      <c r="V36" s="23">
        <v>67</v>
      </c>
      <c r="W36" s="23">
        <v>2.8740000000000001</v>
      </c>
      <c r="X36" s="23">
        <v>4.4610000000000003</v>
      </c>
      <c r="Y36" s="23">
        <v>1.4E-2</v>
      </c>
      <c r="Z36" s="23">
        <v>3.4000000000000002E-2</v>
      </c>
      <c r="AA36" s="23">
        <v>0.497</v>
      </c>
      <c r="AB36" s="23">
        <v>6.0000000000000001E-3</v>
      </c>
      <c r="AC36" s="23">
        <v>14.308999999999999</v>
      </c>
      <c r="AD36" s="23">
        <v>3.5999999999999997E-2</v>
      </c>
      <c r="AE36" s="23">
        <v>3.6110000000000002</v>
      </c>
      <c r="AF36" s="23">
        <v>0.66</v>
      </c>
      <c r="AG36" s="23">
        <v>1E-3</v>
      </c>
      <c r="AH36" s="23">
        <v>1.075</v>
      </c>
      <c r="AI36" s="23">
        <v>34.356000000000002</v>
      </c>
      <c r="AJ36" s="23">
        <v>16.530999999999999</v>
      </c>
      <c r="AL36" s="23"/>
      <c r="AM36" s="23"/>
      <c r="AN36" s="23"/>
      <c r="AO36" s="23"/>
      <c r="AP36" s="23"/>
      <c r="AQ36" s="23"/>
      <c r="AR36" s="23"/>
      <c r="AS36" s="23"/>
      <c r="AT36" s="23"/>
      <c r="AU36" s="23"/>
      <c r="AV36" s="23"/>
      <c r="AW36" s="23"/>
      <c r="AX36" s="23"/>
      <c r="AY36" s="23"/>
      <c r="AZ36" s="23"/>
      <c r="BA36" s="23"/>
      <c r="BB36" s="23"/>
      <c r="BC36" s="23"/>
      <c r="BD36" s="23"/>
      <c r="BE36" s="23"/>
      <c r="BF36" s="23"/>
    </row>
    <row r="37" spans="4:58" x14ac:dyDescent="0.15">
      <c r="D37" s="16">
        <v>1817</v>
      </c>
      <c r="E37" s="19">
        <v>1.30342</v>
      </c>
      <c r="F37" s="23">
        <f t="shared" si="5"/>
        <v>1.35498E-3</v>
      </c>
      <c r="G37" s="30">
        <f t="shared" si="1"/>
        <v>-11.502638547754698</v>
      </c>
      <c r="I37" s="23">
        <f t="shared" ca="1" si="2"/>
        <v>-1448.2332711367526</v>
      </c>
      <c r="J37" s="23"/>
      <c r="K37" s="30">
        <f t="shared" si="3"/>
        <v>-4.3051744697052703</v>
      </c>
      <c r="M37" s="142" t="s">
        <v>15</v>
      </c>
      <c r="N37" s="15">
        <v>2001</v>
      </c>
      <c r="O37" s="35">
        <f t="shared" si="0"/>
        <v>233.36344459560812</v>
      </c>
      <c r="P37" s="35">
        <f t="shared" si="4"/>
        <v>157.82899999999998</v>
      </c>
      <c r="Q37" s="23">
        <v>0</v>
      </c>
      <c r="R37" s="23">
        <v>2.5000000000000001E-2</v>
      </c>
      <c r="S37" s="23">
        <v>2.7109999999999999</v>
      </c>
      <c r="T37" s="23">
        <v>5.85</v>
      </c>
      <c r="U37" s="23">
        <v>0</v>
      </c>
      <c r="V37" s="23">
        <v>66</v>
      </c>
      <c r="W37" s="23">
        <v>2.8740000000000001</v>
      </c>
      <c r="X37" s="23">
        <v>1.097</v>
      </c>
      <c r="Y37" s="23">
        <v>1.4E-2</v>
      </c>
      <c r="Z37" s="23">
        <v>3.4000000000000002E-2</v>
      </c>
      <c r="AA37" s="23">
        <v>0.497</v>
      </c>
      <c r="AB37" s="23">
        <v>1E-3</v>
      </c>
      <c r="AC37" s="23">
        <v>22.16</v>
      </c>
      <c r="AD37" s="23">
        <v>3.5999999999999997E-2</v>
      </c>
      <c r="AE37" s="23">
        <v>1.4570000000000001</v>
      </c>
      <c r="AF37" s="23">
        <v>0.66</v>
      </c>
      <c r="AG37" s="23">
        <v>1E-3</v>
      </c>
      <c r="AH37" s="23">
        <v>3.6890000000000001</v>
      </c>
      <c r="AI37" s="23">
        <v>34.152999999999999</v>
      </c>
      <c r="AJ37" s="23">
        <v>16.57</v>
      </c>
      <c r="AL37" s="23"/>
      <c r="AM37" s="23"/>
      <c r="AN37" s="23"/>
      <c r="AO37" s="23"/>
      <c r="AP37" s="23"/>
      <c r="AQ37" s="23"/>
      <c r="AR37" s="23"/>
      <c r="AS37" s="23"/>
      <c r="AT37" s="23"/>
      <c r="AU37" s="23"/>
      <c r="AV37" s="23"/>
      <c r="AW37" s="23"/>
      <c r="AX37" s="23"/>
      <c r="AY37" s="23"/>
      <c r="AZ37" s="23"/>
      <c r="BA37" s="23"/>
      <c r="BB37" s="23"/>
      <c r="BC37" s="23"/>
      <c r="BD37" s="23"/>
      <c r="BE37" s="23"/>
      <c r="BF37" s="23"/>
    </row>
    <row r="38" spans="4:58" x14ac:dyDescent="0.15">
      <c r="D38" s="16">
        <v>1818</v>
      </c>
      <c r="E38" s="19">
        <v>1.3036000000000001</v>
      </c>
      <c r="F38" s="23">
        <f t="shared" si="5"/>
        <v>2.6585799999999998E-3</v>
      </c>
      <c r="G38" s="30">
        <f t="shared" si="1"/>
        <v>-10.82862337583042</v>
      </c>
      <c r="I38" s="23">
        <f t="shared" ca="1" si="2"/>
        <v>-1253.7585326085882</v>
      </c>
      <c r="J38" s="23"/>
      <c r="K38" s="30">
        <f t="shared" si="3"/>
        <v>-4.1535327323020841</v>
      </c>
      <c r="M38" s="142" t="s">
        <v>16</v>
      </c>
      <c r="N38" s="15">
        <v>2004</v>
      </c>
      <c r="O38" s="35">
        <f t="shared" si="0"/>
        <v>171.47893984781552</v>
      </c>
      <c r="P38" s="35">
        <f t="shared" si="4"/>
        <v>93.551999999999992</v>
      </c>
      <c r="Q38" s="23">
        <v>0.79400000000000004</v>
      </c>
      <c r="R38" s="23">
        <v>0.02</v>
      </c>
      <c r="S38" s="23">
        <v>2.1869999999999998</v>
      </c>
      <c r="T38" s="23">
        <v>5.7240000000000002</v>
      </c>
      <c r="U38" s="23">
        <v>0</v>
      </c>
      <c r="V38" s="23">
        <v>6.7389999999999999</v>
      </c>
      <c r="W38" s="23">
        <v>3.9</v>
      </c>
      <c r="X38" s="23">
        <v>3.3570000000000002</v>
      </c>
      <c r="Y38" s="23">
        <v>1.4E-2</v>
      </c>
      <c r="Z38" s="23">
        <v>0.01</v>
      </c>
      <c r="AA38" s="23">
        <v>0.497</v>
      </c>
      <c r="AB38" s="23">
        <v>5.0000000000000001E-3</v>
      </c>
      <c r="AC38" s="23">
        <v>14</v>
      </c>
      <c r="AD38" s="23">
        <v>3.5999999999999997E-2</v>
      </c>
      <c r="AE38" s="23">
        <v>0.49399999999999999</v>
      </c>
      <c r="AF38" s="23">
        <v>0.53</v>
      </c>
      <c r="AG38" s="23">
        <v>1E-3</v>
      </c>
      <c r="AH38" s="23">
        <v>4.1859999999999999</v>
      </c>
      <c r="AI38" s="23">
        <v>34.152999999999999</v>
      </c>
      <c r="AJ38" s="23">
        <v>16.905000000000001</v>
      </c>
      <c r="AL38" s="23"/>
      <c r="AM38" s="23"/>
      <c r="AN38" s="23"/>
      <c r="AO38" s="23"/>
      <c r="AP38" s="23"/>
      <c r="AQ38" s="23"/>
      <c r="AR38" s="23"/>
      <c r="AS38" s="23"/>
      <c r="AT38" s="23"/>
      <c r="AU38" s="23"/>
      <c r="AV38" s="23"/>
      <c r="AW38" s="23"/>
      <c r="AX38" s="23"/>
      <c r="AY38" s="23"/>
      <c r="AZ38" s="23"/>
      <c r="BA38" s="23"/>
      <c r="BB38" s="23"/>
      <c r="BC38" s="23"/>
      <c r="BD38" s="23"/>
      <c r="BE38" s="23"/>
      <c r="BF38" s="23"/>
    </row>
    <row r="39" spans="4:58" x14ac:dyDescent="0.15">
      <c r="D39" s="16">
        <v>1819</v>
      </c>
      <c r="E39" s="19">
        <v>1.3038000000000001</v>
      </c>
      <c r="F39" s="23">
        <f t="shared" si="5"/>
        <v>3.9623799999999997E-3</v>
      </c>
      <c r="G39" s="30">
        <f t="shared" si="1"/>
        <v>-10.429560944745493</v>
      </c>
      <c r="I39" s="23">
        <f t="shared" ca="1" si="2"/>
        <v>-1143.5115646665472</v>
      </c>
      <c r="J39" s="23"/>
      <c r="K39" s="30">
        <f t="shared" si="3"/>
        <v>-4.0613329967698721</v>
      </c>
      <c r="M39" s="142" t="s">
        <v>17</v>
      </c>
      <c r="N39" s="15">
        <v>2007</v>
      </c>
      <c r="O39" s="35">
        <f t="shared" si="0"/>
        <v>160.07000992891921</v>
      </c>
      <c r="P39" s="35">
        <f t="shared" si="4"/>
        <v>79.786000000000001</v>
      </c>
      <c r="Q39" s="23">
        <v>0.79400000000000004</v>
      </c>
      <c r="R39" s="343">
        <v>0</v>
      </c>
      <c r="S39" s="23">
        <v>1.996</v>
      </c>
      <c r="T39" s="23">
        <v>4.7629999999999999</v>
      </c>
      <c r="U39" s="23">
        <v>0</v>
      </c>
      <c r="V39" s="23">
        <v>6.7080000000000002</v>
      </c>
      <c r="W39" s="23">
        <v>3.9</v>
      </c>
      <c r="X39" s="23">
        <v>3.302</v>
      </c>
      <c r="Y39" s="23">
        <v>1.4E-2</v>
      </c>
      <c r="Z39" s="23">
        <v>0.01</v>
      </c>
      <c r="AA39" s="23">
        <v>0</v>
      </c>
      <c r="AB39" s="23">
        <v>5.0000000000000001E-3</v>
      </c>
      <c r="AC39" s="23">
        <v>7.5019999999999998</v>
      </c>
      <c r="AD39" s="23">
        <v>3.5999999999999997E-2</v>
      </c>
      <c r="AE39" s="23">
        <v>0.42199999999999999</v>
      </c>
      <c r="AF39" s="23">
        <v>0.53</v>
      </c>
      <c r="AG39" s="23">
        <v>0</v>
      </c>
      <c r="AH39" s="23">
        <v>1.8140000000000001</v>
      </c>
      <c r="AI39" s="23">
        <v>33.872999999999998</v>
      </c>
      <c r="AJ39" s="23">
        <v>14.117000000000001</v>
      </c>
      <c r="AL39" s="23"/>
      <c r="AM39" s="23"/>
      <c r="AN39" s="23"/>
      <c r="AO39" s="23"/>
      <c r="AP39" s="23"/>
      <c r="AQ39" s="23"/>
      <c r="AR39" s="23"/>
      <c r="AS39" s="23"/>
      <c r="AT39" s="23"/>
      <c r="AU39" s="23"/>
      <c r="AV39" s="23"/>
      <c r="AW39" s="23"/>
      <c r="AX39" s="23"/>
      <c r="AY39" s="23"/>
      <c r="AZ39" s="23"/>
      <c r="BA39" s="23"/>
      <c r="BB39" s="23"/>
      <c r="BC39" s="23"/>
      <c r="BD39" s="23"/>
      <c r="BE39" s="23"/>
      <c r="BF39" s="23"/>
    </row>
    <row r="40" spans="4:58" x14ac:dyDescent="0.15">
      <c r="D40" s="16">
        <v>1820</v>
      </c>
      <c r="E40" s="19">
        <v>1.4040999999999999</v>
      </c>
      <c r="F40" s="23">
        <f t="shared" si="5"/>
        <v>5.3664799999999999E-3</v>
      </c>
      <c r="G40" s="30">
        <f t="shared" si="1"/>
        <v>-10.126223129548531</v>
      </c>
      <c r="I40" s="23">
        <f t="shared" ca="1" si="2"/>
        <v>-1062.5884396578167</v>
      </c>
      <c r="J40" s="23"/>
      <c r="K40" s="30">
        <f t="shared" si="3"/>
        <v>-3.9899629929096685</v>
      </c>
      <c r="M40" s="341" t="s">
        <v>297</v>
      </c>
      <c r="N40" s="15">
        <v>2010</v>
      </c>
      <c r="O40" s="35">
        <f t="shared" si="0"/>
        <v>192.65292993787369</v>
      </c>
      <c r="P40" s="35">
        <v>110.032</v>
      </c>
      <c r="Q40" s="23"/>
      <c r="R40" s="22"/>
      <c r="V40" s="23">
        <v>40.698999999999998</v>
      </c>
    </row>
    <row r="41" spans="4:58" x14ac:dyDescent="0.15">
      <c r="D41" s="16">
        <v>1821</v>
      </c>
      <c r="E41" s="19">
        <v>1.5048999999999999</v>
      </c>
      <c r="F41" s="23">
        <f t="shared" si="5"/>
        <v>6.8713799999999998E-3</v>
      </c>
      <c r="G41" s="30">
        <f t="shared" si="1"/>
        <v>-9.8790191485565835</v>
      </c>
      <c r="I41" s="23">
        <f t="shared" ca="1" si="2"/>
        <v>-998.86109780479273</v>
      </c>
      <c r="J41" s="23"/>
      <c r="K41" s="30">
        <f t="shared" si="3"/>
        <v>-3.930937808438852</v>
      </c>
    </row>
    <row r="42" spans="4:58" x14ac:dyDescent="0.15">
      <c r="D42" s="16">
        <v>1822</v>
      </c>
      <c r="E42" s="19">
        <v>1.6052500000000001</v>
      </c>
      <c r="F42" s="23">
        <f t="shared" si="5"/>
        <v>8.4766300000000006E-3</v>
      </c>
      <c r="G42" s="30">
        <f t="shared" si="1"/>
        <v>-9.669059172723232</v>
      </c>
      <c r="I42" s="23">
        <f t="shared" ca="1" si="2"/>
        <v>-946.54291489534262</v>
      </c>
      <c r="J42" s="23"/>
      <c r="K42" s="30">
        <f t="shared" si="3"/>
        <v>-3.8801724296028208</v>
      </c>
    </row>
    <row r="43" spans="4:58" x14ac:dyDescent="0.15">
      <c r="D43" s="16">
        <v>1823</v>
      </c>
      <c r="E43" s="19">
        <v>1.6058000000000001</v>
      </c>
      <c r="F43" s="23">
        <f t="shared" si="5"/>
        <v>1.008243E-2</v>
      </c>
      <c r="G43" s="30">
        <f t="shared" si="1"/>
        <v>-9.4955658585159135</v>
      </c>
      <c r="I43" s="23">
        <f t="shared" ca="1" si="2"/>
        <v>-905.39576305145783</v>
      </c>
      <c r="J43" s="23"/>
      <c r="K43" s="30">
        <f t="shared" si="3"/>
        <v>-3.8377703910330565</v>
      </c>
    </row>
    <row r="44" spans="4:58" x14ac:dyDescent="0.15">
      <c r="D44" s="16">
        <v>1824</v>
      </c>
      <c r="E44" s="19">
        <v>1.8060400000000001</v>
      </c>
      <c r="F44" s="23">
        <f t="shared" si="5"/>
        <v>1.188847E-2</v>
      </c>
      <c r="G44" s="30">
        <f t="shared" si="1"/>
        <v>-9.3307776729812133</v>
      </c>
      <c r="I44" s="23">
        <f t="shared" ca="1" si="2"/>
        <v>-866.91530068490647</v>
      </c>
      <c r="J44" s="23"/>
      <c r="K44" s="30">
        <f t="shared" si="3"/>
        <v>-3.7971040921895352</v>
      </c>
    </row>
    <row r="45" spans="4:58" x14ac:dyDescent="0.15">
      <c r="D45" s="16">
        <v>1825</v>
      </c>
      <c r="E45" s="19">
        <v>1.80636</v>
      </c>
      <c r="F45" s="23">
        <f t="shared" si="5"/>
        <v>1.369483E-2</v>
      </c>
      <c r="G45" s="30">
        <f t="shared" si="1"/>
        <v>-9.18931483623183</v>
      </c>
      <c r="I45" s="23">
        <f t="shared" ca="1" si="2"/>
        <v>-835.58021944942811</v>
      </c>
      <c r="J45" s="23"/>
      <c r="K45" s="30">
        <f t="shared" si="3"/>
        <v>-3.7618812709100888</v>
      </c>
    </row>
    <row r="46" spans="4:58" x14ac:dyDescent="0.15">
      <c r="D46" s="16">
        <v>1826</v>
      </c>
      <c r="E46" s="19">
        <v>1.80769</v>
      </c>
      <c r="F46" s="23">
        <f t="shared" si="5"/>
        <v>1.5502520000000001E-2</v>
      </c>
      <c r="G46" s="30">
        <f t="shared" si="1"/>
        <v>-9.0653171538640915</v>
      </c>
      <c r="I46" s="23">
        <f t="shared" ca="1" si="2"/>
        <v>-809.59533407677191</v>
      </c>
      <c r="J46" s="23"/>
      <c r="K46" s="30">
        <f t="shared" si="3"/>
        <v>-3.7307636423863313</v>
      </c>
    </row>
    <row r="47" spans="4:58" x14ac:dyDescent="0.15">
      <c r="D47" s="16">
        <v>1827</v>
      </c>
      <c r="E47" s="19">
        <v>1.9084999999999999</v>
      </c>
      <c r="F47" s="23">
        <f t="shared" si="5"/>
        <v>1.7411019999999999E-2</v>
      </c>
      <c r="G47" s="30">
        <f t="shared" si="1"/>
        <v>-8.9492021738155092</v>
      </c>
      <c r="I47" s="23">
        <f t="shared" ca="1" si="2"/>
        <v>-786.02519983737329</v>
      </c>
      <c r="J47" s="23"/>
      <c r="K47" s="30">
        <f t="shared" si="3"/>
        <v>-3.7014134391987015</v>
      </c>
    </row>
    <row r="48" spans="4:58" x14ac:dyDescent="0.15">
      <c r="D48" s="16">
        <v>1828</v>
      </c>
      <c r="E48" s="19">
        <v>1.9091499999999999</v>
      </c>
      <c r="F48" s="23">
        <f t="shared" si="5"/>
        <v>1.9320169999999998E-2</v>
      </c>
      <c r="G48" s="30">
        <f t="shared" si="1"/>
        <v>-8.8451416476097293</v>
      </c>
      <c r="I48" s="23">
        <f t="shared" ca="1" si="2"/>
        <v>-766.14777209624299</v>
      </c>
      <c r="J48" s="23"/>
      <c r="K48" s="30">
        <f t="shared" si="3"/>
        <v>-3.6749335289875011</v>
      </c>
    </row>
    <row r="49" spans="4:11" x14ac:dyDescent="0.15">
      <c r="D49" s="16">
        <v>1829</v>
      </c>
      <c r="E49" s="19">
        <v>1.9094</v>
      </c>
      <c r="F49" s="23">
        <f t="shared" si="5"/>
        <v>2.1229569999999996E-2</v>
      </c>
      <c r="G49" s="30">
        <f t="shared" si="1"/>
        <v>-8.7508820149359501</v>
      </c>
      <c r="I49" s="23">
        <f t="shared" ca="1" si="2"/>
        <v>-749.27270544972271</v>
      </c>
      <c r="J49" s="23"/>
      <c r="K49" s="30">
        <f t="shared" si="3"/>
        <v>-3.6508007699288325</v>
      </c>
    </row>
    <row r="50" spans="4:11" x14ac:dyDescent="0.15">
      <c r="D50" s="16">
        <v>1830</v>
      </c>
      <c r="E50" s="19">
        <v>2.0098600000000002</v>
      </c>
      <c r="F50" s="23">
        <f t="shared" si="5"/>
        <v>2.3239429999999995E-2</v>
      </c>
      <c r="G50" s="30">
        <f t="shared" si="1"/>
        <v>-8.6604116422417654</v>
      </c>
      <c r="I50" s="23">
        <f t="shared" ca="1" si="2"/>
        <v>-733.55842345033307</v>
      </c>
      <c r="J50" s="23"/>
      <c r="K50" s="30">
        <f t="shared" si="3"/>
        <v>-3.6275046010252945</v>
      </c>
    </row>
    <row r="51" spans="4:11" x14ac:dyDescent="0.15">
      <c r="D51" s="16">
        <v>1831</v>
      </c>
      <c r="E51" s="19">
        <v>1.91062</v>
      </c>
      <c r="F51" s="23">
        <f t="shared" si="5"/>
        <v>2.5150049999999993E-2</v>
      </c>
      <c r="G51" s="30">
        <f t="shared" si="1"/>
        <v>-8.5813879136781868</v>
      </c>
      <c r="I51" s="23">
        <f t="shared" ca="1" si="2"/>
        <v>-721.35065428973212</v>
      </c>
      <c r="J51" s="23"/>
      <c r="K51" s="30">
        <f t="shared" si="3"/>
        <v>-3.6070472121601673</v>
      </c>
    </row>
    <row r="52" spans="4:11" x14ac:dyDescent="0.15">
      <c r="D52" s="16">
        <v>1832</v>
      </c>
      <c r="E52" s="19">
        <v>2.1108000000000002</v>
      </c>
      <c r="F52" s="23">
        <f t="shared" si="5"/>
        <v>2.7260849999999993E-2</v>
      </c>
      <c r="G52" s="30">
        <f t="shared" si="1"/>
        <v>-8.5007804492090902</v>
      </c>
      <c r="I52" s="23">
        <f t="shared" ca="1" si="2"/>
        <v>-708.65773068363706</v>
      </c>
      <c r="J52" s="23"/>
      <c r="K52" s="30">
        <f t="shared" si="3"/>
        <v>-3.5860737792202539</v>
      </c>
    </row>
    <row r="53" spans="4:11" x14ac:dyDescent="0.15">
      <c r="D53" s="16">
        <v>1833</v>
      </c>
      <c r="E53" s="19">
        <v>2.3114999999999997</v>
      </c>
      <c r="F53" s="23">
        <f t="shared" si="5"/>
        <v>2.9572349999999994E-2</v>
      </c>
      <c r="G53" s="30">
        <f t="shared" si="1"/>
        <v>-8.4193750139001189</v>
      </c>
      <c r="I53" s="23">
        <f t="shared" ca="1" si="2"/>
        <v>-695.72036032414599</v>
      </c>
      <c r="J53" s="23"/>
      <c r="K53" s="30">
        <f t="shared" si="3"/>
        <v>-3.5647824120080087</v>
      </c>
    </row>
    <row r="54" spans="4:11" x14ac:dyDescent="0.15">
      <c r="D54" s="16">
        <v>1834</v>
      </c>
      <c r="E54" s="19">
        <v>2.3118999999999996</v>
      </c>
      <c r="F54" s="23">
        <f t="shared" si="5"/>
        <v>3.1884249999999996E-2</v>
      </c>
      <c r="G54" s="30">
        <f t="shared" si="1"/>
        <v>-8.3440854171420309</v>
      </c>
      <c r="I54" s="23">
        <f t="shared" ca="1" si="2"/>
        <v>-684.65648809685445</v>
      </c>
      <c r="J54" s="23"/>
      <c r="K54" s="30">
        <f t="shared" si="3"/>
        <v>-3.544990503534772</v>
      </c>
    </row>
    <row r="55" spans="4:11" x14ac:dyDescent="0.15">
      <c r="D55" s="16">
        <v>1835</v>
      </c>
      <c r="E55" s="19">
        <v>2.4123000000000001</v>
      </c>
      <c r="F55" s="23">
        <f t="shared" si="5"/>
        <v>3.4296549999999995E-2</v>
      </c>
      <c r="G55" s="30">
        <f t="shared" si="1"/>
        <v>-8.2711348170199681</v>
      </c>
      <c r="I55" s="23">
        <f t="shared" ca="1" si="2"/>
        <v>-674.30913344803594</v>
      </c>
      <c r="J55" s="23"/>
      <c r="K55" s="30">
        <f t="shared" si="3"/>
        <v>-3.525720371426619</v>
      </c>
    </row>
    <row r="56" spans="4:11" x14ac:dyDescent="0.15">
      <c r="D56" s="16">
        <v>1836</v>
      </c>
      <c r="E56" s="19">
        <v>2.6129600000000002</v>
      </c>
      <c r="F56" s="23">
        <f t="shared" si="5"/>
        <v>3.6909509999999993E-2</v>
      </c>
      <c r="G56" s="30">
        <f t="shared" si="1"/>
        <v>-8.1976908531268986</v>
      </c>
      <c r="I56" s="23">
        <f t="shared" ca="1" si="2"/>
        <v>-663.81064398822218</v>
      </c>
      <c r="J56" s="23"/>
      <c r="K56" s="30">
        <f t="shared" si="3"/>
        <v>-3.5062260701976413</v>
      </c>
    </row>
    <row r="57" spans="4:11" x14ac:dyDescent="0.15">
      <c r="D57" s="16">
        <v>1837</v>
      </c>
      <c r="E57" s="19">
        <v>3.5133000000000001</v>
      </c>
      <c r="F57" s="23">
        <f t="shared" si="5"/>
        <v>4.042280999999999E-2</v>
      </c>
      <c r="G57" s="30">
        <f t="shared" si="1"/>
        <v>-8.1067396607566682</v>
      </c>
      <c r="I57" s="23">
        <f t="shared" ca="1" si="2"/>
        <v>-647.9490698787622</v>
      </c>
      <c r="J57" s="23"/>
      <c r="K57" s="30">
        <f t="shared" si="3"/>
        <v>-3.4819523364694458</v>
      </c>
    </row>
    <row r="58" spans="4:11" x14ac:dyDescent="0.15">
      <c r="D58" s="16">
        <v>1838</v>
      </c>
      <c r="E58" s="19">
        <v>3.8134999999999999</v>
      </c>
      <c r="F58" s="23">
        <f t="shared" si="5"/>
        <v>4.4236309999999987E-2</v>
      </c>
      <c r="G58" s="30">
        <f t="shared" si="1"/>
        <v>-8.0165595012699953</v>
      </c>
      <c r="I58" s="23">
        <f t="shared" ca="1" si="2"/>
        <v>-632.32369047182601</v>
      </c>
      <c r="J58" s="23"/>
      <c r="K58" s="30">
        <f t="shared" si="3"/>
        <v>-3.4577372998257987</v>
      </c>
    </row>
    <row r="59" spans="4:11" x14ac:dyDescent="0.15">
      <c r="D59" s="16">
        <v>1839</v>
      </c>
      <c r="E59" s="19">
        <v>4.1337000000000002</v>
      </c>
      <c r="F59" s="23">
        <f t="shared" si="5"/>
        <v>4.8370009999999991E-2</v>
      </c>
      <c r="G59" s="30">
        <f t="shared" si="1"/>
        <v>-7.9271946195081178</v>
      </c>
      <c r="I59" s="23">
        <f t="shared" ca="1" si="2"/>
        <v>-616.94805953060222</v>
      </c>
      <c r="J59" s="23"/>
      <c r="K59" s="30">
        <f t="shared" si="3"/>
        <v>-3.4335941764185263</v>
      </c>
    </row>
    <row r="60" spans="4:11" x14ac:dyDescent="0.15">
      <c r="D60" s="16">
        <v>1840</v>
      </c>
      <c r="E60" s="19">
        <v>4.4340000000000002</v>
      </c>
      <c r="F60" s="23">
        <f t="shared" si="5"/>
        <v>5.2804009999999992E-2</v>
      </c>
      <c r="G60" s="30">
        <f t="shared" si="1"/>
        <v>-7.8394544040491967</v>
      </c>
      <c r="I60" s="23">
        <f t="shared" ca="1" si="2"/>
        <v>-602.07012146644138</v>
      </c>
      <c r="J60" s="23"/>
      <c r="K60" s="30">
        <f t="shared" si="3"/>
        <v>-3.4097451231781721</v>
      </c>
    </row>
    <row r="61" spans="4:11" x14ac:dyDescent="0.15">
      <c r="D61" s="16">
        <v>1841</v>
      </c>
      <c r="E61" s="19">
        <v>4.5451000000000006</v>
      </c>
      <c r="F61" s="23">
        <f t="shared" si="5"/>
        <v>5.7349109999999995E-2</v>
      </c>
      <c r="G61" s="30">
        <f t="shared" si="1"/>
        <v>-7.7568503100453592</v>
      </c>
      <c r="I61" s="23">
        <f t="shared" ca="1" si="2"/>
        <v>-588.765559460654</v>
      </c>
      <c r="J61" s="23"/>
      <c r="K61" s="30">
        <f t="shared" si="3"/>
        <v>-3.3871587265523537</v>
      </c>
    </row>
    <row r="62" spans="4:11" x14ac:dyDescent="0.15">
      <c r="D62" s="16">
        <v>1842</v>
      </c>
      <c r="E62" s="19">
        <v>5.3562000000000003</v>
      </c>
      <c r="F62" s="23">
        <f t="shared" si="5"/>
        <v>6.270531E-2</v>
      </c>
      <c r="G62" s="30">
        <f t="shared" si="1"/>
        <v>-7.6675215457547043</v>
      </c>
      <c r="I62" s="23">
        <f t="shared" ca="1" si="2"/>
        <v>-573.40099258109876</v>
      </c>
      <c r="J62" s="23"/>
      <c r="K62" s="30">
        <f t="shared" si="3"/>
        <v>-3.3625854685909347</v>
      </c>
    </row>
    <row r="63" spans="4:11" x14ac:dyDescent="0.15">
      <c r="D63" s="16">
        <v>1843</v>
      </c>
      <c r="E63" s="19">
        <v>5.0528000000000004</v>
      </c>
      <c r="F63" s="23">
        <f t="shared" si="5"/>
        <v>6.7758109999999996E-2</v>
      </c>
      <c r="G63" s="30">
        <f t="shared" si="1"/>
        <v>-7.5899858272841509</v>
      </c>
      <c r="I63" s="23">
        <f t="shared" ca="1" si="2"/>
        <v>-561.6490536564952</v>
      </c>
      <c r="J63" s="23"/>
      <c r="K63" s="30">
        <f t="shared" si="3"/>
        <v>-3.3411294538885299</v>
      </c>
    </row>
    <row r="64" spans="4:11" x14ac:dyDescent="0.15">
      <c r="D64" s="16">
        <v>1844</v>
      </c>
      <c r="E64" s="19">
        <v>5.4485999999999999</v>
      </c>
      <c r="F64" s="23">
        <f t="shared" si="5"/>
        <v>7.3206709999999994E-2</v>
      </c>
      <c r="G64" s="30">
        <f t="shared" si="1"/>
        <v>-7.5126022528393834</v>
      </c>
      <c r="I64" s="23">
        <f t="shared" ca="1" si="2"/>
        <v>-549.94372183993892</v>
      </c>
      <c r="J64" s="23"/>
      <c r="K64" s="30">
        <f t="shared" si="3"/>
        <v>-3.3195960307027379</v>
      </c>
    </row>
    <row r="65" spans="4:11" x14ac:dyDescent="0.15">
      <c r="D65" s="16">
        <v>1845</v>
      </c>
      <c r="E65" s="19">
        <v>6.3601999999999999</v>
      </c>
      <c r="F65" s="23">
        <f t="shared" si="5"/>
        <v>7.9566909999999991E-2</v>
      </c>
      <c r="G65" s="30">
        <f t="shared" si="1"/>
        <v>-7.429243582027822</v>
      </c>
      <c r="I65" s="23">
        <f t="shared" ca="1" si="2"/>
        <v>-536.40800621096514</v>
      </c>
      <c r="J65" s="23"/>
      <c r="K65" s="30">
        <f t="shared" si="3"/>
        <v>-3.2962641741173035</v>
      </c>
    </row>
    <row r="66" spans="4:11" x14ac:dyDescent="0.15">
      <c r="D66" s="16">
        <v>1846</v>
      </c>
      <c r="E66" s="19">
        <v>6.7675999999999998</v>
      </c>
      <c r="F66" s="23">
        <f t="shared" si="5"/>
        <v>8.6334509999999989E-2</v>
      </c>
      <c r="G66" s="30">
        <f t="shared" si="1"/>
        <v>-7.3475619893606252</v>
      </c>
      <c r="I66" s="23">
        <f t="shared" ca="1" si="2"/>
        <v>-523.38603906388289</v>
      </c>
      <c r="J66" s="23"/>
      <c r="K66" s="30">
        <f t="shared" si="3"/>
        <v>-3.2732628684592293</v>
      </c>
    </row>
    <row r="67" spans="4:11" x14ac:dyDescent="0.15">
      <c r="D67" s="16">
        <v>1847</v>
      </c>
      <c r="E67" s="19">
        <v>7.1730999999999998</v>
      </c>
      <c r="F67" s="23">
        <f t="shared" si="5"/>
        <v>9.3507609999999991E-2</v>
      </c>
      <c r="G67" s="30">
        <f t="shared" si="1"/>
        <v>-7.2676950467642873</v>
      </c>
      <c r="I67" s="23">
        <f t="shared" ca="1" si="2"/>
        <v>-510.91996355620176</v>
      </c>
      <c r="J67" s="23"/>
      <c r="K67" s="30">
        <f t="shared" si="3"/>
        <v>-3.2506373997935176</v>
      </c>
    </row>
    <row r="68" spans="4:11" x14ac:dyDescent="0.15">
      <c r="D68" s="16">
        <v>1848</v>
      </c>
      <c r="E68" s="19">
        <v>7.0912999999999995</v>
      </c>
      <c r="F68" s="23">
        <f t="shared" si="5"/>
        <v>0.10059890999999999</v>
      </c>
      <c r="G68" s="30">
        <f t="shared" si="1"/>
        <v>-7.1945435335111805</v>
      </c>
      <c r="I68" s="23">
        <f t="shared" ca="1" si="2"/>
        <v>-500.51106209371028</v>
      </c>
      <c r="J68" s="23"/>
      <c r="K68" s="30">
        <f t="shared" si="3"/>
        <v>-3.2297951519385939</v>
      </c>
    </row>
    <row r="69" spans="4:11" x14ac:dyDescent="0.15">
      <c r="D69" s="16">
        <v>1849</v>
      </c>
      <c r="E69" s="19">
        <v>7.4038000000000004</v>
      </c>
      <c r="F69" s="23">
        <f t="shared" si="5"/>
        <v>0.10800270999999999</v>
      </c>
      <c r="G69" s="30">
        <f t="shared" si="1"/>
        <v>-7.1234733879267624</v>
      </c>
      <c r="I69" s="23">
        <f t="shared" ca="1" si="2"/>
        <v>-490.73975732499457</v>
      </c>
      <c r="J69" s="23"/>
      <c r="K69" s="30">
        <f t="shared" si="3"/>
        <v>-3.2094350563342902</v>
      </c>
    </row>
    <row r="70" spans="4:11" x14ac:dyDescent="0.15">
      <c r="D70" s="16">
        <v>1850</v>
      </c>
      <c r="E70" s="19">
        <v>7.8117999999999999</v>
      </c>
      <c r="F70" s="23">
        <f t="shared" si="5"/>
        <v>0.11581450999999998</v>
      </c>
      <c r="G70" s="30">
        <f t="shared" si="1"/>
        <v>-7.053581551098838</v>
      </c>
      <c r="I70" s="23">
        <f t="shared" ca="1" si="2"/>
        <v>-481.32941029511858</v>
      </c>
      <c r="J70" s="23"/>
      <c r="K70" s="30">
        <f t="shared" si="3"/>
        <v>-3.1893043315440024</v>
      </c>
    </row>
    <row r="71" spans="4:11" x14ac:dyDescent="0.15">
      <c r="D71" s="16">
        <v>1851</v>
      </c>
      <c r="E71" s="19">
        <v>9.2437000000000005</v>
      </c>
      <c r="F71" s="23">
        <f t="shared" si="5"/>
        <v>0.12505820999999998</v>
      </c>
      <c r="G71" s="30">
        <f t="shared" si="1"/>
        <v>-6.9767231148782081</v>
      </c>
      <c r="I71" s="23">
        <f t="shared" ca="1" si="2"/>
        <v>-469.78494693084303</v>
      </c>
      <c r="J71" s="23"/>
      <c r="K71" s="30">
        <f t="shared" si="3"/>
        <v>-3.1670412449819678</v>
      </c>
    </row>
    <row r="72" spans="4:11" x14ac:dyDescent="0.15">
      <c r="D72" s="16">
        <v>1852</v>
      </c>
      <c r="E72" s="19">
        <v>10.2721</v>
      </c>
      <c r="F72" s="23">
        <f t="shared" si="5"/>
        <v>0.13533030999999998</v>
      </c>
      <c r="G72" s="30">
        <f t="shared" si="1"/>
        <v>-6.8977072254980207</v>
      </c>
      <c r="I72" s="23">
        <f t="shared" ca="1" si="2"/>
        <v>-457.57957918998363</v>
      </c>
      <c r="J72" s="23"/>
      <c r="K72" s="30">
        <f t="shared" si="3"/>
        <v>-3.1440136144298902</v>
      </c>
    </row>
    <row r="73" spans="4:11" x14ac:dyDescent="0.15">
      <c r="D73" s="16">
        <v>1853</v>
      </c>
      <c r="E73" s="19">
        <v>11.703899999999999</v>
      </c>
      <c r="F73" s="23">
        <f t="shared" si="5"/>
        <v>0.14703420999999997</v>
      </c>
      <c r="G73" s="30">
        <f t="shared" si="1"/>
        <v>-6.8146731143452977</v>
      </c>
      <c r="I73" s="23">
        <f t="shared" ca="1" si="2"/>
        <v>-444.14328768896212</v>
      </c>
      <c r="J73" s="23"/>
      <c r="K73" s="30">
        <f t="shared" si="3"/>
        <v>-3.1196597740688361</v>
      </c>
    </row>
    <row r="74" spans="4:11" x14ac:dyDescent="0.15">
      <c r="D74" s="16">
        <v>1854</v>
      </c>
      <c r="E74" s="19">
        <v>13.349900000000002</v>
      </c>
      <c r="F74" s="23">
        <f t="shared" si="5"/>
        <v>0.16038410999999997</v>
      </c>
      <c r="G74" s="30">
        <f t="shared" si="1"/>
        <v>-6.7276671127891978</v>
      </c>
      <c r="H74" s="33"/>
      <c r="I74" s="23">
        <f t="shared" ca="1" si="2"/>
        <v>-429.49026536842575</v>
      </c>
      <c r="J74" s="23"/>
      <c r="K74" s="30">
        <f t="shared" si="3"/>
        <v>-3.0939672367318032</v>
      </c>
    </row>
    <row r="75" spans="4:11" x14ac:dyDescent="0.15">
      <c r="D75" s="16">
        <v>1855</v>
      </c>
      <c r="E75" s="19">
        <v>15.2638</v>
      </c>
      <c r="F75" s="23">
        <f t="shared" si="5"/>
        <v>0.17564790999999996</v>
      </c>
      <c r="G75" s="30">
        <f t="shared" si="1"/>
        <v>-6.636643302451958</v>
      </c>
      <c r="H75" s="33"/>
      <c r="I75" s="23">
        <f t="shared" ca="1" si="2"/>
        <v>-413.6064458016308</v>
      </c>
      <c r="J75" s="23"/>
      <c r="K75" s="30">
        <f t="shared" si="3"/>
        <v>-3.066894257969305</v>
      </c>
    </row>
    <row r="76" spans="4:11" x14ac:dyDescent="0.15">
      <c r="D76" s="16">
        <v>1856</v>
      </c>
      <c r="E76" s="19">
        <v>16.752300000000002</v>
      </c>
      <c r="F76" s="23">
        <f t="shared" si="5"/>
        <v>0.19240020999999996</v>
      </c>
      <c r="G76" s="30">
        <f t="shared" si="1"/>
        <v>-6.5454220689279961</v>
      </c>
      <c r="H76" s="33"/>
      <c r="I76" s="23">
        <f t="shared" ca="1" si="2"/>
        <v>-397.66214851481436</v>
      </c>
      <c r="J76" s="23"/>
      <c r="K76" s="30">
        <f t="shared" si="3"/>
        <v>-3.0395595220577256</v>
      </c>
    </row>
    <row r="77" spans="4:11" x14ac:dyDescent="0.15">
      <c r="D77" s="16">
        <v>1857</v>
      </c>
      <c r="E77" s="19">
        <v>18.073799999999999</v>
      </c>
      <c r="F77" s="23">
        <f t="shared" si="5"/>
        <v>0.21047400999999996</v>
      </c>
      <c r="G77" s="30">
        <f t="shared" si="1"/>
        <v>-6.4555025525283529</v>
      </c>
      <c r="H77" s="33"/>
      <c r="I77" s="23">
        <f t="shared" ca="1" si="2"/>
        <v>-382.11661332427866</v>
      </c>
      <c r="J77" s="23"/>
      <c r="K77" s="30">
        <f t="shared" si="3"/>
        <v>-3.0124118273534646</v>
      </c>
    </row>
    <row r="78" spans="4:11" x14ac:dyDescent="0.15">
      <c r="D78" s="16">
        <v>1858</v>
      </c>
      <c r="E78" s="19">
        <v>19.133799999999997</v>
      </c>
      <c r="F78" s="23">
        <f t="shared" si="5"/>
        <v>0.22960780999999997</v>
      </c>
      <c r="G78" s="30">
        <f t="shared" si="1"/>
        <v>-6.3683491464613544</v>
      </c>
      <c r="H78" s="33"/>
      <c r="I78" s="23">
        <f t="shared" ca="1" si="2"/>
        <v>-367.41843577710461</v>
      </c>
      <c r="J78" s="23"/>
      <c r="K78" s="30">
        <f t="shared" si="3"/>
        <v>-2.9859029566410014</v>
      </c>
    </row>
    <row r="79" spans="4:11" x14ac:dyDescent="0.15">
      <c r="D79" s="16">
        <v>1859</v>
      </c>
      <c r="E79" s="19">
        <v>17.450900000000001</v>
      </c>
      <c r="F79" s="23">
        <f t="shared" si="5"/>
        <v>0.24705870999999996</v>
      </c>
      <c r="G79" s="30">
        <f t="shared" si="1"/>
        <v>-6.2949654724498592</v>
      </c>
      <c r="H79" s="33"/>
      <c r="I79" s="23">
        <f t="shared" ca="1" si="2"/>
        <v>-356.93841524507206</v>
      </c>
      <c r="J79" s="23"/>
      <c r="K79" s="30">
        <f t="shared" si="3"/>
        <v>-2.9634296021563489</v>
      </c>
    </row>
    <row r="80" spans="4:11" x14ac:dyDescent="0.15">
      <c r="D80" s="16">
        <v>1860</v>
      </c>
      <c r="E80" s="19">
        <v>22.398500000000002</v>
      </c>
      <c r="F80" s="23">
        <f t="shared" si="5"/>
        <v>0.26945720999999995</v>
      </c>
      <c r="G80" s="30">
        <f t="shared" si="1"/>
        <v>-6.2080145360838284</v>
      </c>
      <c r="H80" s="33"/>
      <c r="I80" s="23">
        <f t="shared" ca="1" si="2"/>
        <v>-342.3022613441135</v>
      </c>
      <c r="J80" s="23"/>
      <c r="K80" s="30">
        <f t="shared" si="3"/>
        <v>-2.9366171399893788</v>
      </c>
    </row>
    <row r="81" spans="4:12" x14ac:dyDescent="0.15">
      <c r="D81" s="16">
        <v>1861</v>
      </c>
      <c r="E81" s="19">
        <v>23.289300000000001</v>
      </c>
      <c r="F81" s="23">
        <f t="shared" si="5"/>
        <v>0.29274650999999996</v>
      </c>
      <c r="G81" s="30">
        <f t="shared" si="1"/>
        <v>-6.1249430378280803</v>
      </c>
      <c r="H81" s="33"/>
      <c r="I81" s="23">
        <f t="shared" ca="1" si="2"/>
        <v>-328.85451684819964</v>
      </c>
      <c r="J81" s="23"/>
      <c r="K81" s="30">
        <f t="shared" si="3"/>
        <v>-2.9108107840081927</v>
      </c>
    </row>
    <row r="82" spans="4:12" x14ac:dyDescent="0.15">
      <c r="D82" s="16">
        <v>1862</v>
      </c>
      <c r="E82" s="19">
        <v>25.6996</v>
      </c>
      <c r="F82" s="23">
        <f t="shared" si="5"/>
        <v>0.31844610999999995</v>
      </c>
      <c r="G82" s="30">
        <f t="shared" si="1"/>
        <v>-6.0406047928520747</v>
      </c>
      <c r="H82" s="33"/>
      <c r="I82" s="23">
        <f t="shared" ca="1" si="2"/>
        <v>-315.01872293034194</v>
      </c>
      <c r="J82" s="23"/>
      <c r="K82" s="30">
        <f t="shared" si="3"/>
        <v>-2.8844170019251694</v>
      </c>
    </row>
    <row r="83" spans="4:12" x14ac:dyDescent="0.15">
      <c r="D83" s="16">
        <v>1863</v>
      </c>
      <c r="E83" s="19">
        <v>27.4651</v>
      </c>
      <c r="F83" s="23">
        <f t="shared" si="5"/>
        <v>0.34591120999999997</v>
      </c>
      <c r="G83" s="30">
        <f t="shared" ref="G83:G146" si="6" xml:space="preserve"> - LN(F$1/F83 - 1)</f>
        <v>-5.957670630766458</v>
      </c>
      <c r="H83" s="33"/>
      <c r="I83" s="23">
        <f t="shared" ref="I83:I146" ca="1" si="7" xml:space="preserve"> (G83/LN(81)*IF(D83&lt;E$6,F$2-E$2,F$5-E$5) - D83 + IF(D83&lt;E$6,AVERAGE(E$2:F$2),AVERAGE(E$5:F$5)))*12</f>
        <v>-301.61304937140267</v>
      </c>
      <c r="J83" s="23"/>
      <c r="K83" s="30">
        <f t="shared" ref="K83:K146" si="8">NORMSINV(F83/F$10)</f>
        <v>-2.8582683240813229</v>
      </c>
    </row>
    <row r="84" spans="4:12" x14ac:dyDescent="0.15">
      <c r="D84" s="16">
        <v>1864</v>
      </c>
      <c r="E84" s="19">
        <v>30.718699999999998</v>
      </c>
      <c r="F84" s="23">
        <f t="shared" ref="F84:F147" si="9">F83+E84/1000</f>
        <v>0.37662990999999996</v>
      </c>
      <c r="G84" s="30">
        <f t="shared" si="6"/>
        <v>-5.8723600500213839</v>
      </c>
      <c r="H84" s="34"/>
      <c r="I84" s="23">
        <f t="shared" ca="1" si="7"/>
        <v>-287.47939454173775</v>
      </c>
      <c r="J84" s="23"/>
      <c r="K84" s="30">
        <f t="shared" si="8"/>
        <v>-2.8311652831749652</v>
      </c>
      <c r="L84" s="34"/>
    </row>
    <row r="85" spans="4:12" x14ac:dyDescent="0.15">
      <c r="D85" s="16">
        <v>1865</v>
      </c>
      <c r="E85" s="19">
        <v>34.377500000000005</v>
      </c>
      <c r="F85" s="23">
        <f t="shared" si="9"/>
        <v>0.41100740999999996</v>
      </c>
      <c r="G85" s="30">
        <f t="shared" si="6"/>
        <v>-5.7847547527332424</v>
      </c>
      <c r="H85" s="34"/>
      <c r="I85" s="23">
        <f t="shared" ca="1" si="7"/>
        <v>-272.6427866956401</v>
      </c>
      <c r="J85" s="23"/>
      <c r="K85" s="30">
        <f t="shared" si="8"/>
        <v>-2.8031123020993776</v>
      </c>
      <c r="L85" s="34"/>
    </row>
    <row r="86" spans="4:12" x14ac:dyDescent="0.15">
      <c r="D86" s="16">
        <v>1866</v>
      </c>
      <c r="E86" s="19">
        <v>33.558999999999997</v>
      </c>
      <c r="F86" s="23">
        <f t="shared" si="9"/>
        <v>0.44456640999999997</v>
      </c>
      <c r="G86" s="30">
        <f t="shared" si="6"/>
        <v>-5.7060155179663328</v>
      </c>
      <c r="H86" s="34"/>
      <c r="I86" s="23">
        <f t="shared" ca="1" si="7"/>
        <v>-260.52216806922206</v>
      </c>
      <c r="J86" s="23"/>
      <c r="K86" s="30">
        <f t="shared" si="8"/>
        <v>-2.7777035104839891</v>
      </c>
      <c r="L86" s="34"/>
    </row>
    <row r="87" spans="4:12" x14ac:dyDescent="0.15">
      <c r="D87" s="16">
        <v>1867</v>
      </c>
      <c r="E87" s="19">
        <v>37.612899999999996</v>
      </c>
      <c r="F87" s="23">
        <f t="shared" si="9"/>
        <v>0.48217930999999997</v>
      </c>
      <c r="G87" s="30">
        <f t="shared" si="6"/>
        <v>-5.6245174783695147</v>
      </c>
      <c r="H87" s="34"/>
      <c r="I87" s="23">
        <f t="shared" ca="1" si="7"/>
        <v>-247.55642973388149</v>
      </c>
      <c r="J87" s="23"/>
      <c r="K87" s="30">
        <f t="shared" si="8"/>
        <v>-2.7512062147833047</v>
      </c>
      <c r="L87" s="34"/>
    </row>
    <row r="88" spans="4:12" x14ac:dyDescent="0.15">
      <c r="D88" s="16">
        <v>1868</v>
      </c>
      <c r="E88" s="19">
        <v>40.604999999999997</v>
      </c>
      <c r="F88" s="23">
        <f t="shared" si="9"/>
        <v>0.52278430999999992</v>
      </c>
      <c r="G88" s="30">
        <f t="shared" si="6"/>
        <v>-5.543360659336817</v>
      </c>
      <c r="H88" s="34"/>
      <c r="I88" s="23">
        <f t="shared" ca="1" si="7"/>
        <v>-234.69521935234843</v>
      </c>
      <c r="J88" s="23"/>
      <c r="K88" s="30">
        <f t="shared" si="8"/>
        <v>-2.72461549371359</v>
      </c>
      <c r="L88" s="34"/>
    </row>
    <row r="89" spans="4:12" x14ac:dyDescent="0.15">
      <c r="D89" s="16">
        <v>1869</v>
      </c>
      <c r="E89" s="19">
        <v>42.879800000000003</v>
      </c>
      <c r="F89" s="23">
        <f t="shared" si="9"/>
        <v>0.56566410999999994</v>
      </c>
      <c r="G89" s="30">
        <f t="shared" si="6"/>
        <v>-5.4642081398674085</v>
      </c>
      <c r="H89" s="34"/>
      <c r="I89" s="23">
        <f t="shared" ca="1" si="7"/>
        <v>-222.44799697212602</v>
      </c>
      <c r="J89" s="23"/>
      <c r="K89" s="30">
        <f t="shared" si="8"/>
        <v>-2.6984811123704229</v>
      </c>
      <c r="L89" s="34"/>
    </row>
    <row r="90" spans="4:12" x14ac:dyDescent="0.15">
      <c r="D90" s="16">
        <v>1870</v>
      </c>
      <c r="E90" s="19">
        <v>43.360499999999995</v>
      </c>
      <c r="F90" s="23">
        <f t="shared" si="9"/>
        <v>0.60902460999999997</v>
      </c>
      <c r="G90" s="30">
        <f t="shared" si="6"/>
        <v>-5.3900251830629342</v>
      </c>
      <c r="H90" s="34"/>
      <c r="I90" s="23">
        <f t="shared" ca="1" si="7"/>
        <v>-211.72312778895866</v>
      </c>
      <c r="J90" s="23"/>
      <c r="K90" s="30">
        <f t="shared" si="8"/>
        <v>-2.6738044661344027</v>
      </c>
      <c r="L90" s="34"/>
    </row>
    <row r="91" spans="4:12" x14ac:dyDescent="0.15">
      <c r="D91" s="16">
        <v>1871</v>
      </c>
      <c r="E91" s="19">
        <v>49.258299999999998</v>
      </c>
      <c r="F91" s="23">
        <f t="shared" si="9"/>
        <v>0.65828290999999994</v>
      </c>
      <c r="G91" s="30">
        <f t="shared" si="6"/>
        <v>-5.3118800330224616</v>
      </c>
      <c r="H91" s="34"/>
      <c r="I91" s="23">
        <f t="shared" ca="1" si="7"/>
        <v>-199.78449837237258</v>
      </c>
      <c r="J91" s="23"/>
      <c r="K91" s="30">
        <f t="shared" si="8"/>
        <v>-2.6476145046666519</v>
      </c>
      <c r="L91" s="34"/>
    </row>
    <row r="92" spans="4:12" x14ac:dyDescent="0.15">
      <c r="D92" s="16">
        <v>1872</v>
      </c>
      <c r="E92" s="19">
        <v>54.122399999999999</v>
      </c>
      <c r="F92" s="23">
        <f t="shared" si="9"/>
        <v>0.71240530999999996</v>
      </c>
      <c r="G92" s="30">
        <f t="shared" si="6"/>
        <v>-5.2324621891460197</v>
      </c>
      <c r="H92" s="34"/>
      <c r="I92" s="23">
        <f t="shared" ca="1" si="7"/>
        <v>-187.45599772149944</v>
      </c>
      <c r="J92" s="23"/>
      <c r="K92" s="30">
        <f t="shared" si="8"/>
        <v>-2.6207887156032896</v>
      </c>
      <c r="L92" s="34"/>
    </row>
    <row r="93" spans="4:12" x14ac:dyDescent="0.15">
      <c r="D93" s="16">
        <v>1873</v>
      </c>
      <c r="E93" s="19">
        <v>59.452200000000005</v>
      </c>
      <c r="F93" s="23">
        <f t="shared" si="9"/>
        <v>0.77185750999999991</v>
      </c>
      <c r="G93" s="30">
        <f t="shared" si="6"/>
        <v>-5.1518634665501075</v>
      </c>
      <c r="H93" s="34"/>
      <c r="I93" s="23">
        <f t="shared" ca="1" si="7"/>
        <v>-174.76575206102643</v>
      </c>
      <c r="J93" s="23"/>
      <c r="K93" s="30">
        <f t="shared" si="8"/>
        <v>-2.5933440229980071</v>
      </c>
      <c r="L93" s="34"/>
    </row>
    <row r="94" spans="4:12" x14ac:dyDescent="0.15">
      <c r="D94" s="16">
        <v>1874</v>
      </c>
      <c r="E94" s="19">
        <v>60.413300000000007</v>
      </c>
      <c r="F94" s="23">
        <f t="shared" si="9"/>
        <v>0.83227080999999992</v>
      </c>
      <c r="G94" s="30">
        <f t="shared" si="6"/>
        <v>-5.0760523692556472</v>
      </c>
      <c r="H94" s="34"/>
      <c r="I94" s="23">
        <f t="shared" ca="1" si="7"/>
        <v>-163.54212573416044</v>
      </c>
      <c r="J94" s="23"/>
      <c r="K94" s="30">
        <f t="shared" si="8"/>
        <v>-2.5673232530169385</v>
      </c>
      <c r="L94" s="34"/>
    </row>
    <row r="95" spans="4:12" x14ac:dyDescent="0.15">
      <c r="D95" s="16">
        <v>1875</v>
      </c>
      <c r="E95" s="19">
        <v>62.467700000000001</v>
      </c>
      <c r="F95" s="23">
        <f t="shared" si="9"/>
        <v>0.89473850999999993</v>
      </c>
      <c r="G95" s="30">
        <f t="shared" si="6"/>
        <v>-5.0032099381256225</v>
      </c>
      <c r="H95" s="34"/>
      <c r="I95" s="23">
        <f t="shared" ca="1" si="7"/>
        <v>-153.22790708179855</v>
      </c>
      <c r="J95" s="23"/>
      <c r="K95" s="30">
        <f t="shared" si="8"/>
        <v>-2.5421293684801514</v>
      </c>
      <c r="L95" s="34"/>
    </row>
    <row r="96" spans="4:12" x14ac:dyDescent="0.15">
      <c r="D96" s="16">
        <v>1876</v>
      </c>
      <c r="E96" s="19">
        <v>64.8506</v>
      </c>
      <c r="F96" s="23">
        <f t="shared" si="9"/>
        <v>0.95958910999999991</v>
      </c>
      <c r="G96" s="30">
        <f t="shared" si="6"/>
        <v>-4.9327493442332617</v>
      </c>
      <c r="H96" s="34"/>
      <c r="I96" s="23">
        <f t="shared" ca="1" si="7"/>
        <v>-143.6433296027335</v>
      </c>
      <c r="J96" s="23"/>
      <c r="K96" s="30">
        <f t="shared" si="8"/>
        <v>-2.517576873063383</v>
      </c>
      <c r="L96" s="34"/>
    </row>
    <row r="97" spans="4:12" x14ac:dyDescent="0.15">
      <c r="D97" s="16">
        <v>1877</v>
      </c>
      <c r="E97" s="19">
        <v>63.746300000000005</v>
      </c>
      <c r="F97" s="23">
        <f t="shared" si="9"/>
        <v>1.0233354099999998</v>
      </c>
      <c r="G97" s="30">
        <f t="shared" si="6"/>
        <v>-4.8679530862355387</v>
      </c>
      <c r="H97" s="34"/>
      <c r="I97" s="23">
        <f t="shared" ca="1" si="7"/>
        <v>-135.79393898814669</v>
      </c>
      <c r="J97" s="23"/>
      <c r="K97" s="30">
        <f t="shared" si="8"/>
        <v>-2.4948370305228513</v>
      </c>
      <c r="L97" s="34"/>
    </row>
    <row r="98" spans="4:12" x14ac:dyDescent="0.15">
      <c r="D98" s="16">
        <v>1878</v>
      </c>
      <c r="E98" s="19">
        <v>66.4602</v>
      </c>
      <c r="F98" s="23">
        <f t="shared" si="9"/>
        <v>1.0897956099999999</v>
      </c>
      <c r="G98" s="30">
        <f t="shared" si="6"/>
        <v>-4.8045307334241336</v>
      </c>
      <c r="H98" s="34"/>
      <c r="I98" s="23">
        <f t="shared" ca="1" si="7"/>
        <v>-128.36542423203082</v>
      </c>
      <c r="J98" s="23"/>
      <c r="K98" s="30">
        <f t="shared" si="8"/>
        <v>-2.472427326376947</v>
      </c>
      <c r="L98" s="34"/>
    </row>
    <row r="99" spans="4:12" x14ac:dyDescent="0.15">
      <c r="D99" s="16">
        <v>1879</v>
      </c>
      <c r="E99" s="19">
        <v>70.651300000000006</v>
      </c>
      <c r="F99" s="23">
        <f t="shared" si="9"/>
        <v>1.1604469099999999</v>
      </c>
      <c r="G99" s="30">
        <f t="shared" si="6"/>
        <v>-4.7411844375192027</v>
      </c>
      <c r="H99" s="34"/>
      <c r="I99" s="23">
        <f t="shared" ca="1" si="7"/>
        <v>-120.96020840230813</v>
      </c>
      <c r="J99" s="23"/>
      <c r="K99" s="30">
        <f t="shared" si="8"/>
        <v>-2.4498919262448733</v>
      </c>
      <c r="L99" s="34"/>
    </row>
    <row r="100" spans="4:12" x14ac:dyDescent="0.15">
      <c r="D100" s="16">
        <v>1880</v>
      </c>
      <c r="E100" s="19">
        <v>77.658600000000007</v>
      </c>
      <c r="F100" s="23">
        <f t="shared" si="9"/>
        <v>1.2381055099999998</v>
      </c>
      <c r="G100" s="30">
        <f t="shared" si="6"/>
        <v>-4.6758229590288716</v>
      </c>
      <c r="H100" s="34"/>
      <c r="I100" s="23">
        <f t="shared" ca="1" si="7"/>
        <v>-112.93767071583898</v>
      </c>
      <c r="J100" s="23"/>
      <c r="K100" s="30">
        <f t="shared" si="8"/>
        <v>-2.4264771832747281</v>
      </c>
      <c r="L100" s="34"/>
    </row>
    <row r="101" spans="4:12" x14ac:dyDescent="0.15">
      <c r="D101" s="16">
        <v>1881</v>
      </c>
      <c r="E101" s="19">
        <v>81.750900000000001</v>
      </c>
      <c r="F101" s="23">
        <f t="shared" si="9"/>
        <v>1.3198564099999999</v>
      </c>
      <c r="G101" s="30">
        <f t="shared" si="6"/>
        <v>-4.6112669673075546</v>
      </c>
      <c r="H101" s="34"/>
      <c r="I101" s="23">
        <f t="shared" ca="1" si="7"/>
        <v>-105.16188217827494</v>
      </c>
      <c r="J101" s="23"/>
      <c r="K101" s="30">
        <f t="shared" si="8"/>
        <v>-2.4031863828707478</v>
      </c>
      <c r="L101" s="34"/>
    </row>
    <row r="102" spans="4:12" x14ac:dyDescent="0.15">
      <c r="D102" s="16">
        <v>1882</v>
      </c>
      <c r="E102" s="19">
        <v>86.301200000000009</v>
      </c>
      <c r="F102" s="23">
        <f t="shared" si="9"/>
        <v>1.4061576099999999</v>
      </c>
      <c r="G102" s="30">
        <f t="shared" si="6"/>
        <v>-4.5472789274220098</v>
      </c>
      <c r="H102" s="34"/>
      <c r="I102" s="23">
        <f t="shared" ca="1" si="7"/>
        <v>-97.56007741981557</v>
      </c>
      <c r="J102" s="23"/>
      <c r="K102" s="30">
        <f t="shared" si="8"/>
        <v>-2.3799363928858313</v>
      </c>
      <c r="L102" s="34"/>
    </row>
    <row r="103" spans="4:12" x14ac:dyDescent="0.15">
      <c r="D103" s="16">
        <v>1883</v>
      </c>
      <c r="E103" s="19">
        <v>92.9983</v>
      </c>
      <c r="F103" s="23">
        <f t="shared" si="9"/>
        <v>1.49915591</v>
      </c>
      <c r="G103" s="30">
        <f t="shared" si="6"/>
        <v>-4.4825365620873008</v>
      </c>
      <c r="H103" s="34"/>
      <c r="I103" s="23">
        <f t="shared" ca="1" si="7"/>
        <v>-89.727196038206785</v>
      </c>
      <c r="J103" s="23"/>
      <c r="K103" s="30">
        <f t="shared" si="8"/>
        <v>-2.3562433185999128</v>
      </c>
      <c r="L103" s="34"/>
    </row>
    <row r="104" spans="4:12" x14ac:dyDescent="0.15">
      <c r="D104" s="16">
        <v>1884</v>
      </c>
      <c r="E104" s="19">
        <v>94.842700000000008</v>
      </c>
      <c r="F104" s="23">
        <f t="shared" si="9"/>
        <v>1.5939986100000001</v>
      </c>
      <c r="G104" s="30">
        <f t="shared" si="6"/>
        <v>-4.420477639522054</v>
      </c>
      <c r="H104" s="34"/>
      <c r="I104" s="23">
        <f t="shared" ca="1" si="7"/>
        <v>-82.716348295097305</v>
      </c>
      <c r="J104" s="23"/>
      <c r="K104" s="30">
        <f t="shared" si="8"/>
        <v>-2.3333701277180312</v>
      </c>
      <c r="L104" s="34"/>
    </row>
    <row r="105" spans="4:12" x14ac:dyDescent="0.15">
      <c r="D105" s="16">
        <v>1885</v>
      </c>
      <c r="E105" s="19">
        <v>97.326300000000003</v>
      </c>
      <c r="F105" s="23">
        <f t="shared" si="9"/>
        <v>1.6913249100000001</v>
      </c>
      <c r="G105" s="30">
        <f t="shared" si="6"/>
        <v>-4.3604764510662175</v>
      </c>
      <c r="H105" s="34"/>
      <c r="I105" s="23">
        <f t="shared" ca="1" si="7"/>
        <v>-76.335857448830211</v>
      </c>
      <c r="J105" s="23"/>
      <c r="K105" s="30">
        <f t="shared" si="8"/>
        <v>-2.3111020691329727</v>
      </c>
      <c r="L105" s="34"/>
    </row>
    <row r="106" spans="4:12" x14ac:dyDescent="0.15">
      <c r="D106" s="16">
        <v>1886</v>
      </c>
      <c r="E106" s="19">
        <v>98.034099999999995</v>
      </c>
      <c r="F106" s="23">
        <f t="shared" si="9"/>
        <v>1.7893590100000001</v>
      </c>
      <c r="G106" s="30">
        <f t="shared" si="6"/>
        <v>-4.3033905887290667</v>
      </c>
      <c r="H106" s="34"/>
      <c r="I106" s="23">
        <f t="shared" ca="1" si="7"/>
        <v>-70.848434330345299</v>
      </c>
      <c r="J106" s="23"/>
      <c r="K106" s="30">
        <f t="shared" si="8"/>
        <v>-2.2897739550462459</v>
      </c>
      <c r="L106" s="34"/>
    </row>
    <row r="107" spans="4:12" x14ac:dyDescent="0.15">
      <c r="D107" s="16">
        <v>1887</v>
      </c>
      <c r="E107" s="19">
        <v>101.69019999999999</v>
      </c>
      <c r="F107" s="23">
        <f t="shared" si="9"/>
        <v>1.89104921</v>
      </c>
      <c r="G107" s="30">
        <f t="shared" si="6"/>
        <v>-4.2473474432684544</v>
      </c>
      <c r="H107" s="34"/>
      <c r="I107" s="23">
        <f t="shared" ca="1" si="7"/>
        <v>-65.680432351638046</v>
      </c>
      <c r="J107" s="23"/>
      <c r="K107" s="30">
        <f t="shared" si="8"/>
        <v>-2.2686987540177617</v>
      </c>
      <c r="L107" s="34"/>
    </row>
    <row r="108" spans="4:12" x14ac:dyDescent="0.15">
      <c r="D108" s="16">
        <v>1888</v>
      </c>
      <c r="E108" s="19">
        <v>109.91480000000001</v>
      </c>
      <c r="F108" s="23">
        <f t="shared" si="9"/>
        <v>2.0009640100000001</v>
      </c>
      <c r="G108" s="30">
        <f t="shared" si="6"/>
        <v>-4.1900185483719445</v>
      </c>
      <c r="H108" s="39"/>
      <c r="I108" s="23">
        <f t="shared" ca="1" si="7"/>
        <v>-60.118559745607854</v>
      </c>
      <c r="J108" s="23"/>
      <c r="K108" s="30">
        <f t="shared" si="8"/>
        <v>-2.2469979510128808</v>
      </c>
      <c r="L108" s="39"/>
    </row>
    <row r="109" spans="4:12" x14ac:dyDescent="0.15">
      <c r="D109" s="16">
        <v>1889</v>
      </c>
      <c r="E109" s="19">
        <v>114.82950000000001</v>
      </c>
      <c r="F109" s="23">
        <f t="shared" si="9"/>
        <v>2.11579351</v>
      </c>
      <c r="G109" s="30">
        <f t="shared" si="6"/>
        <v>-4.1333481305982858</v>
      </c>
      <c r="H109" s="39"/>
      <c r="I109" s="23">
        <f t="shared" ca="1" si="7"/>
        <v>-54.758402022906921</v>
      </c>
      <c r="J109" s="23"/>
      <c r="K109" s="30">
        <f t="shared" si="8"/>
        <v>-2.2254031688589722</v>
      </c>
      <c r="L109" s="39"/>
    </row>
    <row r="110" spans="4:12" x14ac:dyDescent="0.15">
      <c r="D110" s="16">
        <v>1890</v>
      </c>
      <c r="E110" s="19">
        <v>121.6138</v>
      </c>
      <c r="F110" s="23">
        <f t="shared" si="9"/>
        <v>2.23740731</v>
      </c>
      <c r="G110" s="30">
        <f t="shared" si="6"/>
        <v>-4.0765385468058755</v>
      </c>
      <c r="H110" s="34"/>
      <c r="I110" s="23">
        <f t="shared" ca="1" si="7"/>
        <v>-49.355612815737913</v>
      </c>
      <c r="J110" s="23"/>
      <c r="K110" s="30">
        <f t="shared" si="8"/>
        <v>-2.2036104065171869</v>
      </c>
      <c r="L110" s="34"/>
    </row>
    <row r="111" spans="4:12" x14ac:dyDescent="0.15">
      <c r="D111" s="16">
        <v>1891</v>
      </c>
      <c r="E111" s="19">
        <v>128.33340000000001</v>
      </c>
      <c r="F111" s="23">
        <f t="shared" si="9"/>
        <v>2.3657407099999999</v>
      </c>
      <c r="G111" s="30">
        <f t="shared" si="6"/>
        <v>-4.0197915055541289</v>
      </c>
      <c r="H111" s="34"/>
      <c r="I111" s="23">
        <f t="shared" ca="1" si="7"/>
        <v>-43.971982605677113</v>
      </c>
      <c r="J111" s="23"/>
      <c r="K111" s="30">
        <f t="shared" si="8"/>
        <v>-2.1816947222228116</v>
      </c>
    </row>
    <row r="112" spans="4:12" x14ac:dyDescent="0.15">
      <c r="D112" s="16">
        <v>1892</v>
      </c>
      <c r="E112" s="19">
        <v>127.27080000000001</v>
      </c>
      <c r="F112" s="23">
        <f t="shared" si="9"/>
        <v>2.4930115099999997</v>
      </c>
      <c r="G112" s="30">
        <f t="shared" si="6"/>
        <v>-3.9664247617282387</v>
      </c>
      <c r="H112" s="34"/>
      <c r="I112" s="23">
        <f t="shared" ca="1" si="7"/>
        <v>-39.623857316312751</v>
      </c>
      <c r="J112" s="23"/>
      <c r="K112" s="30">
        <f t="shared" si="8"/>
        <v>-2.1609487100842797</v>
      </c>
    </row>
    <row r="113" spans="4:11" x14ac:dyDescent="0.15">
      <c r="D113" s="16">
        <v>1893</v>
      </c>
      <c r="E113" s="19">
        <v>132.45600000000002</v>
      </c>
      <c r="F113" s="23">
        <f t="shared" si="9"/>
        <v>2.6254675099999996</v>
      </c>
      <c r="G113" s="30">
        <f t="shared" si="6"/>
        <v>-3.9136503428024101</v>
      </c>
      <c r="H113" s="34"/>
      <c r="I113" s="23">
        <f t="shared" ca="1" si="7"/>
        <v>-35.457182139586621</v>
      </c>
      <c r="J113" s="23"/>
      <c r="K113" s="30">
        <f t="shared" si="8"/>
        <v>-2.1403018100677396</v>
      </c>
    </row>
    <row r="114" spans="4:11" x14ac:dyDescent="0.15">
      <c r="D114" s="16">
        <v>1894</v>
      </c>
      <c r="E114" s="19">
        <v>137.2482</v>
      </c>
      <c r="F114" s="23">
        <f t="shared" si="9"/>
        <v>2.7627157099999997</v>
      </c>
      <c r="G114" s="30">
        <f t="shared" si="6"/>
        <v>-3.861650813673672</v>
      </c>
      <c r="H114" s="34"/>
      <c r="I114" s="23">
        <f t="shared" ca="1" si="7"/>
        <v>-31.527883174709132</v>
      </c>
      <c r="J114" s="23"/>
      <c r="K114" s="30">
        <f t="shared" si="8"/>
        <v>-2.1198288918311499</v>
      </c>
    </row>
    <row r="115" spans="4:11" x14ac:dyDescent="0.15">
      <c r="D115" s="16">
        <v>1895</v>
      </c>
      <c r="E115" s="19">
        <v>144.20059999999998</v>
      </c>
      <c r="F115" s="23">
        <f t="shared" si="9"/>
        <v>2.9069163099999997</v>
      </c>
      <c r="G115" s="30">
        <f t="shared" si="6"/>
        <v>-3.8096736920413057</v>
      </c>
      <c r="H115" s="34"/>
      <c r="I115" s="23">
        <f t="shared" ca="1" si="7"/>
        <v>-27.605448420235007</v>
      </c>
      <c r="J115" s="23"/>
      <c r="K115" s="30">
        <f t="shared" si="8"/>
        <v>-2.0992350609762269</v>
      </c>
    </row>
    <row r="116" spans="4:11" x14ac:dyDescent="0.15">
      <c r="D116" s="16">
        <v>1896</v>
      </c>
      <c r="E116" s="19">
        <v>154.1053</v>
      </c>
      <c r="F116" s="23">
        <f t="shared" si="9"/>
        <v>3.0610216099999996</v>
      </c>
      <c r="G116" s="30">
        <f t="shared" si="6"/>
        <v>-3.7568425822354419</v>
      </c>
      <c r="H116" s="34"/>
      <c r="I116" s="23">
        <f t="shared" ca="1" si="7"/>
        <v>-23.421406817467869</v>
      </c>
      <c r="J116" s="23"/>
      <c r="K116" s="30">
        <f t="shared" si="8"/>
        <v>-2.0781683128163393</v>
      </c>
    </row>
    <row r="117" spans="4:11" x14ac:dyDescent="0.15">
      <c r="D117" s="16">
        <v>1897</v>
      </c>
      <c r="E117" s="19">
        <v>166.09139999999999</v>
      </c>
      <c r="F117" s="23">
        <f t="shared" si="9"/>
        <v>3.2271130099999996</v>
      </c>
      <c r="G117" s="30">
        <f t="shared" si="6"/>
        <v>-3.7027351916958402</v>
      </c>
      <c r="H117" s="34"/>
      <c r="I117" s="23">
        <f t="shared" ca="1" si="7"/>
        <v>-18.846395186484187</v>
      </c>
      <c r="J117" s="23"/>
      <c r="K117" s="30">
        <f t="shared" si="8"/>
        <v>-2.056450292686852</v>
      </c>
    </row>
    <row r="118" spans="4:11" x14ac:dyDescent="0.15">
      <c r="D118" s="16">
        <v>1898</v>
      </c>
      <c r="E118" s="19">
        <v>176.79089999999999</v>
      </c>
      <c r="F118" s="23">
        <f t="shared" si="9"/>
        <v>3.4039039099999995</v>
      </c>
      <c r="G118" s="30">
        <f t="shared" si="6"/>
        <v>-3.6480485003351455</v>
      </c>
      <c r="H118" s="34"/>
      <c r="I118" s="23">
        <f t="shared" ca="1" si="7"/>
        <v>-14.093923179904777</v>
      </c>
      <c r="J118" s="23"/>
      <c r="K118" s="30">
        <f t="shared" si="8"/>
        <v>-2.0343515671422407</v>
      </c>
    </row>
    <row r="119" spans="4:11" x14ac:dyDescent="0.15">
      <c r="D119" s="16">
        <v>1899</v>
      </c>
      <c r="E119" s="19">
        <v>188.70170000000002</v>
      </c>
      <c r="F119" s="23">
        <f t="shared" si="9"/>
        <v>3.5926056099999997</v>
      </c>
      <c r="G119" s="30">
        <f t="shared" si="6"/>
        <v>-3.5926490222645437</v>
      </c>
      <c r="H119" s="34"/>
      <c r="I119" s="23">
        <f t="shared" ca="1" si="7"/>
        <v>-9.1230993384069734</v>
      </c>
      <c r="J119" s="23"/>
      <c r="K119" s="30">
        <f t="shared" si="8"/>
        <v>-2.0118110260808666</v>
      </c>
    </row>
    <row r="120" spans="4:11" x14ac:dyDescent="0.15">
      <c r="D120" s="16">
        <v>1900</v>
      </c>
      <c r="E120" s="19">
        <v>203.9692</v>
      </c>
      <c r="F120" s="23">
        <f t="shared" si="9"/>
        <v>3.7965748099999996</v>
      </c>
      <c r="G120" s="30">
        <f t="shared" si="6"/>
        <v>-3.5358634989080149</v>
      </c>
      <c r="H120" s="40"/>
      <c r="I120" s="23">
        <f t="shared" ca="1" si="7"/>
        <v>-3.7276806956015207</v>
      </c>
      <c r="J120" s="23"/>
      <c r="K120" s="30">
        <f t="shared" si="8"/>
        <v>-1.988543914728879</v>
      </c>
    </row>
    <row r="121" spans="4:11" x14ac:dyDescent="0.15">
      <c r="D121" s="16">
        <v>1901</v>
      </c>
      <c r="E121" s="19">
        <v>209.27210000000002</v>
      </c>
      <c r="F121" s="23">
        <f t="shared" si="9"/>
        <v>4.0058469099999998</v>
      </c>
      <c r="G121" s="30">
        <f t="shared" si="6"/>
        <v>-3.4806006002150993</v>
      </c>
      <c r="H121" s="40"/>
      <c r="I121" s="23">
        <f t="shared" ca="1" si="7"/>
        <v>1.2013040412721239</v>
      </c>
      <c r="J121" s="23"/>
      <c r="K121" s="30">
        <f t="shared" si="8"/>
        <v>-1.9657406736972625</v>
      </c>
    </row>
    <row r="122" spans="4:11" x14ac:dyDescent="0.15">
      <c r="D122" s="16">
        <v>1902</v>
      </c>
      <c r="E122" s="19">
        <v>204.81529999999998</v>
      </c>
      <c r="F122" s="23">
        <f t="shared" si="9"/>
        <v>4.2106622099999997</v>
      </c>
      <c r="G122" s="30">
        <f t="shared" si="6"/>
        <v>-3.429160242238845</v>
      </c>
      <c r="H122" s="27"/>
      <c r="I122" s="23">
        <f t="shared" ca="1" si="7"/>
        <v>4.9593090615753681</v>
      </c>
      <c r="J122" s="23"/>
      <c r="K122" s="30">
        <f t="shared" si="8"/>
        <v>-1.9443712444835226</v>
      </c>
    </row>
    <row r="123" spans="4:11" x14ac:dyDescent="0.15">
      <c r="D123" s="16">
        <v>1903</v>
      </c>
      <c r="E123" s="19">
        <v>219.11799999999999</v>
      </c>
      <c r="F123" s="23">
        <f t="shared" si="9"/>
        <v>4.4297802099999997</v>
      </c>
      <c r="G123" s="30">
        <f t="shared" si="6"/>
        <v>-3.3767419841192643</v>
      </c>
      <c r="H123" s="27"/>
      <c r="I123" s="23">
        <f t="shared" ca="1" si="7"/>
        <v>9.0168795587533168</v>
      </c>
      <c r="J123" s="23"/>
      <c r="K123" s="30">
        <f t="shared" si="8"/>
        <v>-1.9224516694812517</v>
      </c>
    </row>
    <row r="124" spans="4:11" x14ac:dyDescent="0.15">
      <c r="D124" s="16">
        <v>1904</v>
      </c>
      <c r="E124" s="19">
        <v>228.23309999999998</v>
      </c>
      <c r="F124" s="23">
        <f t="shared" si="9"/>
        <v>4.6580133099999994</v>
      </c>
      <c r="G124" s="30">
        <f t="shared" si="6"/>
        <v>-3.3247414409251652</v>
      </c>
      <c r="H124" s="27"/>
      <c r="I124" s="23">
        <f t="shared" ca="1" si="7"/>
        <v>12.946489167794425</v>
      </c>
      <c r="J124" s="23"/>
      <c r="K124" s="30">
        <f t="shared" si="8"/>
        <v>-1.9005617121152054</v>
      </c>
    </row>
    <row r="125" spans="4:11" x14ac:dyDescent="0.15">
      <c r="D125" s="16">
        <v>1905</v>
      </c>
      <c r="E125" s="19">
        <v>234.45420000000001</v>
      </c>
      <c r="F125" s="23">
        <f t="shared" si="9"/>
        <v>4.8924675099999995</v>
      </c>
      <c r="G125" s="30">
        <f t="shared" si="6"/>
        <v>-3.2738209566754106</v>
      </c>
      <c r="H125" s="27"/>
      <c r="I125" s="23">
        <f t="shared" ca="1" si="7"/>
        <v>16.545238438052365</v>
      </c>
      <c r="J125" s="23"/>
      <c r="K125" s="30">
        <f t="shared" si="8"/>
        <v>-1.8789849572841428</v>
      </c>
    </row>
    <row r="126" spans="4:11" x14ac:dyDescent="0.15">
      <c r="D126" s="16">
        <v>1906</v>
      </c>
      <c r="E126" s="19">
        <v>258.76740000000001</v>
      </c>
      <c r="F126" s="23">
        <f t="shared" si="9"/>
        <v>5.1512349099999994</v>
      </c>
      <c r="G126" s="30">
        <f t="shared" si="6"/>
        <v>-3.2202767231942957</v>
      </c>
      <c r="H126" s="27"/>
      <c r="I126" s="23">
        <f t="shared" ca="1" si="7"/>
        <v>20.947735100168757</v>
      </c>
      <c r="J126" s="23"/>
      <c r="K126" s="30">
        <f t="shared" si="8"/>
        <v>-1.8561439259032975</v>
      </c>
    </row>
    <row r="127" spans="4:11" x14ac:dyDescent="0.15">
      <c r="D127" s="16">
        <v>1907</v>
      </c>
      <c r="E127" s="19">
        <v>278.1123</v>
      </c>
      <c r="F127" s="23">
        <f t="shared" si="9"/>
        <v>5.4293472099999995</v>
      </c>
      <c r="G127" s="30">
        <f t="shared" si="6"/>
        <v>-3.165535406734814</v>
      </c>
      <c r="H127" s="27"/>
      <c r="I127" s="23">
        <f t="shared" ca="1" si="7"/>
        <v>25.716940710763993</v>
      </c>
      <c r="J127" s="23"/>
      <c r="K127" s="30">
        <f t="shared" si="8"/>
        <v>-1.8326290100961193</v>
      </c>
    </row>
    <row r="128" spans="4:11" x14ac:dyDescent="0.15">
      <c r="D128" s="16">
        <v>1908</v>
      </c>
      <c r="E128" s="19">
        <v>288.67759999999998</v>
      </c>
      <c r="F128" s="23">
        <f t="shared" si="9"/>
        <v>5.7180248099999993</v>
      </c>
      <c r="G128" s="30">
        <f t="shared" si="6"/>
        <v>-3.1114850431128471</v>
      </c>
      <c r="H128" s="27"/>
      <c r="I128" s="23">
        <f t="shared" ca="1" si="7"/>
        <v>30.274482975482897</v>
      </c>
      <c r="J128" s="23"/>
      <c r="K128" s="30">
        <f t="shared" si="8"/>
        <v>-1.809247389576973</v>
      </c>
    </row>
    <row r="129" spans="4:11" x14ac:dyDescent="0.15">
      <c r="D129" s="16">
        <v>1909</v>
      </c>
      <c r="E129" s="19">
        <v>291.66860000000003</v>
      </c>
      <c r="F129" s="23">
        <f t="shared" si="9"/>
        <v>6.0096934099999997</v>
      </c>
      <c r="G129" s="30">
        <f t="shared" si="6"/>
        <v>-3.0594605003497568</v>
      </c>
      <c r="H129" s="27"/>
      <c r="I129" s="23">
        <f t="shared" ca="1" si="7"/>
        <v>34.211444503202074</v>
      </c>
      <c r="J129" s="23"/>
      <c r="K129" s="30">
        <f t="shared" si="8"/>
        <v>-1.7865872288966143</v>
      </c>
    </row>
    <row r="130" spans="4:11" x14ac:dyDescent="0.15">
      <c r="D130" s="16">
        <v>1910</v>
      </c>
      <c r="E130" s="19">
        <v>294.483</v>
      </c>
      <c r="F130" s="23">
        <f t="shared" si="9"/>
        <v>6.3041764099999993</v>
      </c>
      <c r="G130" s="30">
        <f t="shared" si="6"/>
        <v>-3.009320452477048</v>
      </c>
      <c r="H130" s="27"/>
      <c r="I130" s="23">
        <f t="shared" ca="1" si="7"/>
        <v>37.571118447561275</v>
      </c>
      <c r="J130" s="23"/>
      <c r="K130" s="30">
        <f t="shared" si="8"/>
        <v>-1.7646028671436536</v>
      </c>
    </row>
    <row r="131" spans="4:11" x14ac:dyDescent="0.15">
      <c r="D131" s="16">
        <v>1911</v>
      </c>
      <c r="E131" s="19">
        <v>311.60939999999999</v>
      </c>
      <c r="F131" s="23">
        <f t="shared" si="9"/>
        <v>6.6157858099999993</v>
      </c>
      <c r="G131" s="30">
        <f t="shared" si="6"/>
        <v>-2.9586331321173795</v>
      </c>
      <c r="H131" s="27"/>
      <c r="I131" s="23">
        <f t="shared" ca="1" si="7"/>
        <v>41.098441353478847</v>
      </c>
      <c r="J131" s="23"/>
      <c r="K131" s="30">
        <f t="shared" si="8"/>
        <v>-1.7422326890420021</v>
      </c>
    </row>
    <row r="132" spans="4:11" x14ac:dyDescent="0.15">
      <c r="D132" s="16">
        <v>1912</v>
      </c>
      <c r="E132" s="19">
        <v>335.9074</v>
      </c>
      <c r="F132" s="23">
        <f t="shared" si="9"/>
        <v>6.9516932099999993</v>
      </c>
      <c r="G132" s="30">
        <f t="shared" si="6"/>
        <v>-2.9064683479871065</v>
      </c>
      <c r="H132" s="27"/>
      <c r="I132" s="23">
        <f t="shared" ca="1" si="7"/>
        <v>45.078363783009081</v>
      </c>
      <c r="J132" s="23"/>
      <c r="K132" s="30">
        <f t="shared" si="8"/>
        <v>-1.7190561507456443</v>
      </c>
    </row>
    <row r="133" spans="4:11" x14ac:dyDescent="0.15">
      <c r="D133" s="16">
        <v>1913</v>
      </c>
      <c r="E133" s="19">
        <v>398.74330000000003</v>
      </c>
      <c r="F133" s="23">
        <f t="shared" si="9"/>
        <v>7.3504365099999998</v>
      </c>
      <c r="G133" s="30">
        <f t="shared" si="6"/>
        <v>-2.8475532408895603</v>
      </c>
      <c r="H133" s="27"/>
      <c r="I133" s="23">
        <f t="shared" ca="1" si="7"/>
        <v>51.126149411627011</v>
      </c>
      <c r="J133" s="23"/>
      <c r="K133" s="30">
        <f t="shared" si="8"/>
        <v>-1.6926908368247313</v>
      </c>
    </row>
    <row r="134" spans="4:11" x14ac:dyDescent="0.15">
      <c r="D134" s="16">
        <v>1914</v>
      </c>
      <c r="E134" s="19">
        <v>362.94400000000002</v>
      </c>
      <c r="F134" s="23">
        <f t="shared" si="9"/>
        <v>7.7133805099999995</v>
      </c>
      <c r="G134" s="30">
        <f t="shared" si="6"/>
        <v>-2.7964890976004386</v>
      </c>
      <c r="H134" s="27"/>
      <c r="I134" s="23">
        <f t="shared" ca="1" si="7"/>
        <v>54.768906537827206</v>
      </c>
      <c r="J134" s="23"/>
      <c r="K134" s="30">
        <f t="shared" si="8"/>
        <v>-1.6696750391517159</v>
      </c>
    </row>
    <row r="135" spans="4:11" x14ac:dyDescent="0.15">
      <c r="D135" s="16">
        <v>1915</v>
      </c>
      <c r="E135" s="19">
        <v>351.54200000000003</v>
      </c>
      <c r="F135" s="23">
        <f t="shared" si="9"/>
        <v>8.0649225099999988</v>
      </c>
      <c r="G135" s="30">
        <f t="shared" si="6"/>
        <v>-2.7491364659132072</v>
      </c>
      <c r="H135" s="27"/>
      <c r="I135" s="23">
        <f t="shared" ca="1" si="7"/>
        <v>57.274696100885194</v>
      </c>
      <c r="J135" s="23"/>
      <c r="K135" s="30">
        <f t="shared" si="8"/>
        <v>-1.64819523898119</v>
      </c>
    </row>
    <row r="136" spans="4:11" x14ac:dyDescent="0.15">
      <c r="D136" s="16">
        <v>1916</v>
      </c>
      <c r="E136" s="19">
        <v>337.25600000000003</v>
      </c>
      <c r="F136" s="23">
        <f t="shared" si="9"/>
        <v>8.4021785099999988</v>
      </c>
      <c r="G136" s="30">
        <f t="shared" si="6"/>
        <v>-2.705490343162479</v>
      </c>
      <c r="H136" s="27"/>
      <c r="I136" s="23">
        <f t="shared" ca="1" si="7"/>
        <v>58.645050594534041</v>
      </c>
      <c r="J136" s="23"/>
      <c r="K136" s="30">
        <f t="shared" si="8"/>
        <v>-1.628279509144096</v>
      </c>
    </row>
    <row r="137" spans="4:11" x14ac:dyDescent="0.15">
      <c r="D137" s="16">
        <v>1917</v>
      </c>
      <c r="E137" s="18">
        <v>343.32366666666672</v>
      </c>
      <c r="F137" s="23">
        <f t="shared" si="9"/>
        <v>8.7455021766666654</v>
      </c>
      <c r="G137" s="30">
        <f t="shared" si="6"/>
        <v>-2.6627070276682248</v>
      </c>
      <c r="H137" s="23"/>
      <c r="I137" s="23">
        <f t="shared" ca="1" si="7"/>
        <v>59.751096642168704</v>
      </c>
      <c r="J137" s="23"/>
      <c r="K137" s="30">
        <f t="shared" si="8"/>
        <v>-1.6086478305733936</v>
      </c>
    </row>
    <row r="138" spans="4:11" x14ac:dyDescent="0.15">
      <c r="D138" s="16">
        <v>1918</v>
      </c>
      <c r="E138" s="18">
        <v>320.85388888888895</v>
      </c>
      <c r="F138" s="23">
        <f t="shared" si="9"/>
        <v>9.0663560655555546</v>
      </c>
      <c r="G138" s="30">
        <f t="shared" si="6"/>
        <v>-2.6241135376268119</v>
      </c>
      <c r="H138" s="23"/>
      <c r="I138" s="23">
        <f t="shared" ca="1" si="7"/>
        <v>59.573650639640618</v>
      </c>
      <c r="J138" s="23"/>
      <c r="K138" s="30">
        <f t="shared" si="8"/>
        <v>-1.5908452344359945</v>
      </c>
    </row>
    <row r="139" spans="4:11" x14ac:dyDescent="0.15">
      <c r="D139" s="16">
        <v>1919</v>
      </c>
      <c r="E139" s="18">
        <v>266.79211111111113</v>
      </c>
      <c r="F139" s="23">
        <f t="shared" si="9"/>
        <v>9.3331481766666649</v>
      </c>
      <c r="G139" s="30">
        <f t="shared" si="6"/>
        <v>-2.5929757550025316</v>
      </c>
      <c r="H139" s="30"/>
      <c r="I139" s="23">
        <f t="shared" ca="1" si="7"/>
        <v>57.112257177739593</v>
      </c>
      <c r="J139" s="23"/>
      <c r="K139" s="30">
        <f t="shared" si="8"/>
        <v>-1.5764170289616082</v>
      </c>
    </row>
    <row r="140" spans="4:11" x14ac:dyDescent="0.15">
      <c r="D140" s="16">
        <v>1920</v>
      </c>
      <c r="E140" s="18">
        <v>315.84100000000001</v>
      </c>
      <c r="F140" s="23">
        <f t="shared" si="9"/>
        <v>9.6489891766666656</v>
      </c>
      <c r="G140" s="30">
        <f t="shared" si="6"/>
        <v>-2.5571605747511827</v>
      </c>
      <c r="I140" s="23">
        <f t="shared" ca="1" si="7"/>
        <v>56.083716405614723</v>
      </c>
      <c r="J140" s="23"/>
      <c r="K140" s="30">
        <f t="shared" si="8"/>
        <v>-1.5597497187694978</v>
      </c>
    </row>
    <row r="141" spans="4:11" x14ac:dyDescent="0.15">
      <c r="D141" s="16">
        <v>1921</v>
      </c>
      <c r="E141" s="18">
        <v>332.577</v>
      </c>
      <c r="F141" s="23">
        <f t="shared" si="9"/>
        <v>9.9815661766666661</v>
      </c>
      <c r="G141" s="30">
        <f t="shared" si="6"/>
        <v>-2.5205980688766965</v>
      </c>
      <c r="I141" s="23">
        <f t="shared" ca="1" si="7"/>
        <v>55.284107961812879</v>
      </c>
      <c r="J141" s="23"/>
      <c r="K141" s="30">
        <f t="shared" si="8"/>
        <v>-1.5426552757344414</v>
      </c>
    </row>
    <row r="142" spans="4:11" x14ac:dyDescent="0.15">
      <c r="D142" s="16">
        <v>1922</v>
      </c>
      <c r="E142" s="18">
        <v>357.00600000000003</v>
      </c>
      <c r="F142" s="23">
        <f t="shared" si="9"/>
        <v>10.338572176666666</v>
      </c>
      <c r="G142" s="30">
        <f t="shared" si="6"/>
        <v>-2.4825761220177762</v>
      </c>
      <c r="I142" s="23">
        <f t="shared" ca="1" si="7"/>
        <v>54.93157802337555</v>
      </c>
      <c r="J142" s="23"/>
      <c r="K142" s="30">
        <f t="shared" si="8"/>
        <v>-1.5247932987314021</v>
      </c>
    </row>
    <row r="143" spans="4:11" x14ac:dyDescent="0.15">
      <c r="D143" s="16">
        <v>1923</v>
      </c>
      <c r="E143" s="18">
        <v>286.54700000000003</v>
      </c>
      <c r="F143" s="23">
        <f t="shared" si="9"/>
        <v>10.625119176666667</v>
      </c>
      <c r="G143" s="30">
        <f t="shared" si="6"/>
        <v>-2.4529191978790474</v>
      </c>
      <c r="I143" s="23">
        <f t="shared" ca="1" si="7"/>
        <v>52.016545116343877</v>
      </c>
      <c r="J143" s="23"/>
      <c r="K143" s="30">
        <f t="shared" si="8"/>
        <v>-1.5108006746419884</v>
      </c>
    </row>
    <row r="144" spans="4:11" x14ac:dyDescent="0.15">
      <c r="D144" s="16">
        <v>1924</v>
      </c>
      <c r="E144" s="18">
        <v>357.38200000000001</v>
      </c>
      <c r="F144" s="23">
        <f t="shared" si="9"/>
        <v>10.982501176666666</v>
      </c>
      <c r="G144" s="30">
        <f t="shared" si="6"/>
        <v>-2.416938655576419</v>
      </c>
      <c r="I144" s="23">
        <f t="shared" ca="1" si="7"/>
        <v>51.03866060200653</v>
      </c>
      <c r="J144" s="23"/>
      <c r="K144" s="30">
        <f t="shared" si="8"/>
        <v>-1.493753359949539</v>
      </c>
    </row>
    <row r="145" spans="4:11" x14ac:dyDescent="0.15">
      <c r="D145" s="16">
        <v>1925</v>
      </c>
      <c r="E145" s="18">
        <v>380.21800000000002</v>
      </c>
      <c r="F145" s="23">
        <f t="shared" si="9"/>
        <v>11.362719176666666</v>
      </c>
      <c r="G145" s="30">
        <f t="shared" si="6"/>
        <v>-2.3798113972596862</v>
      </c>
      <c r="I145" s="23">
        <f t="shared" ca="1" si="7"/>
        <v>50.412055849666103</v>
      </c>
      <c r="J145" s="23"/>
      <c r="K145" s="30">
        <f t="shared" si="8"/>
        <v>-1.4760809767750731</v>
      </c>
    </row>
    <row r="146" spans="4:11" x14ac:dyDescent="0.15">
      <c r="D146" s="16">
        <v>1926</v>
      </c>
      <c r="E146" s="18">
        <v>410.803</v>
      </c>
      <c r="F146" s="23">
        <f t="shared" si="9"/>
        <v>11.773522176666665</v>
      </c>
      <c r="G146" s="30">
        <f t="shared" si="6"/>
        <v>-2.3409437405523779</v>
      </c>
      <c r="I146" s="23">
        <f t="shared" ca="1" si="7"/>
        <v>50.318596815107412</v>
      </c>
      <c r="J146" s="23"/>
      <c r="K146" s="30">
        <f t="shared" si="8"/>
        <v>-1.4574911875377214</v>
      </c>
    </row>
    <row r="147" spans="4:11" x14ac:dyDescent="0.15">
      <c r="D147" s="16">
        <v>1927</v>
      </c>
      <c r="E147" s="18">
        <v>440.91</v>
      </c>
      <c r="F147" s="23">
        <f t="shared" si="9"/>
        <v>12.214432176666666</v>
      </c>
      <c r="G147" s="30">
        <f t="shared" ref="G147:G210" si="10" xml:space="preserve"> - LN(F$1/F147 - 1)</f>
        <v>-2.3005681410406971</v>
      </c>
      <c r="I147" s="23">
        <f t="shared" ref="I147:I210" ca="1" si="11" xml:space="preserve"> (G147/LN(81)*IF(D147&lt;E$6,F$2-E$2,F$5-E$5) - D147 + IF(D147&lt;E$6,AVERAGE(E$2:F$2),AVERAGE(E$5:F$5)))*12</f>
        <v>50.687074112571281</v>
      </c>
      <c r="J147" s="23"/>
      <c r="K147" s="30">
        <f t="shared" ref="K147:K210" si="12">NORMSINV(F147/F$10)</f>
        <v>-1.4380838258626576</v>
      </c>
    </row>
    <row r="148" spans="4:11" x14ac:dyDescent="0.15">
      <c r="D148" s="16">
        <v>1928</v>
      </c>
      <c r="E148" s="18">
        <v>457.45799999999997</v>
      </c>
      <c r="F148" s="23">
        <f t="shared" ref="F148:F211" si="13">F147+E148/1000</f>
        <v>12.671890176666667</v>
      </c>
      <c r="G148" s="30">
        <f t="shared" si="10"/>
        <v>-2.2600403443076242</v>
      </c>
      <c r="I148" s="23">
        <f t="shared" ca="1" si="11"/>
        <v>51.102174813781858</v>
      </c>
      <c r="J148" s="23"/>
      <c r="K148" s="30">
        <f t="shared" si="12"/>
        <v>-1.4185046752359687</v>
      </c>
    </row>
    <row r="149" spans="4:11" x14ac:dyDescent="0.15">
      <c r="D149" s="16">
        <v>1929</v>
      </c>
      <c r="E149" s="18">
        <v>493.55500000000001</v>
      </c>
      <c r="F149" s="23">
        <f t="shared" si="13"/>
        <v>13.165445176666667</v>
      </c>
      <c r="G149" s="30">
        <f t="shared" si="10"/>
        <v>-2.2177584611478971</v>
      </c>
      <c r="I149" s="23">
        <f t="shared" ca="1" si="11"/>
        <v>52.054614363411929</v>
      </c>
      <c r="J149" s="23"/>
      <c r="K149" s="30">
        <f t="shared" si="12"/>
        <v>-1.3979729782208032</v>
      </c>
    </row>
    <row r="150" spans="4:11" x14ac:dyDescent="0.15">
      <c r="D150" s="16">
        <v>1930</v>
      </c>
      <c r="E150" s="18">
        <v>428.524</v>
      </c>
      <c r="F150" s="23">
        <f t="shared" si="13"/>
        <v>13.593969176666667</v>
      </c>
      <c r="G150" s="30">
        <f t="shared" si="10"/>
        <v>-2.1821784588740125</v>
      </c>
      <c r="I150" s="23">
        <f t="shared" ca="1" si="11"/>
        <v>50.954030240593056</v>
      </c>
      <c r="J150" s="23"/>
      <c r="K150" s="30">
        <f t="shared" si="12"/>
        <v>-1.3806126625318338</v>
      </c>
    </row>
    <row r="151" spans="4:11" x14ac:dyDescent="0.15">
      <c r="D151" s="16">
        <v>1931</v>
      </c>
      <c r="E151" s="18">
        <v>397.74199999999996</v>
      </c>
      <c r="F151" s="23">
        <f t="shared" si="13"/>
        <v>13.991711176666666</v>
      </c>
      <c r="G151" s="30">
        <f t="shared" si="10"/>
        <v>-2.1500339050137769</v>
      </c>
      <c r="I151" s="23">
        <f t="shared" ca="1" si="11"/>
        <v>48.801046494615548</v>
      </c>
      <c r="J151" s="23"/>
      <c r="K151" s="30">
        <f t="shared" si="12"/>
        <v>-1.3648635514143754</v>
      </c>
    </row>
    <row r="152" spans="4:11" x14ac:dyDescent="0.15">
      <c r="D152" s="16">
        <v>1932</v>
      </c>
      <c r="E152" s="18">
        <v>363.95099999999996</v>
      </c>
      <c r="F152" s="23">
        <f t="shared" si="13"/>
        <v>14.355662176666666</v>
      </c>
      <c r="G152" s="30">
        <f t="shared" si="10"/>
        <v>-2.1213200883770185</v>
      </c>
      <c r="I152" s="23">
        <f t="shared" ca="1" si="11"/>
        <v>45.59710633002851</v>
      </c>
      <c r="J152" s="23"/>
      <c r="K152" s="30">
        <f t="shared" si="12"/>
        <v>-1.3507432744559711</v>
      </c>
    </row>
    <row r="153" spans="4:11" x14ac:dyDescent="0.15">
      <c r="D153" s="16">
        <v>1933</v>
      </c>
      <c r="E153" s="18">
        <v>373.83299999999997</v>
      </c>
      <c r="F153" s="23">
        <f t="shared" si="13"/>
        <v>14.729495176666665</v>
      </c>
      <c r="G153" s="30">
        <f t="shared" si="10"/>
        <v>-2.0924860923440436</v>
      </c>
      <c r="I153" s="23">
        <f t="shared" ca="1" si="11"/>
        <v>42.429981374418276</v>
      </c>
      <c r="J153" s="23"/>
      <c r="K153" s="30">
        <f t="shared" si="12"/>
        <v>-1.3365146416904097</v>
      </c>
    </row>
    <row r="154" spans="4:11" x14ac:dyDescent="0.15">
      <c r="D154" s="16">
        <v>1934</v>
      </c>
      <c r="E154" s="18">
        <v>411.35500000000002</v>
      </c>
      <c r="F154" s="23">
        <f t="shared" si="13"/>
        <v>15.140850176666666</v>
      </c>
      <c r="G154" s="30">
        <f t="shared" si="10"/>
        <v>-2.0614900291072922</v>
      </c>
      <c r="I154" s="23">
        <f t="shared" ca="1" si="11"/>
        <v>39.9251742406841</v>
      </c>
      <c r="J154" s="23"/>
      <c r="K154" s="30">
        <f t="shared" si="12"/>
        <v>-1.3211642534493617</v>
      </c>
    </row>
    <row r="155" spans="4:11" x14ac:dyDescent="0.15">
      <c r="D155" s="16">
        <v>1935</v>
      </c>
      <c r="E155" s="18">
        <v>446.65500000000003</v>
      </c>
      <c r="F155" s="23">
        <f t="shared" si="13"/>
        <v>15.587505176666665</v>
      </c>
      <c r="G155" s="30">
        <f t="shared" si="10"/>
        <v>-2.0286554284593916</v>
      </c>
      <c r="I155" s="23">
        <f t="shared" ca="1" si="11"/>
        <v>37.983576285400886</v>
      </c>
      <c r="J155" s="23"/>
      <c r="K155" s="30">
        <f t="shared" si="12"/>
        <v>-1.3048416416168074</v>
      </c>
    </row>
    <row r="156" spans="4:11" x14ac:dyDescent="0.15">
      <c r="D156" s="16">
        <v>1936</v>
      </c>
      <c r="E156" s="18">
        <v>484.89800000000002</v>
      </c>
      <c r="F156" s="23">
        <f t="shared" si="13"/>
        <v>16.072403176666665</v>
      </c>
      <c r="G156" s="30">
        <f t="shared" si="10"/>
        <v>-1.9939218688916387</v>
      </c>
      <c r="I156" s="23">
        <f t="shared" ca="1" si="11"/>
        <v>36.623696758400911</v>
      </c>
      <c r="J156" s="23"/>
      <c r="K156" s="30">
        <f t="shared" si="12"/>
        <v>-1.287506286327351</v>
      </c>
    </row>
    <row r="157" spans="4:11" x14ac:dyDescent="0.15">
      <c r="D157" s="16">
        <v>1937</v>
      </c>
      <c r="E157" s="18">
        <v>551.89100000000008</v>
      </c>
      <c r="F157" s="23">
        <f t="shared" si="13"/>
        <v>16.624294176666666</v>
      </c>
      <c r="G157" s="30">
        <f t="shared" si="10"/>
        <v>-1.9554740395760493</v>
      </c>
      <c r="I157" s="23">
        <f t="shared" ca="1" si="11"/>
        <v>36.401629712412614</v>
      </c>
      <c r="J157" s="23"/>
      <c r="K157" s="30">
        <f t="shared" si="12"/>
        <v>-1.2682352706256323</v>
      </c>
    </row>
    <row r="158" spans="4:11" x14ac:dyDescent="0.15">
      <c r="D158" s="16">
        <v>1938</v>
      </c>
      <c r="E158" s="18">
        <v>569.17100000000005</v>
      </c>
      <c r="F158" s="23">
        <f t="shared" si="13"/>
        <v>17.193465176666667</v>
      </c>
      <c r="G158" s="30">
        <f t="shared" si="10"/>
        <v>-1.9169535281815595</v>
      </c>
      <c r="I158" s="23">
        <f t="shared" ca="1" si="11"/>
        <v>36.201827763507936</v>
      </c>
      <c r="J158" s="23"/>
      <c r="K158" s="30">
        <f t="shared" si="12"/>
        <v>-1.2488421927194662</v>
      </c>
    </row>
    <row r="159" spans="4:11" x14ac:dyDescent="0.15">
      <c r="D159" s="16">
        <v>1939</v>
      </c>
      <c r="E159" s="18">
        <v>583.69599999999991</v>
      </c>
      <c r="F159" s="23">
        <f t="shared" si="13"/>
        <v>17.777161176666667</v>
      </c>
      <c r="G159" s="30">
        <f t="shared" si="10"/>
        <v>-1.8785635482357661</v>
      </c>
      <c r="I159" s="23">
        <f t="shared" ca="1" si="11"/>
        <v>35.962039405005271</v>
      </c>
      <c r="J159" s="23"/>
      <c r="K159" s="30">
        <f t="shared" si="12"/>
        <v>-1.2294303026160136</v>
      </c>
    </row>
    <row r="160" spans="4:11" x14ac:dyDescent="0.15">
      <c r="D160" s="16">
        <v>1940</v>
      </c>
      <c r="E160" s="18">
        <v>640.97200000000009</v>
      </c>
      <c r="F160" s="23">
        <f t="shared" si="13"/>
        <v>18.418133176666668</v>
      </c>
      <c r="G160" s="30">
        <f t="shared" si="10"/>
        <v>-1.8376175031425204</v>
      </c>
      <c r="I160" s="23">
        <f t="shared" ca="1" si="11"/>
        <v>36.505264404308036</v>
      </c>
      <c r="J160" s="23"/>
      <c r="K160" s="30">
        <f t="shared" si="12"/>
        <v>-1.2086338756647221</v>
      </c>
    </row>
    <row r="161" spans="4:11" x14ac:dyDescent="0.15">
      <c r="D161" s="16">
        <v>1941</v>
      </c>
      <c r="E161" s="18">
        <v>636.16800000000001</v>
      </c>
      <c r="F161" s="23">
        <f t="shared" si="13"/>
        <v>19.054301176666669</v>
      </c>
      <c r="G161" s="30">
        <f t="shared" si="10"/>
        <v>-1.7981464602430057</v>
      </c>
      <c r="I161" s="23">
        <f t="shared" ca="1" si="11"/>
        <v>36.596643948249948</v>
      </c>
      <c r="J161" s="23"/>
      <c r="K161" s="30">
        <f t="shared" si="12"/>
        <v>-1.1884976631109003</v>
      </c>
    </row>
    <row r="162" spans="4:11" x14ac:dyDescent="0.15">
      <c r="D162" s="16">
        <v>1942</v>
      </c>
      <c r="E162" s="18">
        <v>603.86599999999999</v>
      </c>
      <c r="F162" s="23">
        <f t="shared" si="13"/>
        <v>19.658167176666669</v>
      </c>
      <c r="G162" s="30">
        <f t="shared" si="10"/>
        <v>-1.7616842684665583</v>
      </c>
      <c r="I162" s="23">
        <f t="shared" ca="1" si="11"/>
        <v>35.766305740448843</v>
      </c>
      <c r="J162" s="23"/>
      <c r="K162" s="30">
        <f t="shared" si="12"/>
        <v>-1.1698198031931561</v>
      </c>
    </row>
    <row r="163" spans="4:11" x14ac:dyDescent="0.15">
      <c r="D163" s="16">
        <v>1943</v>
      </c>
      <c r="E163" s="18">
        <v>625.024</v>
      </c>
      <c r="F163" s="23">
        <f t="shared" si="13"/>
        <v>20.283191176666669</v>
      </c>
      <c r="G163" s="30">
        <f t="shared" si="10"/>
        <v>-1.7249087693409413</v>
      </c>
      <c r="I163" s="23">
        <f t="shared" ca="1" si="11"/>
        <v>35.03194467929643</v>
      </c>
      <c r="J163" s="23"/>
      <c r="K163" s="30">
        <f t="shared" si="12"/>
        <v>-1.1509078989597621</v>
      </c>
    </row>
    <row r="164" spans="4:11" x14ac:dyDescent="0.15">
      <c r="D164" s="16">
        <v>1944</v>
      </c>
      <c r="E164" s="18">
        <v>562.28399999999999</v>
      </c>
      <c r="F164" s="23">
        <f t="shared" si="13"/>
        <v>20.845475176666667</v>
      </c>
      <c r="G164" s="30">
        <f t="shared" si="10"/>
        <v>-1.6926124383049734</v>
      </c>
      <c r="I164" s="23">
        <f t="shared" ca="1" si="11"/>
        <v>32.92545566219178</v>
      </c>
      <c r="J164" s="23"/>
      <c r="K164" s="30">
        <f t="shared" si="12"/>
        <v>-1.1342393223038256</v>
      </c>
    </row>
    <row r="165" spans="4:11" x14ac:dyDescent="0.15">
      <c r="D165" s="16">
        <v>1945</v>
      </c>
      <c r="E165" s="18">
        <v>177.24600000000001</v>
      </c>
      <c r="F165" s="23">
        <f t="shared" si="13"/>
        <v>21.022721176666668</v>
      </c>
      <c r="G165" s="30">
        <f t="shared" si="10"/>
        <v>-1.6825794569443557</v>
      </c>
      <c r="I165" s="23">
        <f t="shared" ca="1" si="11"/>
        <v>23.998913485370394</v>
      </c>
      <c r="J165" s="23"/>
      <c r="K165" s="30">
        <f t="shared" si="12"/>
        <v>-1.129049847106852</v>
      </c>
    </row>
    <row r="166" spans="4:11" x14ac:dyDescent="0.15">
      <c r="D166" s="16">
        <v>1946</v>
      </c>
      <c r="E166" s="18">
        <v>387.21899999999999</v>
      </c>
      <c r="F166" s="23">
        <f t="shared" si="13"/>
        <v>21.409940176666666</v>
      </c>
      <c r="G166" s="30">
        <f t="shared" si="10"/>
        <v>-1.6608980947573531</v>
      </c>
      <c r="I166" s="23">
        <f t="shared" ca="1" si="11"/>
        <v>18.640683248083405</v>
      </c>
      <c r="J166" s="23"/>
      <c r="K166" s="30">
        <f t="shared" si="12"/>
        <v>-1.1178171934513348</v>
      </c>
    </row>
    <row r="167" spans="4:11" x14ac:dyDescent="0.15">
      <c r="D167" s="16">
        <v>1947</v>
      </c>
      <c r="E167" s="18">
        <v>442.72399999999999</v>
      </c>
      <c r="F167" s="23">
        <f t="shared" si="13"/>
        <v>21.852664176666664</v>
      </c>
      <c r="G167" s="30">
        <f t="shared" si="10"/>
        <v>-1.6364945764423704</v>
      </c>
      <c r="I167" s="23">
        <f t="shared" ca="1" si="11"/>
        <v>14.116345923252993</v>
      </c>
      <c r="J167" s="23"/>
      <c r="K167" s="30">
        <f t="shared" si="12"/>
        <v>-1.1051448169471769</v>
      </c>
    </row>
    <row r="168" spans="4:11" x14ac:dyDescent="0.15">
      <c r="D168" s="16">
        <v>1948</v>
      </c>
      <c r="E168" s="18">
        <v>499.209</v>
      </c>
      <c r="F168" s="23">
        <f t="shared" si="13"/>
        <v>22.351873176666665</v>
      </c>
      <c r="G168" s="30">
        <f t="shared" si="10"/>
        <v>-1.6094504744823774</v>
      </c>
      <c r="I168" s="23">
        <f t="shared" ca="1" si="11"/>
        <v>10.400912967904333</v>
      </c>
      <c r="J168" s="23"/>
      <c r="K168" s="30">
        <f t="shared" si="12"/>
        <v>-1.0910652438262236</v>
      </c>
    </row>
    <row r="169" spans="4:11" x14ac:dyDescent="0.15">
      <c r="D169" s="16">
        <v>1949</v>
      </c>
      <c r="E169" s="18">
        <v>560.10749999999996</v>
      </c>
      <c r="F169" s="23">
        <f t="shared" si="13"/>
        <v>22.911980676666666</v>
      </c>
      <c r="G169" s="30">
        <f t="shared" si="10"/>
        <v>-1.5796763904960334</v>
      </c>
      <c r="I169" s="23">
        <f t="shared" ca="1" si="11"/>
        <v>7.5217702750860553</v>
      </c>
      <c r="J169" s="23"/>
      <c r="K169" s="30">
        <f t="shared" si="12"/>
        <v>-1.0755212599439206</v>
      </c>
    </row>
    <row r="170" spans="4:11" x14ac:dyDescent="0.15">
      <c r="D170" s="16">
        <v>1950</v>
      </c>
      <c r="E170" s="18">
        <v>606.61400000000003</v>
      </c>
      <c r="F170" s="23">
        <f t="shared" si="13"/>
        <v>23.518594676666666</v>
      </c>
      <c r="G170" s="30">
        <f t="shared" si="10"/>
        <v>-1.5480749038667168</v>
      </c>
      <c r="I170" s="23">
        <f t="shared" ca="1" si="11"/>
        <v>5.2024257865350592</v>
      </c>
      <c r="J170" s="23"/>
      <c r="K170" s="30">
        <f t="shared" si="12"/>
        <v>-1.0589745925717873</v>
      </c>
    </row>
    <row r="171" spans="4:11" x14ac:dyDescent="0.15">
      <c r="D171" s="16">
        <v>1951</v>
      </c>
      <c r="E171" s="18">
        <v>651.52300000000002</v>
      </c>
      <c r="F171" s="23">
        <f t="shared" si="13"/>
        <v>24.170117676666667</v>
      </c>
      <c r="G171" s="30">
        <f t="shared" si="10"/>
        <v>-1.5148406687292173</v>
      </c>
      <c r="I171" s="23">
        <f t="shared" ca="1" si="11"/>
        <v>3.3832500409916975</v>
      </c>
      <c r="J171" s="23"/>
      <c r="K171" s="30">
        <f t="shared" si="12"/>
        <v>-1.0415199508429194</v>
      </c>
    </row>
    <row r="172" spans="4:11" x14ac:dyDescent="0.15">
      <c r="D172" s="16">
        <v>1952</v>
      </c>
      <c r="E172" s="18">
        <v>683.22799999999995</v>
      </c>
      <c r="F172" s="23">
        <f t="shared" si="13"/>
        <v>24.853345676666667</v>
      </c>
      <c r="G172" s="30">
        <f t="shared" si="10"/>
        <v>-1.4807315533140315</v>
      </c>
      <c r="I172" s="23">
        <f t="shared" ca="1" si="11"/>
        <v>1.8320811358044011</v>
      </c>
      <c r="J172" s="23">
        <f t="shared" ref="J172:J233" ca="1" si="14">F$1/(1+EXP((IF(D172&lt;E$6,AVERAGE(E$2:F$2),AVERAGE(E$5:F$5))-D172)*LN(81)/IF(D172&lt;E$6,F$2-E$2,F$5-E$5)))</f>
        <v>24.732479961978171</v>
      </c>
      <c r="K172" s="30">
        <f t="shared" si="12"/>
        <v>-1.0235504350415268</v>
      </c>
    </row>
    <row r="173" spans="4:11" x14ac:dyDescent="0.15">
      <c r="D173" s="16">
        <v>1953</v>
      </c>
      <c r="E173" s="18">
        <v>712.20299999999997</v>
      </c>
      <c r="F173" s="23">
        <f t="shared" si="13"/>
        <v>25.565548676666666</v>
      </c>
      <c r="G173" s="30">
        <f t="shared" si="10"/>
        <v>-1.4459384375022137</v>
      </c>
      <c r="I173" s="23">
        <f t="shared" ca="1" si="11"/>
        <v>0.49044579741257621</v>
      </c>
      <c r="J173" s="23">
        <f t="shared" ca="1" si="14"/>
        <v>25.532436920531246</v>
      </c>
      <c r="K173" s="30">
        <f t="shared" si="12"/>
        <v>-1.0051641047602515</v>
      </c>
    </row>
    <row r="174" spans="4:11" x14ac:dyDescent="0.15">
      <c r="D174" s="16">
        <v>1954</v>
      </c>
      <c r="E174" s="18">
        <v>750.89299999999992</v>
      </c>
      <c r="F174" s="23">
        <f t="shared" si="13"/>
        <v>26.316441676666667</v>
      </c>
      <c r="G174" s="30">
        <f t="shared" si="10"/>
        <v>-1.4100485169610693</v>
      </c>
      <c r="I174" s="23">
        <f t="shared" ca="1" si="11"/>
        <v>-0.51519937467855925</v>
      </c>
      <c r="J174" s="23">
        <f t="shared" ca="1" si="14"/>
        <v>26.352034366367334</v>
      </c>
      <c r="K174" s="30">
        <f t="shared" si="12"/>
        <v>-0.98613995266815813</v>
      </c>
    </row>
    <row r="175" spans="4:11" x14ac:dyDescent="0.15">
      <c r="D175" s="16">
        <v>1955</v>
      </c>
      <c r="E175" s="18">
        <v>806.78300000000002</v>
      </c>
      <c r="F175" s="23">
        <f t="shared" si="13"/>
        <v>27.123224676666666</v>
      </c>
      <c r="G175" s="30">
        <f t="shared" si="10"/>
        <v>-1.3723395753432472</v>
      </c>
      <c r="I175" s="23">
        <f t="shared" ca="1" si="11"/>
        <v>-0.9636139133517645</v>
      </c>
      <c r="J175" s="23">
        <f t="shared" ca="1" si="14"/>
        <v>27.191352551610553</v>
      </c>
      <c r="K175" s="30">
        <f t="shared" si="12"/>
        <v>-0.96608973167268519</v>
      </c>
    </row>
    <row r="176" spans="4:11" x14ac:dyDescent="0.15">
      <c r="D176" s="16">
        <v>1956</v>
      </c>
      <c r="E176" s="18">
        <v>843.16575</v>
      </c>
      <c r="F176" s="23">
        <f t="shared" si="13"/>
        <v>27.966390426666667</v>
      </c>
      <c r="G176" s="30">
        <f t="shared" si="10"/>
        <v>-1.3338144370748597</v>
      </c>
      <c r="H176" s="129"/>
      <c r="I176" s="23">
        <f t="shared" ca="1" si="11"/>
        <v>-1.1619984867766107</v>
      </c>
      <c r="J176" s="23">
        <f t="shared" ca="1" si="14"/>
        <v>28.050444657391083</v>
      </c>
      <c r="K176" s="30">
        <f t="shared" si="12"/>
        <v>-0.94554218177508065</v>
      </c>
    </row>
    <row r="177" spans="4:11" x14ac:dyDescent="0.15">
      <c r="D177" s="16">
        <v>1957</v>
      </c>
      <c r="E177" s="18">
        <v>868.59750000000008</v>
      </c>
      <c r="F177" s="23">
        <f t="shared" si="13"/>
        <v>28.834987926666667</v>
      </c>
      <c r="G177" s="30">
        <f t="shared" si="10"/>
        <v>-1.2950116856821725</v>
      </c>
      <c r="H177" s="259"/>
      <c r="I177" s="23">
        <f t="shared" ca="1" si="11"/>
        <v>-1.2753403198612432</v>
      </c>
      <c r="J177" s="23">
        <f t="shared" ca="1" si="14"/>
        <v>28.929335353141926</v>
      </c>
      <c r="K177" s="30">
        <f t="shared" si="12"/>
        <v>-0.92478418123889716</v>
      </c>
    </row>
    <row r="178" spans="4:11" x14ac:dyDescent="0.15">
      <c r="D178" s="16">
        <v>1958</v>
      </c>
      <c r="E178" s="18">
        <v>891.53825000000006</v>
      </c>
      <c r="F178" s="23">
        <f t="shared" si="13"/>
        <v>29.726526176666667</v>
      </c>
      <c r="G178" s="30">
        <f t="shared" si="10"/>
        <v>-1.2560569014816449</v>
      </c>
      <c r="H178" s="259"/>
      <c r="I178" s="23">
        <f t="shared" ca="1" si="11"/>
        <v>-1.3421091148984488</v>
      </c>
      <c r="J178" s="23">
        <f t="shared" ca="1" si="14"/>
        <v>29.828019388969743</v>
      </c>
      <c r="K178" s="30">
        <f t="shared" si="12"/>
        <v>-0.90388438365241919</v>
      </c>
    </row>
    <row r="179" spans="4:11" x14ac:dyDescent="0.15">
      <c r="D179" s="16">
        <v>1959</v>
      </c>
      <c r="E179" s="18">
        <v>925.52099999999996</v>
      </c>
      <c r="F179" s="23">
        <f t="shared" si="13"/>
        <v>30.652047176666667</v>
      </c>
      <c r="G179" s="30">
        <f t="shared" si="10"/>
        <v>-1.2164913712742524</v>
      </c>
      <c r="H179" s="259"/>
      <c r="I179" s="23">
        <f t="shared" ca="1" si="11"/>
        <v>-1.2217847593246915</v>
      </c>
      <c r="J179" s="23">
        <f t="shared" ca="1" si="14"/>
        <v>30.746460231268006</v>
      </c>
      <c r="K179" s="30">
        <f t="shared" si="12"/>
        <v>-0.88259763086106358</v>
      </c>
    </row>
    <row r="180" spans="4:11" x14ac:dyDescent="0.15">
      <c r="D180" s="16">
        <v>1960</v>
      </c>
      <c r="E180" s="18">
        <v>957.40100000000007</v>
      </c>
      <c r="F180" s="23">
        <f t="shared" si="13"/>
        <v>31.609448176666668</v>
      </c>
      <c r="G180" s="30">
        <f t="shared" si="10"/>
        <v>-1.1764378982197814</v>
      </c>
      <c r="H180" s="259"/>
      <c r="I180" s="23">
        <f t="shared" ca="1" si="11"/>
        <v>-0.95198621390591143</v>
      </c>
      <c r="J180" s="23">
        <f t="shared" ca="1" si="14"/>
        <v>31.684588752164558</v>
      </c>
      <c r="K180" s="30">
        <f t="shared" si="12"/>
        <v>-0.86099048713531956</v>
      </c>
    </row>
    <row r="181" spans="4:11" x14ac:dyDescent="0.15">
      <c r="D181" s="16">
        <v>1961</v>
      </c>
      <c r="E181" s="18">
        <v>986.34500000000003</v>
      </c>
      <c r="F181" s="23">
        <f t="shared" si="13"/>
        <v>32.595793176666668</v>
      </c>
      <c r="G181" s="30">
        <f t="shared" si="10"/>
        <v>-1.1360415563847677</v>
      </c>
      <c r="H181" s="260"/>
      <c r="I181" s="23">
        <f t="shared" ca="1" si="11"/>
        <v>-0.57715480756633042</v>
      </c>
      <c r="J181" s="23">
        <f t="shared" ca="1" si="14"/>
        <v>32.642301983749896</v>
      </c>
      <c r="K181" s="30">
        <f t="shared" si="12"/>
        <v>-0.83914263003336109</v>
      </c>
    </row>
    <row r="182" spans="4:11" x14ac:dyDescent="0.15">
      <c r="D182" s="16">
        <v>1962</v>
      </c>
      <c r="E182" s="18">
        <v>1014.974</v>
      </c>
      <c r="F182" s="23">
        <f t="shared" si="13"/>
        <v>33.61076717666667</v>
      </c>
      <c r="G182" s="30">
        <f t="shared" si="10"/>
        <v>-1.0953299248656503</v>
      </c>
      <c r="H182" s="260"/>
      <c r="I182" s="23">
        <f t="shared" ca="1" si="11"/>
        <v>-0.10573899512019125</v>
      </c>
      <c r="J182" s="23">
        <f t="shared" ca="1" si="14"/>
        <v>33.619461948305997</v>
      </c>
      <c r="K182" s="30">
        <f t="shared" si="12"/>
        <v>-0.8170710746891362</v>
      </c>
    </row>
    <row r="183" spans="4:11" x14ac:dyDescent="0.15">
      <c r="D183" s="16">
        <v>1963</v>
      </c>
      <c r="E183" s="18">
        <v>1052.5329999999999</v>
      </c>
      <c r="F183" s="23">
        <f t="shared" si="13"/>
        <v>34.663300176666667</v>
      </c>
      <c r="G183" s="30">
        <f t="shared" si="10"/>
        <v>-1.0539669016509978</v>
      </c>
      <c r="H183" s="260"/>
      <c r="I183" s="23">
        <f t="shared" ca="1" si="11"/>
        <v>0.56522118311841041</v>
      </c>
      <c r="J183" s="23">
        <f t="shared" ca="1" si="14"/>
        <v>34.615894575937894</v>
      </c>
      <c r="K183" s="30">
        <f t="shared" si="12"/>
        <v>-0.79459546992705588</v>
      </c>
    </row>
    <row r="184" spans="4:11" x14ac:dyDescent="0.15">
      <c r="D184" s="16">
        <v>1964</v>
      </c>
      <c r="E184" s="18">
        <v>1086.3499999999999</v>
      </c>
      <c r="F184" s="23">
        <f t="shared" si="13"/>
        <v>35.74965017666667</v>
      </c>
      <c r="G184" s="30">
        <f t="shared" si="10"/>
        <v>-1.0121241602539943</v>
      </c>
      <c r="H184" s="260"/>
      <c r="I184" s="23">
        <f t="shared" ca="1" si="11"/>
        <v>1.3831360448593841</v>
      </c>
      <c r="J184" s="23">
        <f t="shared" ca="1" si="14"/>
        <v>35.631388721090858</v>
      </c>
      <c r="K184" s="30">
        <f t="shared" si="12"/>
        <v>-0.77181108705009538</v>
      </c>
    </row>
    <row r="185" spans="4:11" x14ac:dyDescent="0.15">
      <c r="D185" s="16">
        <v>1965</v>
      </c>
      <c r="E185" s="18">
        <v>1075.3599999999999</v>
      </c>
      <c r="F185" s="23">
        <f t="shared" si="13"/>
        <v>36.825010176666666</v>
      </c>
      <c r="G185" s="30">
        <f t="shared" si="10"/>
        <v>-0.97149463880236753</v>
      </c>
      <c r="H185" s="260"/>
      <c r="I185" s="23">
        <f t="shared" ca="1" si="11"/>
        <v>1.8293986331309497</v>
      </c>
      <c r="J185" s="23">
        <f t="shared" ca="1" si="14"/>
        <v>36.665695289405981</v>
      </c>
      <c r="K185" s="30">
        <f t="shared" si="12"/>
        <v>-0.74964513148412815</v>
      </c>
    </row>
    <row r="186" spans="4:11" x14ac:dyDescent="0.15">
      <c r="D186" s="16">
        <v>1966</v>
      </c>
      <c r="E186" s="18">
        <v>1065.078</v>
      </c>
      <c r="F186" s="23">
        <f t="shared" si="13"/>
        <v>37.890088176666666</v>
      </c>
      <c r="G186" s="30">
        <f t="shared" si="10"/>
        <v>-0.93197423556267678</v>
      </c>
      <c r="H186" s="260"/>
      <c r="I186" s="23">
        <f t="shared" ca="1" si="11"/>
        <v>1.9358989989113979</v>
      </c>
      <c r="J186" s="23">
        <f t="shared" ca="1" si="14"/>
        <v>37.71852648621666</v>
      </c>
      <c r="K186" s="30">
        <f t="shared" si="12"/>
        <v>-0.72804835744199214</v>
      </c>
    </row>
    <row r="187" spans="4:11" x14ac:dyDescent="0.15">
      <c r="D187" s="16">
        <v>1967</v>
      </c>
      <c r="E187" s="18">
        <v>1037.6030000000001</v>
      </c>
      <c r="F187" s="23">
        <f t="shared" si="13"/>
        <v>38.927691176666663</v>
      </c>
      <c r="G187" s="30">
        <f t="shared" si="10"/>
        <v>-0.89411600735499119</v>
      </c>
      <c r="H187" s="260">
        <v>1059.2541290073243</v>
      </c>
      <c r="I187" s="23">
        <f t="shared" ca="1" si="11"/>
        <v>1.5332162343775053</v>
      </c>
      <c r="J187" s="23">
        <f t="shared" ca="1" si="14"/>
        <v>38.789555197710378</v>
      </c>
      <c r="K187" s="30">
        <f t="shared" si="12"/>
        <v>-0.7073304011656234</v>
      </c>
    </row>
    <row r="188" spans="4:11" x14ac:dyDescent="0.15">
      <c r="D188" s="16">
        <v>1968</v>
      </c>
      <c r="E188" s="18">
        <v>1060.4079999999999</v>
      </c>
      <c r="F188" s="23">
        <f t="shared" si="13"/>
        <v>39.988099176666665</v>
      </c>
      <c r="G188" s="30">
        <f t="shared" si="10"/>
        <v>-0.85603695029807525</v>
      </c>
      <c r="H188" s="261">
        <v>326.94909112664629</v>
      </c>
      <c r="I188" s="23">
        <f t="shared" ca="1" si="11"/>
        <v>1.1981811739324257</v>
      </c>
      <c r="J188" s="23">
        <f t="shared" ca="1" si="14"/>
        <v>39.878414515368782</v>
      </c>
      <c r="K188" s="30">
        <f t="shared" si="12"/>
        <v>-0.6864661648152135</v>
      </c>
    </row>
    <row r="189" spans="4:11" x14ac:dyDescent="0.15">
      <c r="D189" s="16">
        <v>1969</v>
      </c>
      <c r="E189" s="18">
        <v>1094.8140000000001</v>
      </c>
      <c r="F189" s="23">
        <f t="shared" si="13"/>
        <v>41.082913176666665</v>
      </c>
      <c r="G189" s="30">
        <f t="shared" si="10"/>
        <v>-0.81732682027256942</v>
      </c>
      <c r="H189" s="261">
        <v>219.6959932995498</v>
      </c>
      <c r="I189" s="23">
        <f t="shared" ca="1" si="11"/>
        <v>1.0564661329935916</v>
      </c>
      <c r="J189" s="23">
        <f t="shared" ca="1" si="14"/>
        <v>40.984697413748258</v>
      </c>
      <c r="K189" s="30">
        <f t="shared" si="12"/>
        <v>-0.66523391666628229</v>
      </c>
    </row>
    <row r="190" spans="4:11" x14ac:dyDescent="0.15">
      <c r="D190" s="16">
        <v>1970</v>
      </c>
      <c r="E190" s="18">
        <v>1118.7530000000002</v>
      </c>
      <c r="F190" s="23">
        <f t="shared" si="13"/>
        <v>42.201666176666663</v>
      </c>
      <c r="G190" s="30">
        <f t="shared" si="10"/>
        <v>-0.77836076218312866</v>
      </c>
      <c r="H190" s="259">
        <v>179.54249629328919</v>
      </c>
      <c r="I190" s="23">
        <f t="shared" ca="1" si="11"/>
        <v>0.99315092974666186</v>
      </c>
      <c r="J190" s="23">
        <f t="shared" ca="1" si="14"/>
        <v>42.107956590971177</v>
      </c>
      <c r="K190" s="30">
        <f t="shared" si="12"/>
        <v>-0.64384280189327303</v>
      </c>
    </row>
    <row r="191" spans="4:11" x14ac:dyDescent="0.15">
      <c r="D191" s="16">
        <v>1971</v>
      </c>
      <c r="E191" s="18">
        <v>1132.48</v>
      </c>
      <c r="F191" s="23">
        <f t="shared" si="13"/>
        <v>43.334146176666664</v>
      </c>
      <c r="G191" s="30">
        <f t="shared" si="10"/>
        <v>-0.73948151884923563</v>
      </c>
      <c r="H191" s="259">
        <v>159.23239136044572</v>
      </c>
      <c r="I191" s="23">
        <f t="shared" ca="1" si="11"/>
        <v>0.90324128961310635</v>
      </c>
      <c r="J191" s="23">
        <f t="shared" ca="1" si="14"/>
        <v>43.247704480463696</v>
      </c>
      <c r="K191" s="30">
        <f t="shared" si="12"/>
        <v>-0.6224851632864421</v>
      </c>
    </row>
    <row r="192" spans="4:11" x14ac:dyDescent="0.15">
      <c r="D192" s="16">
        <v>1972</v>
      </c>
      <c r="E192" s="18">
        <v>1125.4659999999999</v>
      </c>
      <c r="F192" s="23">
        <f t="shared" si="13"/>
        <v>44.459612176666667</v>
      </c>
      <c r="G192" s="30">
        <f t="shared" si="10"/>
        <v>-0.70136582118957436</v>
      </c>
      <c r="H192" s="259">
        <v>146.04657132759954</v>
      </c>
      <c r="I192" s="23">
        <f t="shared" ca="1" si="11"/>
        <v>0.57943054456609389</v>
      </c>
      <c r="J192" s="23">
        <f t="shared" ca="1" si="14"/>
        <v>44.403413441500298</v>
      </c>
      <c r="K192" s="30">
        <f t="shared" si="12"/>
        <v>-0.6015374942446412</v>
      </c>
    </row>
    <row r="193" spans="4:11" x14ac:dyDescent="0.15">
      <c r="D193" s="16">
        <v>1973</v>
      </c>
      <c r="E193" s="18">
        <v>1137.057</v>
      </c>
      <c r="F193" s="23">
        <f t="shared" si="13"/>
        <v>45.596669176666666</v>
      </c>
      <c r="G193" s="30">
        <f t="shared" si="10"/>
        <v>-0.66334836137203901</v>
      </c>
      <c r="H193" s="259">
        <v>137.13981735644208</v>
      </c>
      <c r="I193" s="23">
        <f t="shared" ca="1" si="11"/>
        <v>0.22552606630506489</v>
      </c>
      <c r="J193" s="23">
        <f t="shared" ca="1" si="14"/>
        <v>45.574516135003158</v>
      </c>
      <c r="K193" s="30">
        <f t="shared" si="12"/>
        <v>-0.5806387804723937</v>
      </c>
    </row>
    <row r="194" spans="4:11" x14ac:dyDescent="0.15">
      <c r="D194" s="16">
        <v>1974</v>
      </c>
      <c r="E194" s="18">
        <v>1137.366</v>
      </c>
      <c r="F194" s="23">
        <f t="shared" si="13"/>
        <v>46.734035176666666</v>
      </c>
      <c r="G194" s="30">
        <f t="shared" si="10"/>
        <v>-0.62577778703741382</v>
      </c>
      <c r="H194" s="259">
        <v>130.56773808549076</v>
      </c>
      <c r="I194" s="23">
        <f t="shared" ca="1" si="11"/>
        <v>-0.26527527582493349</v>
      </c>
      <c r="J194" s="23">
        <f t="shared" ca="1" si="14"/>
        <v>46.760406089800952</v>
      </c>
      <c r="K194" s="30">
        <f t="shared" si="12"/>
        <v>-0.55998507511179663</v>
      </c>
    </row>
    <row r="195" spans="4:11" x14ac:dyDescent="0.15">
      <c r="D195" s="16">
        <v>1975</v>
      </c>
      <c r="E195" s="18">
        <v>1171.06</v>
      </c>
      <c r="F195" s="23">
        <f t="shared" si="13"/>
        <v>47.905095176666663</v>
      </c>
      <c r="G195" s="30">
        <f t="shared" si="10"/>
        <v>-0.58753586565796145</v>
      </c>
      <c r="H195" s="259">
        <v>126.3994475066113</v>
      </c>
      <c r="I195" s="23">
        <f t="shared" ca="1" si="11"/>
        <v>-0.55041922133204935</v>
      </c>
      <c r="J195" s="23">
        <f t="shared" ca="1" si="14"/>
        <v>47.960438463186826</v>
      </c>
      <c r="K195" s="30">
        <f t="shared" si="12"/>
        <v>-0.5389661394437395</v>
      </c>
    </row>
    <row r="196" spans="4:11" x14ac:dyDescent="0.15">
      <c r="D196" s="16">
        <v>1976</v>
      </c>
      <c r="E196" s="18">
        <v>1195.739</v>
      </c>
      <c r="F196" s="23">
        <f t="shared" si="13"/>
        <v>49.100834176666666</v>
      </c>
      <c r="G196" s="30">
        <f t="shared" si="10"/>
        <v>-0.54891415012201461</v>
      </c>
      <c r="H196" s="259">
        <v>124.02382542233919</v>
      </c>
      <c r="I196" s="23">
        <f t="shared" ca="1" si="11"/>
        <v>-0.71921875439511496</v>
      </c>
      <c r="J196" s="23">
        <f t="shared" ca="1" si="14"/>
        <v>49.173930998140357</v>
      </c>
      <c r="K196" s="30">
        <f t="shared" si="12"/>
        <v>-0.51774711567391307</v>
      </c>
    </row>
    <row r="197" spans="4:11" x14ac:dyDescent="0.15">
      <c r="D197" s="16">
        <v>1977</v>
      </c>
      <c r="E197" s="18">
        <v>1201.7539999999999</v>
      </c>
      <c r="F197" s="23">
        <f t="shared" si="13"/>
        <v>50.302588176666667</v>
      </c>
      <c r="G197" s="30">
        <f t="shared" si="10"/>
        <v>-0.51049645560721224</v>
      </c>
      <c r="H197" s="259">
        <v>122.61071121628734</v>
      </c>
      <c r="I197" s="23">
        <f t="shared" ca="1" si="11"/>
        <v>-0.950517158031289</v>
      </c>
      <c r="J197" s="23">
        <f t="shared" ca="1" si="14"/>
        <v>50.400165178007036</v>
      </c>
      <c r="K197" s="30">
        <f t="shared" si="12"/>
        <v>-0.49665368004773047</v>
      </c>
    </row>
    <row r="198" spans="4:11" x14ac:dyDescent="0.15">
      <c r="D198" s="16">
        <v>1978</v>
      </c>
      <c r="E198" s="18">
        <v>1210.4769999999999</v>
      </c>
      <c r="F198" s="23">
        <f t="shared" si="13"/>
        <v>51.513065176666665</v>
      </c>
      <c r="G198" s="30">
        <f t="shared" si="10"/>
        <v>-0.47216910111419569</v>
      </c>
      <c r="H198" s="259">
        <v>121.78675035425589</v>
      </c>
      <c r="I198" s="23">
        <f t="shared" ca="1" si="11"/>
        <v>-1.2094899125631855</v>
      </c>
      <c r="J198" s="23">
        <f t="shared" ca="1" si="14"/>
        <v>51.638387577778282</v>
      </c>
      <c r="K198" s="30">
        <f t="shared" si="12"/>
        <v>-0.47562820274572748</v>
      </c>
    </row>
    <row r="199" spans="4:11" x14ac:dyDescent="0.15">
      <c r="D199" s="16">
        <v>1979</v>
      </c>
      <c r="E199" s="18">
        <v>1242.2230000000002</v>
      </c>
      <c r="F199" s="23">
        <f t="shared" si="13"/>
        <v>52.755288176666667</v>
      </c>
      <c r="G199" s="30">
        <f t="shared" si="10"/>
        <v>-0.4331872220244502</v>
      </c>
      <c r="H199" s="259">
        <v>121.68986897891769</v>
      </c>
      <c r="I199" s="23">
        <f t="shared" ca="1" si="11"/>
        <v>-1.2679585826172115</v>
      </c>
      <c r="J199" s="23">
        <f t="shared" ca="1" si="14"/>
        <v>52.887811409403646</v>
      </c>
      <c r="K199" s="30">
        <f t="shared" si="12"/>
        <v>-0.45426765743186426</v>
      </c>
    </row>
    <row r="200" spans="4:11" x14ac:dyDescent="0.15">
      <c r="D200" s="16">
        <v>1980</v>
      </c>
      <c r="E200" s="18">
        <v>1238.7380000000001</v>
      </c>
      <c r="F200" s="23">
        <f t="shared" si="13"/>
        <v>53.994026176666665</v>
      </c>
      <c r="G200" s="30">
        <f t="shared" si="10"/>
        <v>-0.39463483269146182</v>
      </c>
      <c r="H200" s="259">
        <v>121.8414250323757</v>
      </c>
      <c r="I200" s="23">
        <f t="shared" ca="1" si="11"/>
        <v>-1.4579951890054872</v>
      </c>
      <c r="J200" s="23">
        <f t="shared" ca="1" si="14"/>
        <v>54.147618256815882</v>
      </c>
      <c r="K200" s="30">
        <f t="shared" si="12"/>
        <v>-0.43317149014718948</v>
      </c>
    </row>
    <row r="201" spans="4:11" x14ac:dyDescent="0.15">
      <c r="D201" s="16">
        <v>1981</v>
      </c>
      <c r="E201" s="18">
        <v>1241.0697843808862</v>
      </c>
      <c r="F201" s="23">
        <f t="shared" si="13"/>
        <v>55.235095961047548</v>
      </c>
      <c r="G201" s="30">
        <f t="shared" si="10"/>
        <v>-0.35629806472981618</v>
      </c>
      <c r="H201" s="259">
        <v>122.0734286592556</v>
      </c>
      <c r="I201" s="23">
        <f t="shared" ca="1" si="11"/>
        <v>-1.7140842644239456</v>
      </c>
      <c r="J201" s="23">
        <f t="shared" ca="1" si="14"/>
        <v>55.4169599945808</v>
      </c>
      <c r="K201" s="30">
        <f t="shared" si="12"/>
        <v>-0.41222720227203086</v>
      </c>
    </row>
    <row r="202" spans="4:11" x14ac:dyDescent="0.15">
      <c r="D202" s="16">
        <v>1982</v>
      </c>
      <c r="E202" s="18">
        <v>1292.384341331373</v>
      </c>
      <c r="F202" s="23">
        <f t="shared" si="13"/>
        <v>56.527480302378919</v>
      </c>
      <c r="G202" s="30">
        <f t="shared" si="10"/>
        <v>-0.31664930955504439</v>
      </c>
      <c r="H202" s="259">
        <v>122.82713541766012</v>
      </c>
      <c r="I202" s="23">
        <f t="shared" ca="1" si="11"/>
        <v>-1.5682651513216115</v>
      </c>
      <c r="J202" s="23">
        <f t="shared" ca="1" si="14"/>
        <v>56.694960882321858</v>
      </c>
      <c r="K202" s="30">
        <f t="shared" si="12"/>
        <v>-0.39060732958187511</v>
      </c>
    </row>
    <row r="203" spans="4:11" x14ac:dyDescent="0.15">
      <c r="D203" s="16">
        <v>1983</v>
      </c>
      <c r="E203" s="18">
        <v>1292.6752952523079</v>
      </c>
      <c r="F203" s="23">
        <f t="shared" si="13"/>
        <v>57.820155597631228</v>
      </c>
      <c r="G203" s="30">
        <f t="shared" si="10"/>
        <v>-0.27723704442232566</v>
      </c>
      <c r="H203" s="259">
        <v>123.79291741844696</v>
      </c>
      <c r="I203" s="23">
        <f t="shared" ca="1" si="11"/>
        <v>-1.4948913208072554</v>
      </c>
      <c r="J203" s="23">
        <f t="shared" ca="1" si="14"/>
        <v>57.980719825338504</v>
      </c>
      <c r="K203" s="30">
        <f t="shared" si="12"/>
        <v>-0.36916371998317898</v>
      </c>
    </row>
    <row r="204" spans="4:11" x14ac:dyDescent="0.15">
      <c r="D204" s="16">
        <v>1984</v>
      </c>
      <c r="E204" s="18">
        <v>1341.5044220291406</v>
      </c>
      <c r="F204" s="23">
        <f t="shared" si="13"/>
        <v>59.161660019660367</v>
      </c>
      <c r="G204" s="30">
        <f t="shared" si="10"/>
        <v>-0.23656064226784412</v>
      </c>
      <c r="H204" s="259">
        <v>125.23066123285011</v>
      </c>
      <c r="I204" s="23">
        <f t="shared" ca="1" si="11"/>
        <v>-1.0342675114989106</v>
      </c>
      <c r="J204" s="23">
        <f t="shared" ca="1" si="14"/>
        <v>59.273312790162194</v>
      </c>
      <c r="K204" s="30">
        <f t="shared" si="12"/>
        <v>-0.34708804552613098</v>
      </c>
    </row>
    <row r="205" spans="4:11" x14ac:dyDescent="0.15">
      <c r="D205" s="16">
        <v>1985</v>
      </c>
      <c r="E205" s="18">
        <v>1382.9885543840876</v>
      </c>
      <c r="F205" s="23">
        <f t="shared" si="13"/>
        <v>60.544648574044452</v>
      </c>
      <c r="G205" s="30">
        <f t="shared" si="10"/>
        <v>-0.19482898693725248</v>
      </c>
      <c r="H205" s="259">
        <v>127.20150298932086</v>
      </c>
      <c r="I205" s="23">
        <f t="shared" ca="1" si="11"/>
        <v>-0.250382249492759</v>
      </c>
      <c r="J205" s="23">
        <f t="shared" ca="1" si="14"/>
        <v>60.571795362201492</v>
      </c>
      <c r="K205" s="30">
        <f t="shared" si="12"/>
        <v>-0.32450532189868886</v>
      </c>
    </row>
    <row r="206" spans="4:11" x14ac:dyDescent="0.15">
      <c r="D206" s="16">
        <v>1986</v>
      </c>
      <c r="E206" s="18">
        <v>1400.3029632208516</v>
      </c>
      <c r="F206" s="23">
        <f t="shared" si="13"/>
        <v>61.944951537265304</v>
      </c>
      <c r="G206" s="30">
        <f t="shared" si="10"/>
        <v>-0.15274634680046842</v>
      </c>
      <c r="H206" s="259">
        <v>129.52656591498433</v>
      </c>
      <c r="I206" s="23">
        <f t="shared" ca="1" si="11"/>
        <v>0.64102209977409075</v>
      </c>
      <c r="J206" s="23">
        <f t="shared" ca="1" si="14"/>
        <v>61.875205431139186</v>
      </c>
      <c r="K206" s="30">
        <f t="shared" si="12"/>
        <v>-0.30180722148296441</v>
      </c>
    </row>
    <row r="207" spans="4:11" x14ac:dyDescent="0.15">
      <c r="D207" s="16">
        <v>1987</v>
      </c>
      <c r="E207" s="18">
        <v>1404.6533899928997</v>
      </c>
      <c r="F207" s="23">
        <f t="shared" si="13"/>
        <v>63.349604927258206</v>
      </c>
      <c r="G207" s="30">
        <f t="shared" si="10"/>
        <v>-0.11066813279520653</v>
      </c>
      <c r="H207" s="259">
        <v>131.98480688585579</v>
      </c>
      <c r="I207" s="23">
        <f t="shared" ca="1" si="11"/>
        <v>1.531070568067662</v>
      </c>
      <c r="J207" s="23">
        <f t="shared" ca="1" si="14"/>
        <v>63.182565988386912</v>
      </c>
      <c r="K207" s="30">
        <f t="shared" si="12"/>
        <v>-0.27919376410288682</v>
      </c>
    </row>
    <row r="208" spans="4:11" x14ac:dyDescent="0.15">
      <c r="D208" s="16">
        <v>1988</v>
      </c>
      <c r="E208" s="18">
        <v>1393.0215156448924</v>
      </c>
      <c r="F208" s="23">
        <f t="shared" si="13"/>
        <v>64.742626442903102</v>
      </c>
      <c r="G208" s="30">
        <f t="shared" si="10"/>
        <v>-6.9034919243014123E-2</v>
      </c>
      <c r="H208" s="259">
        <v>134.32035061085816</v>
      </c>
      <c r="I208" s="23">
        <f t="shared" ca="1" si="11"/>
        <v>2.2847996239515851</v>
      </c>
      <c r="J208" s="23">
        <f t="shared" ca="1" si="14"/>
        <v>64.492888019695243</v>
      </c>
      <c r="K208" s="30">
        <f t="shared" si="12"/>
        <v>-0.25690773940218964</v>
      </c>
    </row>
    <row r="209" spans="4:11" x14ac:dyDescent="0.15">
      <c r="D209" s="16">
        <v>1989</v>
      </c>
      <c r="E209" s="18">
        <v>1368.1825645618114</v>
      </c>
      <c r="F209" s="23">
        <f t="shared" si="13"/>
        <v>66.110809007464908</v>
      </c>
      <c r="G209" s="30">
        <f t="shared" si="10"/>
        <v>-2.820241665876292E-2</v>
      </c>
      <c r="H209" s="259">
        <v>136.29443980250196</v>
      </c>
      <c r="I209" s="23">
        <f t="shared" ca="1" si="11"/>
        <v>2.7932425280832831</v>
      </c>
      <c r="J209" s="23">
        <f t="shared" ca="1" si="14"/>
        <v>65.805173474980776</v>
      </c>
      <c r="K209" s="30">
        <f t="shared" si="12"/>
        <v>-0.23514268126855567</v>
      </c>
    </row>
    <row r="210" spans="4:11" x14ac:dyDescent="0.15">
      <c r="D210" s="16">
        <v>1990</v>
      </c>
      <c r="E210" s="18">
        <v>1220.8650560726678</v>
      </c>
      <c r="F210" s="23">
        <f t="shared" si="13"/>
        <v>67.331674063537577</v>
      </c>
      <c r="G210" s="30">
        <f t="shared" si="10"/>
        <v>8.2126220868592569E-3</v>
      </c>
      <c r="H210" s="259">
        <v>137.05653661079916</v>
      </c>
      <c r="I210" s="23">
        <f t="shared" ca="1" si="11"/>
        <v>1.9484596755382881</v>
      </c>
      <c r="J210" s="23">
        <f t="shared" ca="1" si="14"/>
        <v>67.118418296583442</v>
      </c>
      <c r="K210" s="30">
        <f t="shared" si="12"/>
        <v>-0.21581507130456604</v>
      </c>
    </row>
    <row r="211" spans="4:11" x14ac:dyDescent="0.15">
      <c r="D211" s="16">
        <v>1991</v>
      </c>
      <c r="E211" s="18">
        <v>1073.1930771469101</v>
      </c>
      <c r="F211" s="23">
        <f t="shared" si="13"/>
        <v>68.404867140684487</v>
      </c>
      <c r="G211" s="30">
        <f t="shared" ref="G211:G229" si="15" xml:space="preserve"> - LN(F$1/F211 - 1)</f>
        <v>4.0226706684664867E-2</v>
      </c>
      <c r="H211" s="259">
        <v>136.26779046475806</v>
      </c>
      <c r="I211" s="23">
        <f t="shared" ref="I211:I229" ca="1" si="16" xml:space="preserve"> (G211/LN(81)*IF(D211&lt;E$6,F$2-E$2,F$5-E$5) - D211 + IF(D211&lt;E$6,AVERAGE(E$2:F$2),AVERAGE(E$5:F$5)))*12</f>
        <v>-0.24449143017591268</v>
      </c>
      <c r="J211" s="23">
        <f t="shared" ca="1" si="14"/>
        <v>68.431615486520187</v>
      </c>
      <c r="K211" s="30">
        <f t="shared" ref="K211:K227" si="17">NORMSINV(F211/F$10)</f>
        <v>-0.19889183895396298</v>
      </c>
    </row>
    <row r="212" spans="4:11" x14ac:dyDescent="0.15">
      <c r="D212" s="16">
        <v>1992</v>
      </c>
      <c r="E212" s="18">
        <v>1023.9292618876706</v>
      </c>
      <c r="F212" s="23">
        <f t="shared" ref="F212:F229" si="18">F211+E212/1000</f>
        <v>69.428796402572161</v>
      </c>
      <c r="G212" s="30">
        <f t="shared" si="15"/>
        <v>7.0790211133970257E-2</v>
      </c>
      <c r="H212" s="18">
        <v>134.38960222878472</v>
      </c>
      <c r="I212" s="23">
        <f t="shared" ca="1" si="16"/>
        <v>-2.8818066531284785</v>
      </c>
      <c r="J212" s="23">
        <f t="shared" ca="1" si="14"/>
        <v>69.743758192868341</v>
      </c>
      <c r="K212" s="30">
        <f t="shared" si="17"/>
        <v>-0.18279844919640734</v>
      </c>
    </row>
    <row r="213" spans="4:11" x14ac:dyDescent="0.15">
      <c r="D213" s="16">
        <v>1993</v>
      </c>
      <c r="E213" s="18">
        <v>963.6956985791644</v>
      </c>
      <c r="F213" s="23">
        <f t="shared" si="18"/>
        <v>70.392492101151319</v>
      </c>
      <c r="G213" s="30">
        <f t="shared" si="15"/>
        <v>9.9585758064875768E-2</v>
      </c>
      <c r="H213" s="262">
        <f>H212</f>
        <v>134.38960222878472</v>
      </c>
      <c r="I213" s="23">
        <f t="shared" ca="1" si="16"/>
        <v>-2.4609277163244769</v>
      </c>
      <c r="J213" s="23">
        <f t="shared" ca="1" si="14"/>
        <v>70.561278192333674</v>
      </c>
      <c r="K213" s="30">
        <f t="shared" si="17"/>
        <v>-0.16769497110326362</v>
      </c>
    </row>
    <row r="214" spans="4:11" x14ac:dyDescent="0.15">
      <c r="D214" s="16">
        <v>1994</v>
      </c>
      <c r="E214" s="18">
        <v>910.103854258051</v>
      </c>
      <c r="F214" s="23">
        <f t="shared" si="18"/>
        <v>71.302595955409373</v>
      </c>
      <c r="G214" s="30">
        <f t="shared" si="15"/>
        <v>0.12681769027855738</v>
      </c>
      <c r="H214" s="260">
        <v>134.38957684826767</v>
      </c>
      <c r="I214" s="23">
        <f t="shared" ca="1" si="16"/>
        <v>-1.1833568672309411</v>
      </c>
      <c r="J214" s="23">
        <f t="shared" ca="1" si="14"/>
        <v>71.38363731515922</v>
      </c>
      <c r="K214" s="30">
        <f t="shared" si="17"/>
        <v>-0.15346650546028509</v>
      </c>
    </row>
    <row r="215" spans="4:11" x14ac:dyDescent="0.15">
      <c r="D215" s="16">
        <v>1995</v>
      </c>
      <c r="E215" s="18">
        <v>888.09957273212683</v>
      </c>
      <c r="F215" s="23">
        <f t="shared" si="18"/>
        <v>72.190695528141504</v>
      </c>
      <c r="G215" s="30">
        <f t="shared" si="15"/>
        <v>0.15343648666187912</v>
      </c>
      <c r="H215" s="18">
        <v>134.38943507762897</v>
      </c>
      <c r="I215" s="23">
        <f t="shared" ca="1" si="16"/>
        <v>-0.20473485378443002</v>
      </c>
      <c r="J215" s="23">
        <f t="shared" ca="1" si="14"/>
        <v>72.204691425084363</v>
      </c>
      <c r="K215" s="30">
        <f t="shared" si="17"/>
        <v>-0.1396119633997657</v>
      </c>
    </row>
    <row r="216" spans="4:11" x14ac:dyDescent="0.15">
      <c r="D216" s="16">
        <v>1996</v>
      </c>
      <c r="E216" s="18">
        <v>868.55568915554318</v>
      </c>
      <c r="F216" s="23">
        <f t="shared" si="18"/>
        <v>73.059251217297046</v>
      </c>
      <c r="G216" s="30">
        <f t="shared" si="15"/>
        <v>0.17952201604723206</v>
      </c>
      <c r="H216" s="259">
        <v>134.38902733812071</v>
      </c>
      <c r="I216" s="23">
        <f t="shared" ca="1" si="16"/>
        <v>0.51388025704909523</v>
      </c>
      <c r="J216" s="23">
        <f t="shared" ca="1" si="14"/>
        <v>73.02419560943359</v>
      </c>
      <c r="K216" s="30">
        <f t="shared" si="17"/>
        <v>-0.12608820093813269</v>
      </c>
    </row>
    <row r="217" spans="4:11" x14ac:dyDescent="0.15">
      <c r="D217" s="16">
        <v>1997</v>
      </c>
      <c r="E217" s="18">
        <v>864.61340762961936</v>
      </c>
      <c r="F217" s="23">
        <f t="shared" si="18"/>
        <v>73.923864624926665</v>
      </c>
      <c r="G217" s="30">
        <f t="shared" si="15"/>
        <v>0.20554977801575525</v>
      </c>
      <c r="H217" s="263">
        <v>134.38809560723769</v>
      </c>
      <c r="I217" s="23">
        <f t="shared" ca="1" si="16"/>
        <v>1.2043295012927047</v>
      </c>
      <c r="J217" s="23">
        <f t="shared" ca="1" si="14"/>
        <v>73.841906816012482</v>
      </c>
      <c r="K217" s="30">
        <f t="shared" si="17"/>
        <v>-0.11264869103885829</v>
      </c>
    </row>
    <row r="218" spans="4:11" x14ac:dyDescent="0.15">
      <c r="D218" s="16">
        <v>1998</v>
      </c>
      <c r="E218" s="18">
        <v>825.52384457777202</v>
      </c>
      <c r="F218" s="23">
        <f t="shared" si="18"/>
        <v>74.749388469504439</v>
      </c>
      <c r="G218" s="30">
        <f t="shared" si="15"/>
        <v>0.23046560695299001</v>
      </c>
      <c r="H218" s="263">
        <v>134.3859176945947</v>
      </c>
      <c r="I218" s="23">
        <f t="shared" ca="1" si="16"/>
        <v>1.3526295698356989</v>
      </c>
      <c r="J218" s="23">
        <f t="shared" ca="1" si="14"/>
        <v>74.657584138263985</v>
      </c>
      <c r="K218" s="30">
        <f t="shared" si="17"/>
        <v>-9.9835782078983873E-2</v>
      </c>
    </row>
    <row r="219" spans="4:11" x14ac:dyDescent="0.15">
      <c r="D219" s="16">
        <v>1999</v>
      </c>
      <c r="E219" s="18">
        <v>785.05612610369565</v>
      </c>
      <c r="F219" s="23">
        <f t="shared" si="18"/>
        <v>75.534444595608136</v>
      </c>
      <c r="G219" s="30">
        <f t="shared" si="15"/>
        <v>0.25422618562891652</v>
      </c>
      <c r="H219" s="263">
        <v>134.38222927945733</v>
      </c>
      <c r="I219" s="23">
        <f t="shared" ca="1" si="16"/>
        <v>0.93766012549349398</v>
      </c>
      <c r="J219" s="23">
        <f t="shared" ca="1" si="14"/>
        <v>75.470989094993655</v>
      </c>
      <c r="K219" s="30">
        <f t="shared" si="17"/>
        <v>-8.7666188498659522E-2</v>
      </c>
    </row>
    <row r="220" spans="4:11" x14ac:dyDescent="0.15">
      <c r="D220" s="16">
        <v>2000</v>
      </c>
      <c r="E220" s="18">
        <v>793.16412610369593</v>
      </c>
      <c r="F220" s="23">
        <f t="shared" si="18"/>
        <v>76.327608721711826</v>
      </c>
      <c r="G220" s="30">
        <f t="shared" si="15"/>
        <v>0.27830489761081939</v>
      </c>
      <c r="H220" s="263">
        <v>134.37564747752319</v>
      </c>
      <c r="I220" s="23">
        <f t="shared" ca="1" si="16"/>
        <v>0.67780407804093556</v>
      </c>
      <c r="J220" s="23">
        <f t="shared" ca="1" si="14"/>
        <v>76.281885903985085</v>
      </c>
      <c r="K220" s="30">
        <f t="shared" si="17"/>
        <v>-7.5384073444364333E-2</v>
      </c>
    </row>
    <row r="221" spans="4:11" x14ac:dyDescent="0.15">
      <c r="D221" s="16">
        <v>2001</v>
      </c>
      <c r="E221" s="18">
        <v>805.4065630518478</v>
      </c>
      <c r="F221" s="23">
        <f t="shared" si="18"/>
        <v>77.133015284763673</v>
      </c>
      <c r="G221" s="30">
        <f t="shared" si="15"/>
        <v>0.30283760735909371</v>
      </c>
      <c r="H221" s="263">
        <v>134.36556005860487</v>
      </c>
      <c r="I221" s="23">
        <f t="shared" ca="1" si="16"/>
        <v>0.63930534967312269</v>
      </c>
      <c r="J221" s="23">
        <f t="shared" ca="1" si="14"/>
        <v>77.090041748853295</v>
      </c>
      <c r="K221" s="30">
        <f t="shared" si="17"/>
        <v>-6.2924000929085649E-2</v>
      </c>
    </row>
    <row r="222" spans="4:11" x14ac:dyDescent="0.15">
      <c r="D222" s="16">
        <v>2002</v>
      </c>
      <c r="E222" s="18">
        <v>793.92456305184783</v>
      </c>
      <c r="F222" s="23">
        <f t="shared" si="18"/>
        <v>77.926939847815518</v>
      </c>
      <c r="G222" s="30">
        <f t="shared" si="15"/>
        <v>0.32710938697956843</v>
      </c>
      <c r="H222" s="263">
        <v>134.35158610640511</v>
      </c>
      <c r="I222" s="23">
        <f t="shared" ca="1" si="16"/>
        <v>0.47358398314281658</v>
      </c>
      <c r="J222" s="23">
        <f t="shared" ca="1" si="14"/>
        <v>77.895227038512374</v>
      </c>
      <c r="K222" s="30">
        <f t="shared" si="17"/>
        <v>-5.0651124304631062E-2</v>
      </c>
    </row>
    <row r="223" spans="4:11" x14ac:dyDescent="0.15">
      <c r="D223" s="16">
        <v>2003</v>
      </c>
      <c r="E223" s="18">
        <v>790.65828152592383</v>
      </c>
      <c r="F223" s="23">
        <f t="shared" si="18"/>
        <v>78.71759812934144</v>
      </c>
      <c r="G223" s="30">
        <f t="shared" si="15"/>
        <v>0.35137659380870812</v>
      </c>
      <c r="H223" s="263">
        <v>134.3334334573633</v>
      </c>
      <c r="I223" s="23">
        <f t="shared" ca="1" si="16"/>
        <v>0.30563304434144811</v>
      </c>
      <c r="J223" s="23">
        <f t="shared" ca="1" si="14"/>
        <v>78.697215658665343</v>
      </c>
      <c r="K223" s="30">
        <f t="shared" si="17"/>
        <v>-3.8436319802681029E-2</v>
      </c>
    </row>
    <row r="224" spans="4:11" x14ac:dyDescent="0.15">
      <c r="D224" s="16">
        <v>2004</v>
      </c>
      <c r="E224" s="18">
        <v>786.47471105184786</v>
      </c>
      <c r="F224" s="23">
        <f t="shared" si="18"/>
        <v>79.504072840393292</v>
      </c>
      <c r="G224" s="30">
        <f t="shared" si="15"/>
        <v>0.37561741806596177</v>
      </c>
      <c r="H224" s="263">
        <v>134.31074685392107</v>
      </c>
      <c r="I224" s="23">
        <f t="shared" ca="1" si="16"/>
        <v>0.12481866035250277</v>
      </c>
      <c r="J224" s="23">
        <f t="shared" ca="1" si="14"/>
        <v>79.495785214757348</v>
      </c>
      <c r="K224" s="30">
        <f t="shared" si="17"/>
        <v>-2.6291836937225095E-2</v>
      </c>
    </row>
    <row r="225" spans="4:11" x14ac:dyDescent="0.15">
      <c r="D225" s="16">
        <v>2005</v>
      </c>
      <c r="E225" s="18">
        <v>779.93708852592408</v>
      </c>
      <c r="F225" s="23">
        <f t="shared" si="18"/>
        <v>80.284009928919218</v>
      </c>
      <c r="G225" s="30">
        <f t="shared" si="15"/>
        <v>0.39976493324611778</v>
      </c>
      <c r="H225" s="263">
        <v>134.28260270352388</v>
      </c>
      <c r="I225" s="23">
        <f t="shared" ca="1" si="16"/>
        <v>-0.10149076498601062</v>
      </c>
      <c r="J225" s="23">
        <f t="shared" ca="1" si="14"/>
        <v>80.290717265869048</v>
      </c>
      <c r="K225" s="30">
        <f t="shared" si="17"/>
        <v>-1.4252139228259715E-2</v>
      </c>
    </row>
    <row r="226" spans="4:11" x14ac:dyDescent="0.15">
      <c r="D226" s="16">
        <v>2006</v>
      </c>
      <c r="E226" s="18">
        <v>778.1846645051686</v>
      </c>
      <c r="F226" s="23">
        <f t="shared" si="18"/>
        <v>81.06219459342438</v>
      </c>
      <c r="G226" s="30">
        <f t="shared" si="15"/>
        <v>0.42397337706077376</v>
      </c>
      <c r="H226" s="263">
        <v>134.2492800306716</v>
      </c>
      <c r="I226" s="23">
        <f t="shared" ca="1" si="16"/>
        <v>-0.29809299749467755</v>
      </c>
      <c r="J226" s="23">
        <f t="shared" ca="1" si="14"/>
        <v>81.08179754906385</v>
      </c>
      <c r="K226" s="30">
        <f t="shared" si="17"/>
        <v>-2.2415532349442419E-3</v>
      </c>
    </row>
    <row r="227" spans="4:11" x14ac:dyDescent="0.15">
      <c r="D227" s="16">
        <v>2007</v>
      </c>
      <c r="E227" s="18">
        <v>786.57572210064484</v>
      </c>
      <c r="F227" s="23">
        <f t="shared" si="18"/>
        <v>81.84877031552503</v>
      </c>
      <c r="G227" s="30">
        <f t="shared" si="15"/>
        <v>0.4485679186311014</v>
      </c>
      <c r="H227" s="264">
        <v>134.21521966137556</v>
      </c>
      <c r="I227" s="23">
        <f t="shared" ca="1" si="16"/>
        <v>-0.30644416264203755</v>
      </c>
      <c r="J227" s="23">
        <f t="shared" ca="1" si="14"/>
        <v>81.868816193742347</v>
      </c>
      <c r="K227" s="30">
        <f t="shared" si="17"/>
        <v>9.8982189687137675E-3</v>
      </c>
    </row>
    <row r="228" spans="4:11" x14ac:dyDescent="0.15">
      <c r="D228" s="16">
        <v>2008</v>
      </c>
      <c r="E228" s="18">
        <v>772.15962234865549</v>
      </c>
      <c r="F228" s="23">
        <f t="shared" si="18"/>
        <v>82.620929937873683</v>
      </c>
      <c r="G228" s="30">
        <f t="shared" si="15"/>
        <v>0.47284215429063975</v>
      </c>
      <c r="H228" s="129">
        <v>134.1761524594944</v>
      </c>
      <c r="I228" s="23">
        <f t="shared" ca="1" si="16"/>
        <v>-0.47096802939995541</v>
      </c>
      <c r="J228" s="23">
        <f t="shared" ca="1" si="14"/>
        <v>82.651567925596225</v>
      </c>
      <c r="K228" s="30">
        <f>NORMSINV(F228/F$10)</f>
        <v>2.1816905909320991E-2</v>
      </c>
    </row>
    <row r="229" spans="4:11" x14ac:dyDescent="0.15">
      <c r="D229" s="16">
        <v>2009</v>
      </c>
      <c r="E229" s="18">
        <v>731.0657100518298</v>
      </c>
      <c r="F229" s="23">
        <f t="shared" si="18"/>
        <v>83.351995647925506</v>
      </c>
      <c r="G229" s="30">
        <f t="shared" si="15"/>
        <v>0.49595115603011686</v>
      </c>
      <c r="H229" s="260">
        <v>134.11265502862332</v>
      </c>
      <c r="I229" s="23">
        <f t="shared" ca="1" si="16"/>
        <v>-1.2036291773456469</v>
      </c>
      <c r="J229" s="23">
        <f t="shared" ca="1" si="14"/>
        <v>83.429852259796235</v>
      </c>
      <c r="K229" s="30">
        <f>NORMSINV(F229/F$10)</f>
        <v>3.3104116156390563E-2</v>
      </c>
    </row>
    <row r="230" spans="4:11" x14ac:dyDescent="0.15">
      <c r="D230" s="16">
        <v>2010</v>
      </c>
      <c r="E230" s="18"/>
      <c r="H230" s="129"/>
      <c r="I230" s="23"/>
      <c r="J230" s="23">
        <f t="shared" ca="1" si="14"/>
        <v>84.203473683090252</v>
      </c>
    </row>
    <row r="231" spans="4:11" x14ac:dyDescent="0.15">
      <c r="D231" s="16">
        <v>2011</v>
      </c>
      <c r="E231" s="18"/>
      <c r="H231" s="129"/>
      <c r="I231" s="23"/>
      <c r="J231" s="23">
        <f t="shared" ca="1" si="14"/>
        <v>84.972241824529931</v>
      </c>
    </row>
    <row r="232" spans="4:11" x14ac:dyDescent="0.15">
      <c r="D232" s="16">
        <v>2012</v>
      </c>
      <c r="E232" s="18"/>
      <c r="H232" s="129"/>
      <c r="I232" s="23"/>
      <c r="J232" s="23">
        <f t="shared" ca="1" si="14"/>
        <v>85.735971614588095</v>
      </c>
    </row>
    <row r="233" spans="4:11" x14ac:dyDescent="0.15">
      <c r="D233" s="16">
        <v>2013</v>
      </c>
      <c r="E233" s="18"/>
      <c r="H233" s="129"/>
      <c r="I233" s="23"/>
      <c r="J233" s="23">
        <f t="shared" ca="1" si="14"/>
        <v>86.494483432471299</v>
      </c>
    </row>
    <row r="234" spans="4:11" x14ac:dyDescent="0.15">
      <c r="D234" s="16">
        <v>2014</v>
      </c>
      <c r="E234" s="18"/>
      <c r="H234" s="129"/>
      <c r="I234" s="23"/>
      <c r="J234" s="23">
        <f t="shared" ref="J234:J297" ca="1" si="19">F$1/(1+EXP((IF(D234&lt;E$6,AVERAGE(E$2:F$2),AVERAGE(E$5:F$5))-D234)*LN(81)/IF(D234&lt;E$6,F$2-E$2,F$5-E$5)))</f>
        <v>87.247603241475488</v>
      </c>
    </row>
    <row r="235" spans="4:11" x14ac:dyDescent="0.15">
      <c r="D235" s="16">
        <v>2015</v>
      </c>
      <c r="E235" s="18"/>
      <c r="H235" s="129"/>
      <c r="I235" s="23"/>
      <c r="J235" s="23">
        <f t="shared" ca="1" si="19"/>
        <v>87.995162712275146</v>
      </c>
    </row>
    <row r="236" spans="4:11" x14ac:dyDescent="0.15">
      <c r="D236" s="16">
        <v>2016</v>
      </c>
      <c r="E236" s="18"/>
      <c r="H236" s="129"/>
      <c r="I236" s="23"/>
      <c r="J236" s="23">
        <f t="shared" ca="1" si="19"/>
        <v>88.736999334078149</v>
      </c>
    </row>
    <row r="237" spans="4:11" x14ac:dyDescent="0.15">
      <c r="D237" s="16">
        <v>2017</v>
      </c>
      <c r="E237" s="18"/>
      <c r="H237" s="129"/>
      <c r="I237" s="23"/>
      <c r="J237" s="23">
        <f t="shared" ca="1" si="19"/>
        <v>89.472956513620332</v>
      </c>
    </row>
    <row r="238" spans="4:11" x14ac:dyDescent="0.15">
      <c r="D238" s="16">
        <v>2018</v>
      </c>
      <c r="E238" s="18"/>
      <c r="H238" s="129"/>
      <c r="I238" s="23"/>
      <c r="J238" s="23">
        <f t="shared" ca="1" si="19"/>
        <v>90.202883662013406</v>
      </c>
    </row>
    <row r="239" spans="4:11" x14ac:dyDescent="0.15">
      <c r="D239" s="16">
        <v>2019</v>
      </c>
      <c r="E239" s="18"/>
      <c r="H239" s="129"/>
      <c r="I239" s="23"/>
      <c r="J239" s="23">
        <f t="shared" ca="1" si="19"/>
        <v>90.926636269499681</v>
      </c>
    </row>
    <row r="240" spans="4:11" x14ac:dyDescent="0.15">
      <c r="D240" s="16">
        <v>2020</v>
      </c>
      <c r="E240" s="18"/>
      <c r="H240" s="129"/>
      <c r="I240" s="23"/>
      <c r="J240" s="23">
        <f t="shared" ca="1" si="19"/>
        <v>91.644075968204561</v>
      </c>
    </row>
    <row r="241" spans="4:10" x14ac:dyDescent="0.15">
      <c r="D241" s="16">
        <v>2021</v>
      </c>
      <c r="E241" s="18"/>
      <c r="H241" s="129"/>
      <c r="I241" s="23"/>
      <c r="J241" s="23">
        <f t="shared" ca="1" si="19"/>
        <v>92.355070583014211</v>
      </c>
    </row>
    <row r="242" spans="4:10" x14ac:dyDescent="0.15">
      <c r="D242" s="16">
        <v>2022</v>
      </c>
      <c r="E242" s="18"/>
      <c r="H242" s="129"/>
      <c r="I242" s="23"/>
      <c r="J242" s="23">
        <f t="shared" ca="1" si="19"/>
        <v>93.059494170740678</v>
      </c>
    </row>
    <row r="243" spans="4:10" x14ac:dyDescent="0.15">
      <c r="D243" s="16">
        <v>2023</v>
      </c>
      <c r="E243" s="18"/>
      <c r="H243" s="129"/>
      <c r="I243" s="23"/>
      <c r="J243" s="23">
        <f t="shared" ca="1" si="19"/>
        <v>93.757227047769561</v>
      </c>
    </row>
    <row r="244" spans="4:10" x14ac:dyDescent="0.15">
      <c r="D244" s="16">
        <v>2024</v>
      </c>
      <c r="E244" s="18"/>
      <c r="H244" s="129"/>
      <c r="I244" s="23"/>
      <c r="J244" s="23">
        <f t="shared" ca="1" si="19"/>
        <v>94.448155806416878</v>
      </c>
    </row>
    <row r="245" spans="4:10" x14ac:dyDescent="0.15">
      <c r="D245" s="16">
        <v>2025</v>
      </c>
      <c r="E245" s="18"/>
      <c r="H245" s="129"/>
      <c r="I245" s="23"/>
      <c r="J245" s="23">
        <f t="shared" ca="1" si="19"/>
        <v>95.132173320250828</v>
      </c>
    </row>
    <row r="246" spans="4:10" x14ac:dyDescent="0.15">
      <c r="D246" s="16">
        <v>2026</v>
      </c>
      <c r="E246" s="18"/>
      <c r="H246" s="129"/>
      <c r="I246" s="23"/>
      <c r="J246" s="23">
        <f t="shared" ca="1" si="19"/>
        <v>95.809178738661217</v>
      </c>
    </row>
    <row r="247" spans="4:10" x14ac:dyDescent="0.15">
      <c r="D247" s="16">
        <v>2027</v>
      </c>
      <c r="E247" s="18"/>
      <c r="H247" s="129"/>
      <c r="I247" s="23"/>
      <c r="J247" s="23">
        <f t="shared" ca="1" si="19"/>
        <v>96.479077470984919</v>
      </c>
    </row>
    <row r="248" spans="4:10" x14ac:dyDescent="0.15">
      <c r="D248" s="16">
        <v>2028</v>
      </c>
      <c r="E248" s="18"/>
      <c r="H248" s="129"/>
      <c r="I248" s="23"/>
      <c r="J248" s="23">
        <f t="shared" ca="1" si="19"/>
        <v>97.141781160518292</v>
      </c>
    </row>
    <row r="249" spans="4:10" x14ac:dyDescent="0.15">
      <c r="D249" s="16">
        <v>2029</v>
      </c>
      <c r="E249" s="18"/>
      <c r="H249" s="129"/>
      <c r="I249" s="23"/>
      <c r="J249" s="23">
        <f t="shared" ca="1" si="19"/>
        <v>97.797207648768932</v>
      </c>
    </row>
    <row r="250" spans="4:10" x14ac:dyDescent="0.15">
      <c r="D250" s="16">
        <v>2030</v>
      </c>
      <c r="E250" s="18"/>
      <c r="H250" s="129"/>
      <c r="I250" s="23"/>
      <c r="J250" s="23">
        <f t="shared" ca="1" si="19"/>
        <v>98.445280930316997</v>
      </c>
    </row>
    <row r="251" spans="4:10" x14ac:dyDescent="0.15">
      <c r="D251" s="16">
        <v>2031</v>
      </c>
      <c r="E251" s="18"/>
      <c r="H251" s="129"/>
      <c r="I251" s="23"/>
      <c r="J251" s="23">
        <f t="shared" ca="1" si="19"/>
        <v>99.085931098673896</v>
      </c>
    </row>
    <row r="252" spans="4:10" x14ac:dyDescent="0.15">
      <c r="D252" s="16">
        <v>2032</v>
      </c>
      <c r="E252" s="18"/>
      <c r="I252" s="23"/>
      <c r="J252" s="23">
        <f t="shared" ca="1" si="19"/>
        <v>99.719094283539604</v>
      </c>
    </row>
    <row r="253" spans="4:10" x14ac:dyDescent="0.15">
      <c r="D253" s="16">
        <v>2033</v>
      </c>
      <c r="E253" s="18"/>
      <c r="I253" s="23"/>
      <c r="J253" s="23">
        <f t="shared" ca="1" si="19"/>
        <v>100.34471257987254</v>
      </c>
    </row>
    <row r="254" spans="4:10" x14ac:dyDescent="0.15">
      <c r="D254" s="16">
        <v>2034</v>
      </c>
      <c r="E254" s="18"/>
      <c r="I254" s="23"/>
      <c r="J254" s="23">
        <f t="shared" ca="1" si="19"/>
        <v>100.96273396919594</v>
      </c>
    </row>
    <row r="255" spans="4:10" x14ac:dyDescent="0.15">
      <c r="D255" s="16">
        <v>2035</v>
      </c>
      <c r="E255" s="18"/>
      <c r="I255" s="23"/>
      <c r="J255" s="23">
        <f t="shared" ca="1" si="19"/>
        <v>101.57311223357264</v>
      </c>
    </row>
    <row r="256" spans="4:10" x14ac:dyDescent="0.15">
      <c r="D256" s="16">
        <v>2036</v>
      </c>
      <c r="E256" s="18"/>
      <c r="I256" s="23"/>
      <c r="J256" s="23">
        <f t="shared" ca="1" si="19"/>
        <v>102.17580686268624</v>
      </c>
    </row>
    <row r="257" spans="4:10" x14ac:dyDescent="0.15">
      <c r="D257" s="16">
        <v>2037</v>
      </c>
      <c r="E257" s="18"/>
      <c r="I257" s="23"/>
      <c r="J257" s="23">
        <f t="shared" ca="1" si="19"/>
        <v>102.77078295447049</v>
      </c>
    </row>
    <row r="258" spans="4:10" x14ac:dyDescent="0.15">
      <c r="D258" s="16">
        <v>2038</v>
      </c>
      <c r="E258" s="18"/>
      <c r="I258" s="23"/>
      <c r="J258" s="23">
        <f t="shared" ca="1" si="19"/>
        <v>103.35801110973154</v>
      </c>
    </row>
    <row r="259" spans="4:10" x14ac:dyDescent="0.15">
      <c r="D259" s="16">
        <v>2039</v>
      </c>
      <c r="E259" s="18"/>
      <c r="I259" s="23"/>
      <c r="J259" s="23">
        <f t="shared" ca="1" si="19"/>
        <v>103.93746732120709</v>
      </c>
    </row>
    <row r="260" spans="4:10" x14ac:dyDescent="0.15">
      <c r="D260" s="16">
        <v>2040</v>
      </c>
      <c r="E260" s="18"/>
      <c r="I260" s="23"/>
      <c r="J260" s="23">
        <f t="shared" ca="1" si="19"/>
        <v>104.50913285750615</v>
      </c>
    </row>
    <row r="261" spans="4:10" x14ac:dyDescent="0.15">
      <c r="D261" s="16">
        <v>2041</v>
      </c>
      <c r="E261" s="18"/>
      <c r="I261" s="23"/>
      <c r="J261" s="23">
        <f t="shared" ca="1" si="19"/>
        <v>105.07299414236955</v>
      </c>
    </row>
    <row r="262" spans="4:10" x14ac:dyDescent="0.15">
      <c r="D262" s="16">
        <v>2042</v>
      </c>
      <c r="E262" s="18"/>
      <c r="I262" s="23"/>
      <c r="J262" s="23">
        <f t="shared" ca="1" si="19"/>
        <v>105.62904262968731</v>
      </c>
    </row>
    <row r="263" spans="4:10" x14ac:dyDescent="0.15">
      <c r="D263" s="16">
        <v>2043</v>
      </c>
      <c r="E263" s="18"/>
      <c r="I263" s="23"/>
      <c r="J263" s="23">
        <f t="shared" ca="1" si="19"/>
        <v>106.17727467470242</v>
      </c>
    </row>
    <row r="264" spans="4:10" x14ac:dyDescent="0.15">
      <c r="D264" s="16">
        <v>2044</v>
      </c>
      <c r="E264" s="18"/>
      <c r="I264" s="23"/>
      <c r="J264" s="23">
        <f t="shared" ca="1" si="19"/>
        <v>106.71769140182451</v>
      </c>
    </row>
    <row r="265" spans="4:10" x14ac:dyDescent="0.15">
      <c r="D265" s="16">
        <v>2045</v>
      </c>
      <c r="E265" s="18"/>
      <c r="I265" s="23"/>
      <c r="J265" s="23">
        <f t="shared" ca="1" si="19"/>
        <v>107.25029856946712</v>
      </c>
    </row>
    <row r="266" spans="4:10" x14ac:dyDescent="0.15">
      <c r="D266" s="16">
        <v>2046</v>
      </c>
      <c r="E266" s="18"/>
      <c r="I266" s="23"/>
      <c r="J266" s="23">
        <f t="shared" ca="1" si="19"/>
        <v>107.77510643231402</v>
      </c>
    </row>
    <row r="267" spans="4:10" x14ac:dyDescent="0.15">
      <c r="D267" s="16">
        <v>2047</v>
      </c>
      <c r="E267" s="18"/>
      <c r="I267" s="23"/>
      <c r="J267" s="23">
        <f t="shared" ca="1" si="19"/>
        <v>108.29212960140832</v>
      </c>
    </row>
    <row r="268" spans="4:10" x14ac:dyDescent="0.15">
      <c r="D268" s="16">
        <v>2048</v>
      </c>
      <c r="E268" s="18"/>
      <c r="I268" s="23"/>
      <c r="J268" s="23">
        <f t="shared" ca="1" si="19"/>
        <v>108.8013869024477</v>
      </c>
    </row>
    <row r="269" spans="4:10" x14ac:dyDescent="0.15">
      <c r="D269" s="16">
        <v>2049</v>
      </c>
      <c r="E269" s="18"/>
      <c r="I269" s="23"/>
      <c r="J269" s="23">
        <f t="shared" ca="1" si="19"/>
        <v>109.30290123265591</v>
      </c>
    </row>
    <row r="270" spans="4:10" x14ac:dyDescent="0.15">
      <c r="D270" s="16">
        <v>2050</v>
      </c>
      <c r="E270" s="18"/>
      <c r="I270" s="23"/>
      <c r="J270" s="23">
        <f t="shared" ca="1" si="19"/>
        <v>109.79669941658857</v>
      </c>
    </row>
    <row r="271" spans="4:10" x14ac:dyDescent="0.15">
      <c r="D271" s="16">
        <v>2051</v>
      </c>
      <c r="E271" s="18"/>
      <c r="I271" s="23"/>
      <c r="J271" s="23">
        <f t="shared" ca="1" si="19"/>
        <v>110.28281206121682</v>
      </c>
    </row>
    <row r="272" spans="4:10" x14ac:dyDescent="0.15">
      <c r="D272" s="16">
        <v>2052</v>
      </c>
      <c r="E272" s="18"/>
      <c r="I272" s="23"/>
      <c r="J272" s="23">
        <f t="shared" ca="1" si="19"/>
        <v>110.7612734106191</v>
      </c>
    </row>
    <row r="273" spans="4:10" x14ac:dyDescent="0.15">
      <c r="D273" s="16">
        <v>2053</v>
      </c>
      <c r="E273" s="18"/>
      <c r="I273" s="23"/>
      <c r="J273" s="23">
        <f t="shared" ca="1" si="19"/>
        <v>111.23212120059637</v>
      </c>
    </row>
    <row r="274" spans="4:10" x14ac:dyDescent="0.15">
      <c r="D274" s="16">
        <v>2054</v>
      </c>
      <c r="E274" s="18"/>
      <c r="I274" s="23"/>
      <c r="J274" s="23">
        <f t="shared" ca="1" si="19"/>
        <v>111.69539651351127</v>
      </c>
    </row>
    <row r="275" spans="4:10" x14ac:dyDescent="0.15">
      <c r="D275" s="16">
        <v>2055</v>
      </c>
      <c r="E275" s="18"/>
      <c r="J275" s="23">
        <f t="shared" ca="1" si="19"/>
        <v>112.15114363363678</v>
      </c>
    </row>
    <row r="276" spans="4:10" x14ac:dyDescent="0.15">
      <c r="D276" s="16">
        <v>2056</v>
      </c>
      <c r="E276" s="18"/>
      <c r="J276" s="23">
        <f t="shared" ca="1" si="19"/>
        <v>112.5994099032845</v>
      </c>
    </row>
    <row r="277" spans="4:10" x14ac:dyDescent="0.15">
      <c r="D277" s="16">
        <v>2057</v>
      </c>
      <c r="E277" s="18"/>
      <c r="J277" s="23">
        <f t="shared" ca="1" si="19"/>
        <v>113.0402455799675</v>
      </c>
    </row>
    <row r="278" spans="4:10" x14ac:dyDescent="0.15">
      <c r="D278" s="16">
        <v>2058</v>
      </c>
      <c r="E278" s="18"/>
      <c r="J278" s="23">
        <f t="shared" ca="1" si="19"/>
        <v>113.47370369483717</v>
      </c>
    </row>
    <row r="279" spans="4:10" x14ac:dyDescent="0.15">
      <c r="D279" s="16">
        <v>2059</v>
      </c>
      <c r="E279" s="18"/>
      <c r="J279" s="23">
        <f t="shared" ca="1" si="19"/>
        <v>113.89983991261813</v>
      </c>
    </row>
    <row r="280" spans="4:10" x14ac:dyDescent="0.15">
      <c r="D280" s="16">
        <v>2060</v>
      </c>
      <c r="E280" s="18"/>
      <c r="J280" s="23">
        <f t="shared" ca="1" si="19"/>
        <v>114.31871239325029</v>
      </c>
    </row>
    <row r="281" spans="4:10" x14ac:dyDescent="0.15">
      <c r="D281" s="16">
        <v>2061</v>
      </c>
      <c r="J281" s="23">
        <f t="shared" ca="1" si="19"/>
        <v>114.73038165543186</v>
      </c>
    </row>
    <row r="282" spans="4:10" x14ac:dyDescent="0.15">
      <c r="D282" s="16">
        <v>2062</v>
      </c>
      <c r="J282" s="23">
        <f t="shared" ca="1" si="19"/>
        <v>115.13491044224199</v>
      </c>
    </row>
    <row r="283" spans="4:10" x14ac:dyDescent="0.15">
      <c r="D283" s="16">
        <v>2063</v>
      </c>
      <c r="J283" s="23">
        <f t="shared" ca="1" si="19"/>
        <v>115.53236358900826</v>
      </c>
    </row>
    <row r="284" spans="4:10" x14ac:dyDescent="0.15">
      <c r="D284" s="16">
        <v>2064</v>
      </c>
      <c r="J284" s="23">
        <f t="shared" ca="1" si="19"/>
        <v>115.9228078935682</v>
      </c>
    </row>
    <row r="285" spans="4:10" x14ac:dyDescent="0.15">
      <c r="D285" s="16">
        <v>2065</v>
      </c>
      <c r="J285" s="23">
        <f t="shared" ca="1" si="19"/>
        <v>116.30631198906181</v>
      </c>
    </row>
    <row r="286" spans="4:10" x14ac:dyDescent="0.15">
      <c r="D286" s="16">
        <v>2066</v>
      </c>
      <c r="J286" s="23">
        <f t="shared" ca="1" si="19"/>
        <v>116.68294621937743</v>
      </c>
    </row>
    <row r="287" spans="4:10" x14ac:dyDescent="0.15">
      <c r="D287" s="16">
        <v>2067</v>
      </c>
      <c r="J287" s="23">
        <f t="shared" ca="1" si="19"/>
        <v>117.05278251736054</v>
      </c>
    </row>
    <row r="288" spans="4:10" x14ac:dyDescent="0.15">
      <c r="D288" s="16">
        <v>2068</v>
      </c>
      <c r="J288" s="23">
        <f t="shared" ca="1" si="19"/>
        <v>117.41589428588232</v>
      </c>
    </row>
    <row r="289" spans="4:10" x14ac:dyDescent="0.15">
      <c r="D289" s="16">
        <v>2069</v>
      </c>
      <c r="J289" s="23">
        <f t="shared" ca="1" si="19"/>
        <v>117.7723562818525</v>
      </c>
    </row>
    <row r="290" spans="4:10" x14ac:dyDescent="0.15">
      <c r="D290" s="16">
        <v>2070</v>
      </c>
      <c r="J290" s="23">
        <f t="shared" ca="1" si="19"/>
        <v>118.12224450324942</v>
      </c>
    </row>
    <row r="291" spans="4:10" x14ac:dyDescent="0.15">
      <c r="D291" s="16">
        <v>2071</v>
      </c>
      <c r="J291" s="23">
        <f t="shared" ca="1" si="19"/>
        <v>118.46563607922874</v>
      </c>
    </row>
    <row r="292" spans="4:10" x14ac:dyDescent="0.15">
      <c r="D292" s="16">
        <v>2072</v>
      </c>
      <c r="J292" s="23">
        <f t="shared" ca="1" si="19"/>
        <v>118.80260916336132</v>
      </c>
    </row>
    <row r="293" spans="4:10" x14ac:dyDescent="0.15">
      <c r="D293" s="16">
        <v>2073</v>
      </c>
      <c r="J293" s="23">
        <f t="shared" ca="1" si="19"/>
        <v>119.13324283004106</v>
      </c>
    </row>
    <row r="294" spans="4:10" x14ac:dyDescent="0.15">
      <c r="D294" s="16">
        <v>2074</v>
      </c>
      <c r="J294" s="23">
        <f t="shared" ca="1" si="19"/>
        <v>119.45761697409286</v>
      </c>
    </row>
    <row r="295" spans="4:10" x14ac:dyDescent="0.15">
      <c r="D295" s="16">
        <v>2075</v>
      </c>
      <c r="J295" s="23">
        <f t="shared" ca="1" si="19"/>
        <v>119.77581221360286</v>
      </c>
    </row>
    <row r="296" spans="4:10" x14ac:dyDescent="0.15">
      <c r="D296" s="16">
        <v>2076</v>
      </c>
      <c r="J296" s="23">
        <f t="shared" ca="1" si="19"/>
        <v>120.08790979598253</v>
      </c>
    </row>
    <row r="297" spans="4:10" x14ac:dyDescent="0.15">
      <c r="D297" s="16">
        <v>2077</v>
      </c>
      <c r="J297" s="23">
        <f t="shared" ca="1" si="19"/>
        <v>120.39399150727186</v>
      </c>
    </row>
    <row r="298" spans="4:10" x14ac:dyDescent="0.15">
      <c r="D298" s="16">
        <v>2078</v>
      </c>
      <c r="J298" s="23">
        <f t="shared" ref="J298:J361" ca="1" si="20">F$1/(1+EXP((IF(D298&lt;E$6,AVERAGE(E$2:F$2),AVERAGE(E$5:F$5))-D298)*LN(81)/IF(D298&lt;E$6,F$2-E$2,F$5-E$5)))</f>
        <v>120.69413958467824</v>
      </c>
    </row>
    <row r="299" spans="4:10" x14ac:dyDescent="0.15">
      <c r="D299" s="16">
        <v>2079</v>
      </c>
      <c r="J299" s="23">
        <f t="shared" ca="1" si="20"/>
        <v>120.98843663233971</v>
      </c>
    </row>
    <row r="300" spans="4:10" x14ac:dyDescent="0.15">
      <c r="D300" s="16">
        <v>2080</v>
      </c>
      <c r="J300" s="23">
        <f t="shared" ca="1" si="20"/>
        <v>121.27696554029639</v>
      </c>
    </row>
    <row r="301" spans="4:10" x14ac:dyDescent="0.15">
      <c r="D301" s="16">
        <v>2081</v>
      </c>
      <c r="J301" s="23">
        <f t="shared" ca="1" si="20"/>
        <v>121.55980940664546</v>
      </c>
    </row>
    <row r="302" spans="4:10" x14ac:dyDescent="0.15">
      <c r="D302" s="16">
        <v>2082</v>
      </c>
      <c r="J302" s="23">
        <f t="shared" ca="1" si="20"/>
        <v>121.83705146285099</v>
      </c>
    </row>
    <row r="303" spans="4:10" x14ac:dyDescent="0.15">
      <c r="D303" s="16">
        <v>2083</v>
      </c>
      <c r="J303" s="23">
        <f t="shared" ca="1" si="20"/>
        <v>122.1087750021737</v>
      </c>
    </row>
    <row r="304" spans="4:10" x14ac:dyDescent="0.15">
      <c r="D304" s="16">
        <v>2084</v>
      </c>
      <c r="J304" s="23">
        <f t="shared" ca="1" si="20"/>
        <v>122.3750633111808</v>
      </c>
    </row>
    <row r="305" spans="4:10" x14ac:dyDescent="0.15">
      <c r="D305" s="16">
        <v>2085</v>
      </c>
      <c r="J305" s="23">
        <f t="shared" ca="1" si="20"/>
        <v>122.63599960429228</v>
      </c>
    </row>
    <row r="306" spans="4:10" x14ac:dyDescent="0.15">
      <c r="D306" s="16">
        <v>2086</v>
      </c>
      <c r="J306" s="23">
        <f t="shared" ca="1" si="20"/>
        <v>122.89166696131505</v>
      </c>
    </row>
    <row r="307" spans="4:10" x14ac:dyDescent="0.15">
      <c r="D307" s="16">
        <v>2087</v>
      </c>
      <c r="J307" s="23">
        <f t="shared" ca="1" si="20"/>
        <v>123.14214826791347</v>
      </c>
    </row>
    <row r="308" spans="4:10" x14ac:dyDescent="0.15">
      <c r="D308" s="16">
        <v>2088</v>
      </c>
      <c r="J308" s="23">
        <f t="shared" ca="1" si="20"/>
        <v>123.38752615896084</v>
      </c>
    </row>
    <row r="309" spans="4:10" x14ac:dyDescent="0.15">
      <c r="D309" s="16">
        <v>2089</v>
      </c>
      <c r="J309" s="23">
        <f t="shared" ca="1" si="20"/>
        <v>123.62788296471433</v>
      </c>
    </row>
    <row r="310" spans="4:10" x14ac:dyDescent="0.15">
      <c r="D310" s="16">
        <v>2090</v>
      </c>
      <c r="J310" s="23">
        <f t="shared" ca="1" si="20"/>
        <v>123.86330065975231</v>
      </c>
    </row>
    <row r="311" spans="4:10" x14ac:dyDescent="0.15">
      <c r="D311" s="16">
        <v>2091</v>
      </c>
      <c r="J311" s="23">
        <f t="shared" ca="1" si="20"/>
        <v>124.09386081461157</v>
      </c>
    </row>
    <row r="312" spans="4:10" x14ac:dyDescent="0.15">
      <c r="D312" s="16">
        <v>2092</v>
      </c>
      <c r="J312" s="23">
        <f t="shared" ca="1" si="20"/>
        <v>124.31964455005964</v>
      </c>
    </row>
    <row r="313" spans="4:10" x14ac:dyDescent="0.15">
      <c r="D313" s="16">
        <v>2093</v>
      </c>
      <c r="J313" s="23">
        <f t="shared" ca="1" si="20"/>
        <v>124.54073249393582</v>
      </c>
    </row>
    <row r="314" spans="4:10" x14ac:dyDescent="0.15">
      <c r="D314" s="16">
        <v>2094</v>
      </c>
      <c r="J314" s="23">
        <f t="shared" ca="1" si="20"/>
        <v>124.75720474049362</v>
      </c>
    </row>
    <row r="315" spans="4:10" x14ac:dyDescent="0.15">
      <c r="D315" s="16">
        <v>2095</v>
      </c>
      <c r="J315" s="23">
        <f t="shared" ca="1" si="20"/>
        <v>124.96914081217511</v>
      </c>
    </row>
    <row r="316" spans="4:10" x14ac:dyDescent="0.15">
      <c r="D316" s="16">
        <v>2096</v>
      </c>
      <c r="J316" s="23">
        <f t="shared" ca="1" si="20"/>
        <v>125.17661962374858</v>
      </c>
    </row>
    <row r="317" spans="4:10" x14ac:dyDescent="0.15">
      <c r="D317" s="16">
        <v>2097</v>
      </c>
      <c r="J317" s="23">
        <f t="shared" ca="1" si="20"/>
        <v>125.37971944873853</v>
      </c>
    </row>
    <row r="318" spans="4:10" x14ac:dyDescent="0.15">
      <c r="D318" s="16">
        <v>2098</v>
      </c>
      <c r="J318" s="23">
        <f t="shared" ca="1" si="20"/>
        <v>125.57851788807803</v>
      </c>
    </row>
    <row r="319" spans="4:10" x14ac:dyDescent="0.15">
      <c r="D319" s="16">
        <v>2099</v>
      </c>
      <c r="J319" s="23">
        <f t="shared" ca="1" si="20"/>
        <v>125.7730918409126</v>
      </c>
    </row>
    <row r="320" spans="4:10" x14ac:dyDescent="0.15">
      <c r="D320" s="16">
        <v>2100</v>
      </c>
      <c r="J320" s="23">
        <f t="shared" ca="1" si="20"/>
        <v>125.96351747748474</v>
      </c>
    </row>
    <row r="321" spans="4:10" x14ac:dyDescent="0.15">
      <c r="D321" s="16">
        <v>2101</v>
      </c>
      <c r="J321" s="23">
        <f t="shared" ca="1" si="20"/>
        <v>126.14987021402902</v>
      </c>
    </row>
    <row r="322" spans="4:10" x14ac:dyDescent="0.15">
      <c r="D322" s="16">
        <v>2102</v>
      </c>
      <c r="J322" s="23">
        <f t="shared" ca="1" si="20"/>
        <v>126.33222468960743</v>
      </c>
    </row>
    <row r="323" spans="4:10" x14ac:dyDescent="0.15">
      <c r="D323" s="16">
        <v>2103</v>
      </c>
      <c r="J323" s="23">
        <f t="shared" ca="1" si="20"/>
        <v>126.51065474481527</v>
      </c>
    </row>
    <row r="324" spans="4:10" x14ac:dyDescent="0.15">
      <c r="D324" s="16">
        <v>2104</v>
      </c>
      <c r="J324" s="23">
        <f t="shared" ca="1" si="20"/>
        <v>126.68523340228894</v>
      </c>
    </row>
    <row r="325" spans="4:10" x14ac:dyDescent="0.15">
      <c r="D325" s="16">
        <v>2105</v>
      </c>
      <c r="J325" s="23">
        <f t="shared" ca="1" si="20"/>
        <v>126.85603284894731</v>
      </c>
    </row>
    <row r="326" spans="4:10" x14ac:dyDescent="0.15">
      <c r="D326" s="16">
        <v>2106</v>
      </c>
      <c r="J326" s="23">
        <f t="shared" ca="1" si="20"/>
        <v>127.02312441989906</v>
      </c>
    </row>
    <row r="327" spans="4:10" x14ac:dyDescent="0.15">
      <c r="D327" s="16">
        <v>2107</v>
      </c>
      <c r="J327" s="23">
        <f t="shared" ca="1" si="20"/>
        <v>127.18657858395028</v>
      </c>
    </row>
    <row r="328" spans="4:10" x14ac:dyDescent="0.15">
      <c r="D328" s="16">
        <v>2108</v>
      </c>
      <c r="J328" s="23">
        <f t="shared" ca="1" si="20"/>
        <v>127.34646493064633</v>
      </c>
    </row>
    <row r="329" spans="4:10" x14ac:dyDescent="0.15">
      <c r="D329" s="16">
        <v>2109</v>
      </c>
      <c r="J329" s="23">
        <f t="shared" ca="1" si="20"/>
        <v>127.50285215878469</v>
      </c>
    </row>
    <row r="330" spans="4:10" x14ac:dyDescent="0.15">
      <c r="D330" s="16">
        <v>2110</v>
      </c>
      <c r="J330" s="23">
        <f t="shared" ca="1" si="20"/>
        <v>127.65580806633496</v>
      </c>
    </row>
    <row r="331" spans="4:10" x14ac:dyDescent="0.15">
      <c r="D331" s="16">
        <v>2111</v>
      </c>
      <c r="J331" s="23">
        <f t="shared" ca="1" si="20"/>
        <v>127.8053995417052</v>
      </c>
    </row>
    <row r="332" spans="4:10" x14ac:dyDescent="0.15">
      <c r="D332" s="16">
        <v>2112</v>
      </c>
      <c r="J332" s="23">
        <f t="shared" ca="1" si="20"/>
        <v>127.95169255629403</v>
      </c>
    </row>
    <row r="333" spans="4:10" x14ac:dyDescent="0.15">
      <c r="D333" s="16">
        <v>2113</v>
      </c>
      <c r="J333" s="23">
        <f t="shared" ca="1" si="20"/>
        <v>128.0947521582693</v>
      </c>
    </row>
    <row r="334" spans="4:10" x14ac:dyDescent="0.15">
      <c r="D334" s="16">
        <v>2114</v>
      </c>
      <c r="J334" s="23">
        <f t="shared" ca="1" si="20"/>
        <v>128.23464246751641</v>
      </c>
    </row>
    <row r="335" spans="4:10" x14ac:dyDescent="0.15">
      <c r="D335" s="16">
        <v>2115</v>
      </c>
      <c r="J335" s="23">
        <f t="shared" ca="1" si="20"/>
        <v>128.37142667170002</v>
      </c>
    </row>
    <row r="336" spans="4:10" x14ac:dyDescent="0.15">
      <c r="D336" s="16">
        <v>2116</v>
      </c>
      <c r="J336" s="23">
        <f t="shared" ca="1" si="20"/>
        <v>128.50516702338433</v>
      </c>
    </row>
    <row r="337" spans="4:10" x14ac:dyDescent="0.15">
      <c r="D337" s="16">
        <v>2117</v>
      </c>
      <c r="J337" s="23">
        <f t="shared" ca="1" si="20"/>
        <v>128.63592483815941</v>
      </c>
    </row>
    <row r="338" spans="4:10" x14ac:dyDescent="0.15">
      <c r="D338" s="16">
        <v>2118</v>
      </c>
      <c r="J338" s="23">
        <f t="shared" ca="1" si="20"/>
        <v>128.76376049372169</v>
      </c>
    </row>
    <row r="339" spans="4:10" x14ac:dyDescent="0.15">
      <c r="D339" s="16">
        <v>2119</v>
      </c>
      <c r="J339" s="23">
        <f t="shared" ca="1" si="20"/>
        <v>128.88873342985866</v>
      </c>
    </row>
    <row r="340" spans="4:10" x14ac:dyDescent="0.15">
      <c r="D340" s="16">
        <v>2120</v>
      </c>
      <c r="J340" s="23">
        <f t="shared" ca="1" si="20"/>
        <v>129.01090214928948</v>
      </c>
    </row>
    <row r="341" spans="4:10" x14ac:dyDescent="0.15">
      <c r="D341" s="16">
        <v>2121</v>
      </c>
      <c r="J341" s="23">
        <f t="shared" ca="1" si="20"/>
        <v>129.13032421931416</v>
      </c>
    </row>
    <row r="342" spans="4:10" x14ac:dyDescent="0.15">
      <c r="D342" s="16">
        <v>2122</v>
      </c>
      <c r="J342" s="23">
        <f t="shared" ca="1" si="20"/>
        <v>129.24705627422648</v>
      </c>
    </row>
    <row r="343" spans="4:10" x14ac:dyDescent="0.15">
      <c r="D343" s="16">
        <v>2123</v>
      </c>
      <c r="J343" s="23">
        <f t="shared" ca="1" si="20"/>
        <v>129.361154018446</v>
      </c>
    </row>
    <row r="344" spans="4:10" x14ac:dyDescent="0.15">
      <c r="D344" s="16">
        <v>2124</v>
      </c>
      <c r="J344" s="23">
        <f t="shared" ca="1" si="20"/>
        <v>129.47267223032733</v>
      </c>
    </row>
    <row r="345" spans="4:10" x14ac:dyDescent="0.15">
      <c r="D345" s="16">
        <v>2125</v>
      </c>
      <c r="J345" s="23">
        <f t="shared" ca="1" si="20"/>
        <v>129.58166476660537</v>
      </c>
    </row>
    <row r="346" spans="4:10" x14ac:dyDescent="0.15">
      <c r="D346" s="16">
        <v>2126</v>
      </c>
      <c r="J346" s="23">
        <f t="shared" ca="1" si="20"/>
        <v>129.68818456743728</v>
      </c>
    </row>
    <row r="347" spans="4:10" x14ac:dyDescent="0.15">
      <c r="D347" s="16">
        <v>2127</v>
      </c>
      <c r="J347" s="23">
        <f t="shared" ca="1" si="20"/>
        <v>129.79228366200303</v>
      </c>
    </row>
    <row r="348" spans="4:10" x14ac:dyDescent="0.15">
      <c r="D348" s="16">
        <v>2128</v>
      </c>
      <c r="J348" s="23">
        <f t="shared" ca="1" si="20"/>
        <v>129.89401317462773</v>
      </c>
    </row>
    <row r="349" spans="4:10" x14ac:dyDescent="0.15">
      <c r="D349" s="16">
        <v>2129</v>
      </c>
      <c r="J349" s="23">
        <f t="shared" ca="1" si="20"/>
        <v>129.99342333139126</v>
      </c>
    </row>
    <row r="350" spans="4:10" x14ac:dyDescent="0.15">
      <c r="D350" s="16">
        <v>2130</v>
      </c>
      <c r="J350" s="23">
        <f t="shared" ca="1" si="20"/>
        <v>130.09056346719052</v>
      </c>
    </row>
    <row r="351" spans="4:10" x14ac:dyDescent="0.15">
      <c r="D351" s="16">
        <v>2131</v>
      </c>
      <c r="J351" s="23">
        <f t="shared" ca="1" si="20"/>
        <v>130.18548203322237</v>
      </c>
    </row>
    <row r="352" spans="4:10" x14ac:dyDescent="0.15">
      <c r="D352" s="16">
        <v>2132</v>
      </c>
      <c r="J352" s="23">
        <f t="shared" ca="1" si="20"/>
        <v>130.27822660485603</v>
      </c>
    </row>
    <row r="353" spans="4:10" x14ac:dyDescent="0.15">
      <c r="D353" s="16">
        <v>2133</v>
      </c>
      <c r="J353" s="23">
        <f t="shared" ca="1" si="20"/>
        <v>130.36884388986522</v>
      </c>
    </row>
    <row r="354" spans="4:10" x14ac:dyDescent="0.15">
      <c r="D354" s="16">
        <v>2134</v>
      </c>
      <c r="J354" s="23">
        <f t="shared" ca="1" si="20"/>
        <v>130.45737973699102</v>
      </c>
    </row>
    <row r="355" spans="4:10" x14ac:dyDescent="0.15">
      <c r="D355" s="16">
        <v>2135</v>
      </c>
      <c r="J355" s="23">
        <f t="shared" ca="1" si="20"/>
        <v>130.5438791448087</v>
      </c>
    </row>
    <row r="356" spans="4:10" x14ac:dyDescent="0.15">
      <c r="D356" s="16">
        <v>2136</v>
      </c>
      <c r="J356" s="23">
        <f t="shared" ca="1" si="20"/>
        <v>130.62838627087197</v>
      </c>
    </row>
    <row r="357" spans="4:10" x14ac:dyDescent="0.15">
      <c r="D357" s="16">
        <v>2137</v>
      </c>
      <c r="J357" s="23">
        <f t="shared" ca="1" si="20"/>
        <v>130.71094444111003</v>
      </c>
    </row>
    <row r="358" spans="4:10" x14ac:dyDescent="0.15">
      <c r="D358" s="16">
        <v>2138</v>
      </c>
      <c r="J358" s="23">
        <f t="shared" ca="1" si="20"/>
        <v>130.79159615945304</v>
      </c>
    </row>
    <row r="359" spans="4:10" x14ac:dyDescent="0.15">
      <c r="D359" s="16">
        <v>2139</v>
      </c>
      <c r="J359" s="23">
        <f t="shared" ca="1" si="20"/>
        <v>130.87038311766395</v>
      </c>
    </row>
    <row r="360" spans="4:10" x14ac:dyDescent="0.15">
      <c r="D360" s="16">
        <v>2140</v>
      </c>
      <c r="J360" s="23">
        <f t="shared" ca="1" si="20"/>
        <v>130.94734620535468</v>
      </c>
    </row>
    <row r="361" spans="4:10" x14ac:dyDescent="0.15">
      <c r="D361" s="16">
        <v>2141</v>
      </c>
      <c r="J361" s="23">
        <f t="shared" ca="1" si="20"/>
        <v>131.02252552016594</v>
      </c>
    </row>
    <row r="362" spans="4:10" x14ac:dyDescent="0.15">
      <c r="D362" s="16">
        <v>2142</v>
      </c>
      <c r="J362" s="23">
        <f t="shared" ref="J362:J370" ca="1" si="21">F$1/(1+EXP((IF(D362&lt;E$6,AVERAGE(E$2:F$2),AVERAGE(E$5:F$5))-D362)*LN(81)/IF(D362&lt;E$6,F$2-E$2,F$5-E$5)))</f>
        <v>131.09596037809149</v>
      </c>
    </row>
    <row r="363" spans="4:10" x14ac:dyDescent="0.15">
      <c r="D363" s="16">
        <v>2143</v>
      </c>
      <c r="J363" s="23">
        <f t="shared" ca="1" si="21"/>
        <v>131.1676893239277</v>
      </c>
    </row>
    <row r="364" spans="4:10" x14ac:dyDescent="0.15">
      <c r="D364" s="16">
        <v>2144</v>
      </c>
      <c r="J364" s="23">
        <f t="shared" ca="1" si="21"/>
        <v>131.23775014183124</v>
      </c>
    </row>
    <row r="365" spans="4:10" x14ac:dyDescent="0.15">
      <c r="D365" s="16">
        <v>2145</v>
      </c>
      <c r="J365" s="23">
        <f t="shared" ca="1" si="21"/>
        <v>131.30617986596769</v>
      </c>
    </row>
    <row r="366" spans="4:10" x14ac:dyDescent="0.15">
      <c r="D366" s="16">
        <v>2146</v>
      </c>
      <c r="J366" s="23">
        <f t="shared" ca="1" si="21"/>
        <v>131.37301479123542</v>
      </c>
    </row>
    <row r="367" spans="4:10" x14ac:dyDescent="0.15">
      <c r="D367" s="16">
        <v>2147</v>
      </c>
      <c r="J367" s="23">
        <f t="shared" ca="1" si="21"/>
        <v>131.43829048404979</v>
      </c>
    </row>
    <row r="368" spans="4:10" x14ac:dyDescent="0.15">
      <c r="D368" s="16">
        <v>2148</v>
      </c>
      <c r="J368" s="23">
        <f t="shared" ca="1" si="21"/>
        <v>131.50204179317302</v>
      </c>
    </row>
    <row r="369" spans="4:10" x14ac:dyDescent="0.15">
      <c r="D369" s="16">
        <v>2149</v>
      </c>
      <c r="J369" s="23">
        <f t="shared" ca="1" si="21"/>
        <v>131.56430286057682</v>
      </c>
    </row>
    <row r="370" spans="4:10" x14ac:dyDescent="0.15">
      <c r="D370" s="16">
        <v>2150</v>
      </c>
      <c r="J370" s="23">
        <f t="shared" ca="1" si="21"/>
        <v>131.62510713232464</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rgb="FF008000"/>
  </sheetPr>
  <dimension ref="A1:AD370"/>
  <sheetViews>
    <sheetView topLeftCell="A66" zoomScaleNormal="100" workbookViewId="0">
      <selection activeCell="C105" sqref="C105"/>
    </sheetView>
  </sheetViews>
  <sheetFormatPr baseColWidth="10" defaultColWidth="9.1640625" defaultRowHeight="11" x14ac:dyDescent="0.15"/>
  <cols>
    <col min="1" max="1" width="6.6640625" style="15" customWidth="1"/>
    <col min="2" max="2" width="90.6640625" style="15" customWidth="1"/>
    <col min="3" max="3" width="7.5" style="15" customWidth="1"/>
    <col min="4" max="4" width="4.5" style="15" bestFit="1" customWidth="1"/>
    <col min="5" max="5" width="9" style="15" bestFit="1" customWidth="1"/>
    <col min="6" max="6" width="7.83203125" style="15" bestFit="1" customWidth="1"/>
    <col min="7" max="7" width="16.33203125" style="15" bestFit="1" customWidth="1"/>
    <col min="8" max="8" width="13.33203125" style="15" customWidth="1"/>
    <col min="9" max="9" width="9" style="15" bestFit="1" customWidth="1"/>
    <col min="10" max="10" width="4.83203125" style="15" bestFit="1" customWidth="1"/>
    <col min="11" max="11" width="16.33203125" style="15" bestFit="1" customWidth="1"/>
    <col min="12" max="12" width="16.33203125" style="15" customWidth="1"/>
    <col min="13" max="13" width="7" style="15" customWidth="1"/>
    <col min="14" max="14" width="6.1640625" style="15" bestFit="1" customWidth="1"/>
    <col min="15" max="15" width="12" style="15" bestFit="1" customWidth="1"/>
    <col min="16" max="16" width="8.1640625" style="15" bestFit="1" customWidth="1"/>
    <col min="17" max="17" width="11.1640625" style="15" bestFit="1" customWidth="1"/>
    <col min="18" max="18" width="6.1640625" style="15" bestFit="1" customWidth="1"/>
    <col min="19" max="19" width="5.5" style="15" bestFit="1" customWidth="1"/>
    <col min="20" max="20" width="8.6640625" style="15" bestFit="1" customWidth="1"/>
    <col min="21" max="21" width="8.5" style="15" bestFit="1" customWidth="1"/>
    <col min="22" max="22" width="8.1640625" style="15" bestFit="1" customWidth="1"/>
    <col min="23" max="23" width="9.1640625" style="15"/>
    <col min="24" max="24" width="6.83203125" style="15" bestFit="1" customWidth="1"/>
    <col min="25" max="25" width="6.33203125" style="15" bestFit="1" customWidth="1"/>
    <col min="26" max="16384" width="9.1640625" style="15"/>
  </cols>
  <sheetData>
    <row r="1" spans="1:18" x14ac:dyDescent="0.15">
      <c r="B1" s="124"/>
      <c r="E1" s="32">
        <f ca="1">(RSQ(OFFSET(G$18,E$3-D$18,0):OFFSET(G$18,E$4-D$18,0),OFFSET(D$18,E$3-D$18,0):OFFSET(D$18,E$4-D$18,0))*DEVSQ(OFFSET(G$18,E$3-D$18,0):OFFSET(G$18,E$4-D$18,0))+RSQ(OFFSET(G$18,E$6-D$18,0):OFFSET(G$18,E$7-D$18,0),OFFSET(D$18,E$6-D$18,0):OFFSET(D$18,E$7-D$18,0))*DEVSQ(OFFSET(G$18,E$6-D$18,0):OFFSET(G$18,E$7-D$18,0)))/(DEVSQ(OFFSET(G$18,E$3-D$18,0):OFFSET(G$18,E$4-D$18,0))+DEVSQ(OFFSET(G$18,E$6-D$18,0):OFFSET(G$18,E$7-D$18,0)))</f>
        <v>0.9991620101599874</v>
      </c>
      <c r="F1" s="23">
        <v>65.321377585232014</v>
      </c>
      <c r="G1" s="240" t="s">
        <v>79</v>
      </c>
      <c r="H1" s="23"/>
    </row>
    <row r="2" spans="1:18" x14ac:dyDescent="0.15">
      <c r="E2" s="35">
        <f ca="1">(-INTERCEPT(OFFSET(G$18,E3-D$18,0):OFFSET(G$18,E4-D$18,0),OFFSET(D$18,E3-D$18,0):OFFSET(D$18,E4-D$18,0))+NORMSINV(0.1))/SLOPE(OFFSET(G$18,E3-D$18,0):OFFSET(G$18,E4-D$18,0),OFFSET(D$18,E3-D$18,0):OFFSET(D$18,E4-D$18,0))</f>
        <v>1962.5429485938412</v>
      </c>
      <c r="F2" s="122">
        <f ca="1">(-INTERCEPT(OFFSET(G$18,E3-D$18,0):OFFSET(G$18,E4-D$18,0),OFFSET(D$18,E3-D$18,0):OFFSET(D$18,E4-D$18,0))+NORMSINV(0.9))/SLOPE(OFFSET(G$18,E3-D$18,0):OFFSET(G$18,E4-D$18,0),OFFSET(D$18,E3-D$18,0):OFFSET(D$18,E4-D$18,0))</f>
        <v>2052.3729405598065</v>
      </c>
      <c r="G2" s="240" t="s">
        <v>176</v>
      </c>
    </row>
    <row r="3" spans="1:18" x14ac:dyDescent="0.15">
      <c r="E3" s="15">
        <v>1977</v>
      </c>
      <c r="F3" s="8">
        <f ca="1">(E3-AVERAGE(E$2:F$2))/(F$2-E$2)*(NORMSINV(0.9)-NORMSINV(0.1))</f>
        <v>-0.86905109755521726</v>
      </c>
      <c r="G3" s="172" t="s">
        <v>81</v>
      </c>
    </row>
    <row r="4" spans="1:18" x14ac:dyDescent="0.15">
      <c r="E4" s="35">
        <f>E6-1</f>
        <v>1991</v>
      </c>
      <c r="F4" s="8">
        <f ca="1">(E4-AVERAGE(E$2:F$2))/(F$2-E$2)*(NORMSINV(0.9)-NORMSINV(0.1))</f>
        <v>-0.46959159577941501</v>
      </c>
      <c r="G4" s="24"/>
    </row>
    <row r="5" spans="1:18" x14ac:dyDescent="0.15">
      <c r="E5" s="35">
        <f ca="1">(-INTERCEPT(OFFSET(G$18,E6-D$18,0):OFFSET(G$18,E7-D$18,0),OFFSET(D$18,E6-D$18,0):OFFSET(D$18,E7-D$18,0))+NORMSINV(0.1))/SLOPE(OFFSET(G$18,E6-D$18,0):OFFSET(G$18,E7-D$18,0),OFFSET(D$18,E6-D$18,0):OFFSET(D$18,E7-D$18,0))</f>
        <v>1939.7589631972444</v>
      </c>
      <c r="F5" s="122">
        <f ca="1">(-INTERCEPT(OFFSET(G$18,E6-D$18,0):OFFSET(G$18,E7-D$18,0),OFFSET(D$18,E6-D$18,0):OFFSET(D$18,E7-D$18,0))+NORMSINV(0.9))/SLOPE(OFFSET(G$18,E6-D$18,0):OFFSET(G$18,E7-D$18,0),OFFSET(D$18,E6-D$18,0):OFFSET(D$18,E7-D$18,0))</f>
        <v>2101.1769114685153</v>
      </c>
      <c r="G5" s="265" t="s">
        <v>249</v>
      </c>
    </row>
    <row r="6" spans="1:18" x14ac:dyDescent="0.15">
      <c r="E6" s="35">
        <v>1992</v>
      </c>
      <c r="F6" s="8">
        <f ca="1">(E6-AVERAGE(E$5:F$5))/(F$5-E$5)*(NORMSINV(0.9)-NORMSINV(0.1))</f>
        <v>-0.45203312329885609</v>
      </c>
      <c r="G6" s="266" t="s">
        <v>247</v>
      </c>
    </row>
    <row r="7" spans="1:18" x14ac:dyDescent="0.15">
      <c r="E7" s="35">
        <f ca="1">OFFSET(D18,COUNT(E19:E277),0)</f>
        <v>2009</v>
      </c>
      <c r="F7" s="8">
        <f ca="1">(E7-AVERAGE(E$5:F$5))/(F$5-E$5)*(NORMSINV(0.9)-NORMSINV(0.1))</f>
        <v>-0.18209564921270158</v>
      </c>
      <c r="G7" s="24"/>
    </row>
    <row r="8" spans="1:18" x14ac:dyDescent="0.15">
      <c r="C8" s="124"/>
      <c r="E8" s="124">
        <v>0.99992710413962815</v>
      </c>
      <c r="F8" s="23">
        <v>40.388956531235131</v>
      </c>
      <c r="G8" s="240" t="s">
        <v>76</v>
      </c>
    </row>
    <row r="9" spans="1:18" x14ac:dyDescent="0.15">
      <c r="C9" s="124"/>
      <c r="E9" s="124">
        <v>0.99908455818110109</v>
      </c>
      <c r="F9" s="129">
        <v>105215.84573677884</v>
      </c>
      <c r="G9" s="265" t="s">
        <v>246</v>
      </c>
      <c r="I9" s="124"/>
      <c r="J9" s="184"/>
      <c r="K9" s="192"/>
      <c r="L9" s="192"/>
    </row>
    <row r="10" spans="1:18" x14ac:dyDescent="0.15">
      <c r="E10" s="32">
        <f ca="1">(RSQ(OFFSET(K$18,E$3-D$18,0):OFFSET(K$18,E$4-D$18,0),OFFSET(D$18,E$3-D$18,0):OFFSET(D$18,E$4-D$18,0))*DEVSQ(OFFSET(K$18,E$3-D$18,0):OFFSET(K$18,E$4-D$18,0))+RSQ(OFFSET(K$18,E$6-D$18,0):OFFSET(K$18,E$7-D$18,0),OFFSET(D$18,E$6-D$18,0):OFFSET(D$18,E$7-D$18,0))*DEVSQ(OFFSET(K$18,E$6-D$18,0):OFFSET(K$18,E$7-D$18,0)))/(DEVSQ(OFFSET(K$18,E$3-D$18,0):OFFSET(K$18,E$4-D$18,0))+DEVSQ(OFFSET(K$18,E$6-D$18,0):OFFSET(K$18,E$7-D$18,0)))</f>
        <v>0.99897420618181809</v>
      </c>
      <c r="F10" s="23">
        <v>56.922738752548398</v>
      </c>
      <c r="G10" s="240" t="s">
        <v>78</v>
      </c>
      <c r="I10" s="124"/>
      <c r="J10" s="23"/>
      <c r="K10" s="192"/>
      <c r="L10" s="192"/>
    </row>
    <row r="11" spans="1:18" x14ac:dyDescent="0.15">
      <c r="A11" s="75"/>
      <c r="E11" s="32"/>
      <c r="F11" s="35"/>
      <c r="G11" s="80"/>
      <c r="M11" s="35"/>
      <c r="N11" s="35"/>
      <c r="O11" s="35"/>
      <c r="P11" s="35"/>
      <c r="Q11" s="35"/>
      <c r="R11" s="35"/>
    </row>
    <row r="12" spans="1:18" x14ac:dyDescent="0.15">
      <c r="A12" s="75"/>
      <c r="E12" s="84" t="s">
        <v>62</v>
      </c>
      <c r="F12" s="41" t="s">
        <v>18</v>
      </c>
      <c r="G12" s="36" t="s">
        <v>19</v>
      </c>
      <c r="I12" s="84"/>
      <c r="J12" s="41"/>
      <c r="K12" s="36"/>
      <c r="L12" s="36"/>
    </row>
    <row r="13" spans="1:18" x14ac:dyDescent="0.15">
      <c r="A13" s="75"/>
      <c r="E13" s="124">
        <v>0.99913075002667007</v>
      </c>
      <c r="F13" s="23">
        <v>67.448079025197117</v>
      </c>
      <c r="G13" s="16">
        <v>1991</v>
      </c>
      <c r="H13" s="28"/>
      <c r="I13" s="32"/>
      <c r="J13" s="23"/>
      <c r="K13" s="16"/>
      <c r="L13" s="16"/>
    </row>
    <row r="14" spans="1:18" x14ac:dyDescent="0.15">
      <c r="A14" s="75"/>
      <c r="E14" s="124">
        <v>0.99916201015998796</v>
      </c>
      <c r="F14" s="23">
        <v>65.321386473074696</v>
      </c>
      <c r="G14" s="16">
        <v>1992</v>
      </c>
      <c r="H14" s="191"/>
      <c r="I14" s="32"/>
      <c r="J14" s="23"/>
      <c r="K14" s="16"/>
      <c r="L14" s="16"/>
    </row>
    <row r="15" spans="1:18" x14ac:dyDescent="0.15">
      <c r="A15" s="75"/>
      <c r="E15" s="124">
        <v>0.99890587220815263</v>
      </c>
      <c r="F15" s="23">
        <v>57.101517513317653</v>
      </c>
      <c r="G15" s="16">
        <v>1993</v>
      </c>
      <c r="H15" s="28"/>
      <c r="I15" s="32"/>
      <c r="J15" s="23"/>
      <c r="K15" s="16"/>
      <c r="L15" s="16"/>
    </row>
    <row r="16" spans="1:18" x14ac:dyDescent="0.15">
      <c r="A16" s="75"/>
      <c r="B16" s="75"/>
      <c r="C16" s="75"/>
      <c r="D16" s="23"/>
      <c r="H16" s="29"/>
    </row>
    <row r="17" spans="1:30" x14ac:dyDescent="0.15">
      <c r="A17" s="75"/>
      <c r="B17" s="75"/>
      <c r="C17" s="75"/>
      <c r="D17" s="75"/>
      <c r="E17" s="17" t="s">
        <v>0</v>
      </c>
      <c r="F17" s="22" t="s">
        <v>1</v>
      </c>
      <c r="G17" s="241" t="s">
        <v>3</v>
      </c>
      <c r="H17" s="270" t="s">
        <v>258</v>
      </c>
      <c r="I17" s="81" t="s">
        <v>20</v>
      </c>
      <c r="J17" s="241" t="s">
        <v>80</v>
      </c>
      <c r="K17" s="241" t="s">
        <v>2</v>
      </c>
      <c r="L17" s="270" t="s">
        <v>259</v>
      </c>
      <c r="M17" s="189"/>
      <c r="O17" s="198" t="s">
        <v>166</v>
      </c>
      <c r="P17" s="218" t="s">
        <v>67</v>
      </c>
      <c r="Q17" s="218" t="s">
        <v>26</v>
      </c>
      <c r="R17" s="182" t="s">
        <v>40</v>
      </c>
      <c r="S17" s="194" t="s">
        <v>138</v>
      </c>
      <c r="T17" s="134" t="s">
        <v>134</v>
      </c>
      <c r="U17" s="134" t="s">
        <v>135</v>
      </c>
      <c r="V17" s="134" t="s">
        <v>136</v>
      </c>
      <c r="W17" s="134" t="s">
        <v>137</v>
      </c>
      <c r="X17" s="194" t="s">
        <v>139</v>
      </c>
      <c r="Y17" s="134" t="s">
        <v>60</v>
      </c>
      <c r="AC17" s="216"/>
      <c r="AD17" s="216"/>
    </row>
    <row r="18" spans="1:30" x14ac:dyDescent="0.15">
      <c r="A18" s="75"/>
      <c r="B18" s="75"/>
      <c r="C18" s="75"/>
      <c r="D18" s="195">
        <v>1854</v>
      </c>
      <c r="E18" s="18"/>
      <c r="F18" s="22">
        <v>0</v>
      </c>
      <c r="N18" s="3" t="s">
        <v>7</v>
      </c>
      <c r="O18" s="3">
        <v>1913</v>
      </c>
      <c r="P18" s="5">
        <f>LOOKUP(Q18,D$19:D$292,F$19:F$292)  + R18</f>
        <v>178.55543460000001</v>
      </c>
      <c r="Q18" s="15">
        <v>1913</v>
      </c>
      <c r="R18" s="129">
        <f t="shared" ref="R18:R25" si="0">SUM(S18:X18)-Y18</f>
        <v>178.37200000000001</v>
      </c>
      <c r="S18" s="194"/>
      <c r="T18" s="134"/>
      <c r="U18" s="134"/>
      <c r="V18" s="134"/>
      <c r="W18" s="134"/>
      <c r="X18" s="219">
        <v>233.98500000000001</v>
      </c>
      <c r="Y18" s="23">
        <v>55.613</v>
      </c>
      <c r="Z18" s="23"/>
      <c r="AB18" s="129"/>
      <c r="AC18" s="217"/>
    </row>
    <row r="19" spans="1:30" x14ac:dyDescent="0.15">
      <c r="A19" s="75"/>
      <c r="B19" s="75"/>
      <c r="C19" s="75"/>
      <c r="D19" s="195">
        <v>1855</v>
      </c>
      <c r="E19" s="187">
        <v>8.1799999999999998E-2</v>
      </c>
      <c r="F19" s="23">
        <f>F18+E19/1000</f>
        <v>8.1799999999999996E-5</v>
      </c>
      <c r="G19" s="30">
        <f>NORMSINV(F19/F$1)</f>
        <v>-4.7077597817321752</v>
      </c>
      <c r="I19" s="5">
        <f ca="1">(G19/(NORMSINV(0.9)-NORMSINV(0.1))*IF(D19&lt;E$6,F$2-E$2,F$5-E$5) - D19 + IF(D19&lt;E$6,AVERAGE(E$2:F$2),AVERAGE(E$5:F$5)))*12</f>
        <v>-150.43915108992132</v>
      </c>
      <c r="J19" s="6"/>
      <c r="K19" s="30">
        <f>-LN(F$10/F19-1)</f>
        <v>-13.452926765204399</v>
      </c>
      <c r="L19" s="30"/>
      <c r="N19" s="24" t="s">
        <v>99</v>
      </c>
      <c r="O19" s="3">
        <v>1936</v>
      </c>
      <c r="P19" s="5">
        <f t="shared" ref="P19:P33" si="1">LOOKUP(Q19,D$19:D$292,F$19:F$292)  + R19</f>
        <v>1144.7752791</v>
      </c>
      <c r="Q19" s="15">
        <v>1933</v>
      </c>
      <c r="R19" s="129">
        <f t="shared" si="0"/>
        <v>1144.3869999999999</v>
      </c>
      <c r="S19" s="194"/>
      <c r="T19" s="134"/>
      <c r="U19" s="134"/>
      <c r="V19" s="134"/>
      <c r="W19" s="134"/>
      <c r="X19" s="219">
        <v>1200</v>
      </c>
      <c r="Y19" s="23">
        <v>55.613</v>
      </c>
      <c r="Z19" s="23"/>
      <c r="AB19" s="129"/>
      <c r="AC19" s="217"/>
    </row>
    <row r="20" spans="1:30" x14ac:dyDescent="0.15">
      <c r="A20" s="75"/>
      <c r="B20" s="75"/>
      <c r="C20" s="75"/>
      <c r="D20" s="195">
        <v>1856</v>
      </c>
      <c r="E20" s="187">
        <v>8.5900000000000004E-2</v>
      </c>
      <c r="F20" s="23">
        <f t="shared" ref="F20:F83" si="2">F19+E20/1000</f>
        <v>1.6770000000000001E-4</v>
      </c>
      <c r="G20" s="30">
        <f t="shared" ref="G20:G83" si="3">NORMSINV(F20/F$1)</f>
        <v>-4.5592111309969203</v>
      </c>
      <c r="I20" s="5">
        <f t="shared" ref="I20:I83" ca="1" si="4">(G20/(NORMSINV(0.9)-NORMSINV(0.1))*IF(D20&lt;E$6,F$2-E$2,F$5-E$5) - D20 + IF(D20&lt;E$6,AVERAGE(E$2:F$2),AVERAGE(E$5:F$5)))*12</f>
        <v>-99.96429891446769</v>
      </c>
      <c r="J20" s="6"/>
      <c r="K20" s="30">
        <f t="shared" ref="K20:K83" si="5">-LN(F$10/F20-1)</f>
        <v>-12.735025830917611</v>
      </c>
      <c r="L20" s="30"/>
      <c r="N20" s="24" t="s">
        <v>107</v>
      </c>
      <c r="O20" s="3">
        <v>1960</v>
      </c>
      <c r="P20" s="5">
        <f t="shared" si="1"/>
        <v>1160.86331685</v>
      </c>
      <c r="Q20" s="15">
        <v>1956</v>
      </c>
      <c r="R20" s="129">
        <f t="shared" si="0"/>
        <v>1157.287</v>
      </c>
      <c r="S20" s="194"/>
      <c r="T20" s="134"/>
      <c r="U20" s="134"/>
      <c r="V20" s="134"/>
      <c r="W20" s="134"/>
      <c r="X20" s="219">
        <v>1212.9000000000001</v>
      </c>
      <c r="Y20" s="23">
        <v>55.613</v>
      </c>
      <c r="Z20" s="23"/>
      <c r="AB20" s="129"/>
      <c r="AC20" s="217"/>
    </row>
    <row r="21" spans="1:30" x14ac:dyDescent="0.15">
      <c r="A21" s="75"/>
      <c r="B21" s="75"/>
      <c r="C21" s="75"/>
      <c r="D21" s="195">
        <v>1857</v>
      </c>
      <c r="E21" s="187">
        <v>9.7800000000000012E-2</v>
      </c>
      <c r="F21" s="23">
        <f t="shared" si="2"/>
        <v>2.655E-4</v>
      </c>
      <c r="G21" s="30">
        <f t="shared" si="3"/>
        <v>-4.4617569768819756</v>
      </c>
      <c r="I21" s="5">
        <f t="shared" ca="1" si="4"/>
        <v>-70.978171863974239</v>
      </c>
      <c r="J21" s="6"/>
      <c r="K21" s="30">
        <f t="shared" si="5"/>
        <v>-12.275585940939926</v>
      </c>
      <c r="L21" s="30"/>
      <c r="N21" s="24" t="s">
        <v>108</v>
      </c>
      <c r="O21" s="3">
        <v>1962</v>
      </c>
      <c r="P21" s="5">
        <f t="shared" si="1"/>
        <v>4579.3719720999998</v>
      </c>
      <c r="Q21" s="15">
        <v>1960</v>
      </c>
      <c r="R21" s="129">
        <f t="shared" si="0"/>
        <v>4574.4369999999999</v>
      </c>
      <c r="S21" s="194"/>
      <c r="T21" s="134"/>
      <c r="U21" s="134"/>
      <c r="V21" s="134"/>
      <c r="W21" s="134"/>
      <c r="X21" s="219">
        <v>4630.05</v>
      </c>
      <c r="Y21" s="23">
        <v>55.613</v>
      </c>
      <c r="Z21" s="23"/>
      <c r="AB21" s="129"/>
      <c r="AC21" s="217"/>
    </row>
    <row r="22" spans="1:30" x14ac:dyDescent="0.15">
      <c r="A22" s="75"/>
      <c r="B22" s="75"/>
      <c r="C22" s="75"/>
      <c r="D22" s="195">
        <v>1858</v>
      </c>
      <c r="E22" s="187">
        <v>0.14579999999999999</v>
      </c>
      <c r="F22" s="23">
        <f t="shared" si="2"/>
        <v>4.1129999999999997E-4</v>
      </c>
      <c r="G22" s="30">
        <f t="shared" si="3"/>
        <v>-4.3670581510407569</v>
      </c>
      <c r="I22" s="5">
        <f t="shared" ca="1" si="4"/>
        <v>-43.150848516802398</v>
      </c>
      <c r="J22" s="6"/>
      <c r="K22" s="30">
        <f t="shared" si="5"/>
        <v>-11.837875345003747</v>
      </c>
      <c r="L22" s="30"/>
      <c r="N22" s="24" t="s">
        <v>109</v>
      </c>
      <c r="O22" s="3">
        <v>1968</v>
      </c>
      <c r="P22" s="5">
        <f t="shared" si="1"/>
        <v>4073.1891391000004</v>
      </c>
      <c r="Q22" s="15">
        <v>1966</v>
      </c>
      <c r="R22" s="129">
        <f t="shared" si="0"/>
        <v>4065.9900000000002</v>
      </c>
      <c r="S22" s="194"/>
      <c r="T22" s="134"/>
      <c r="U22" s="134"/>
      <c r="V22" s="134"/>
      <c r="W22" s="134"/>
      <c r="X22" s="219">
        <v>4121.6030000000001</v>
      </c>
      <c r="Y22" s="23">
        <v>55.613</v>
      </c>
      <c r="Z22" s="23"/>
      <c r="AB22" s="129"/>
      <c r="AC22" s="217"/>
    </row>
    <row r="23" spans="1:30" x14ac:dyDescent="0.15">
      <c r="A23" s="75"/>
      <c r="B23" s="75"/>
      <c r="C23" s="75"/>
      <c r="D23" s="195">
        <v>1859</v>
      </c>
      <c r="E23" s="187">
        <v>0.185</v>
      </c>
      <c r="F23" s="23">
        <f t="shared" si="2"/>
        <v>5.9629999999999991E-4</v>
      </c>
      <c r="G23" s="30">
        <f t="shared" si="3"/>
        <v>-4.2852007791638176</v>
      </c>
      <c r="I23" s="5">
        <f t="shared" ca="1" si="4"/>
        <v>-20.724233517807079</v>
      </c>
      <c r="J23" s="6"/>
      <c r="K23" s="30">
        <f t="shared" si="5"/>
        <v>-11.466451074062993</v>
      </c>
      <c r="L23" s="30"/>
      <c r="N23" s="24" t="s">
        <v>8</v>
      </c>
      <c r="O23" s="3">
        <v>1974</v>
      </c>
      <c r="P23" s="5">
        <f t="shared" si="1"/>
        <v>90.365725099999992</v>
      </c>
      <c r="Q23" s="15">
        <v>1971</v>
      </c>
      <c r="R23" s="129">
        <f t="shared" si="0"/>
        <v>80.986999999999995</v>
      </c>
      <c r="S23" s="194"/>
      <c r="T23" s="134"/>
      <c r="U23" s="134"/>
      <c r="V23" s="134"/>
      <c r="W23" s="134"/>
      <c r="X23" s="219">
        <v>136.6</v>
      </c>
      <c r="Y23" s="23">
        <v>55.613</v>
      </c>
      <c r="Z23" s="23"/>
      <c r="AB23" s="129"/>
      <c r="AC23" s="217"/>
    </row>
    <row r="24" spans="1:30" x14ac:dyDescent="0.15">
      <c r="A24" s="75"/>
      <c r="B24" s="75"/>
      <c r="C24" s="75"/>
      <c r="D24" s="195">
        <v>1860</v>
      </c>
      <c r="E24" s="187">
        <v>0.19999999999999998</v>
      </c>
      <c r="F24" s="23">
        <f t="shared" si="2"/>
        <v>7.9629999999999989E-4</v>
      </c>
      <c r="G24" s="30">
        <f t="shared" si="3"/>
        <v>-4.220454816486952</v>
      </c>
      <c r="I24" s="5">
        <f t="shared" ca="1" si="4"/>
        <v>-5.4941346433079161</v>
      </c>
      <c r="J24" s="6"/>
      <c r="K24" s="30">
        <f t="shared" si="5"/>
        <v>-11.177215457351288</v>
      </c>
      <c r="L24" s="30"/>
      <c r="N24" s="24" t="s">
        <v>9</v>
      </c>
      <c r="O24" s="3">
        <v>1980</v>
      </c>
      <c r="P24" s="5">
        <f t="shared" si="1"/>
        <v>190.99173809999999</v>
      </c>
      <c r="Q24" s="15">
        <v>1979</v>
      </c>
      <c r="R24" s="129">
        <f t="shared" si="0"/>
        <v>177.387</v>
      </c>
      <c r="S24" s="194"/>
      <c r="T24" s="134"/>
      <c r="U24" s="134"/>
      <c r="V24" s="134"/>
      <c r="W24" s="134"/>
      <c r="X24" s="219">
        <v>233</v>
      </c>
      <c r="Y24" s="23">
        <v>55.613</v>
      </c>
      <c r="Z24" s="23"/>
      <c r="AB24" s="129"/>
      <c r="AC24" s="217"/>
    </row>
    <row r="25" spans="1:30" x14ac:dyDescent="0.15">
      <c r="D25" s="195">
        <v>1861</v>
      </c>
      <c r="E25" s="187">
        <v>0.21689999999999998</v>
      </c>
      <c r="F25" s="23">
        <f t="shared" si="2"/>
        <v>1.0131999999999999E-3</v>
      </c>
      <c r="G25" s="30">
        <f t="shared" si="3"/>
        <v>-4.1658313109815639</v>
      </c>
      <c r="I25" s="5">
        <f t="shared" ca="1" si="4"/>
        <v>5.4787797174976731</v>
      </c>
      <c r="J25" s="6"/>
      <c r="K25" s="30">
        <f t="shared" si="5"/>
        <v>-10.936318727998559</v>
      </c>
      <c r="L25" s="30"/>
      <c r="N25" s="24" t="s">
        <v>10</v>
      </c>
      <c r="O25" s="3">
        <v>1986</v>
      </c>
      <c r="P25" s="5">
        <f t="shared" si="1"/>
        <v>205.55733571054759</v>
      </c>
      <c r="Q25" s="15">
        <v>1984</v>
      </c>
      <c r="R25" s="129">
        <f t="shared" si="0"/>
        <v>189.08699999999999</v>
      </c>
      <c r="S25" s="194"/>
      <c r="T25" s="134"/>
      <c r="U25" s="134"/>
      <c r="V25" s="134"/>
      <c r="W25" s="134"/>
      <c r="X25" s="219">
        <v>244.7</v>
      </c>
      <c r="Y25" s="23">
        <v>55.613</v>
      </c>
      <c r="Z25" s="23"/>
      <c r="AB25" s="129"/>
      <c r="AC25" s="217"/>
    </row>
    <row r="26" spans="1:30" x14ac:dyDescent="0.15">
      <c r="D26" s="195">
        <v>1862</v>
      </c>
      <c r="E26" s="187">
        <v>0.2298</v>
      </c>
      <c r="F26" s="23">
        <f t="shared" si="2"/>
        <v>1.243E-3</v>
      </c>
      <c r="G26" s="30">
        <f t="shared" si="3"/>
        <v>-4.1189638449612627</v>
      </c>
      <c r="I26" s="5">
        <f t="shared" ca="1" si="4"/>
        <v>13.189749806850159</v>
      </c>
      <c r="J26" s="6"/>
      <c r="K26" s="30">
        <f t="shared" si="5"/>
        <v>-10.731900517484348</v>
      </c>
      <c r="L26" s="30"/>
      <c r="N26" s="193" t="s">
        <v>11</v>
      </c>
      <c r="O26" s="15">
        <v>1989</v>
      </c>
      <c r="P26" s="5">
        <f t="shared" si="1"/>
        <v>203.69622771843939</v>
      </c>
      <c r="Q26" s="12">
        <v>1987</v>
      </c>
      <c r="R26" s="129">
        <f>SUM(S26:X26)-Y26</f>
        <v>185.387</v>
      </c>
      <c r="S26" s="23"/>
      <c r="T26" s="23"/>
      <c r="U26" s="23"/>
      <c r="V26" s="23"/>
      <c r="W26" s="23"/>
      <c r="X26" s="23">
        <v>241</v>
      </c>
      <c r="Y26" s="23">
        <v>55.613</v>
      </c>
      <c r="Z26" s="23"/>
      <c r="AA26" s="23"/>
      <c r="AB26" s="23"/>
      <c r="AC26" s="23"/>
    </row>
    <row r="27" spans="1:30" x14ac:dyDescent="0.15">
      <c r="D27" s="195">
        <v>1863</v>
      </c>
      <c r="E27" s="187">
        <v>0.253</v>
      </c>
      <c r="F27" s="23">
        <f t="shared" si="2"/>
        <v>1.4959999999999999E-3</v>
      </c>
      <c r="G27" s="30">
        <f t="shared" si="3"/>
        <v>-4.0760645919644993</v>
      </c>
      <c r="I27" s="5">
        <f t="shared" ca="1" si="4"/>
        <v>19.231815326425021</v>
      </c>
      <c r="J27" s="6"/>
      <c r="K27" s="30">
        <f t="shared" si="5"/>
        <v>-10.546629005732703</v>
      </c>
      <c r="L27" s="30"/>
      <c r="N27" s="193" t="s">
        <v>12</v>
      </c>
      <c r="O27" s="15">
        <v>1992</v>
      </c>
      <c r="P27" s="5">
        <f t="shared" si="1"/>
        <v>205.54435472605277</v>
      </c>
      <c r="Q27" s="12">
        <v>1990</v>
      </c>
      <c r="R27" s="129">
        <f t="shared" ref="R27:R32" si="6">SUM(S27:X27)-Y27</f>
        <v>185.387</v>
      </c>
      <c r="S27" s="23"/>
      <c r="T27" s="23"/>
      <c r="U27" s="23"/>
      <c r="V27" s="23"/>
      <c r="W27" s="23"/>
      <c r="X27" s="23">
        <v>241</v>
      </c>
      <c r="Y27" s="23">
        <v>55.613</v>
      </c>
      <c r="Z27" s="23"/>
      <c r="AA27" s="23"/>
      <c r="AB27" s="23"/>
      <c r="AC27" s="23"/>
    </row>
    <row r="28" spans="1:30" x14ac:dyDescent="0.15">
      <c r="D28" s="195">
        <v>1864</v>
      </c>
      <c r="E28" s="187">
        <v>0.28500000000000003</v>
      </c>
      <c r="F28" s="23">
        <f t="shared" si="2"/>
        <v>1.781E-3</v>
      </c>
      <c r="G28" s="30">
        <f t="shared" si="3"/>
        <v>-4.035309418880149</v>
      </c>
      <c r="I28" s="5">
        <f t="shared" ca="1" si="4"/>
        <v>24.37214882139142</v>
      </c>
      <c r="J28" s="6"/>
      <c r="K28" s="30">
        <f t="shared" si="5"/>
        <v>-10.372243874046839</v>
      </c>
      <c r="L28" s="30"/>
      <c r="N28" s="193" t="s">
        <v>13</v>
      </c>
      <c r="O28" s="15">
        <v>1995</v>
      </c>
      <c r="P28" s="5">
        <f t="shared" si="1"/>
        <v>207.07187993227848</v>
      </c>
      <c r="Q28" s="12">
        <v>1993</v>
      </c>
      <c r="R28" s="129">
        <f t="shared" si="6"/>
        <v>185.387</v>
      </c>
      <c r="S28" s="23"/>
      <c r="T28" s="23"/>
      <c r="U28" s="23"/>
      <c r="V28" s="23"/>
      <c r="W28" s="23"/>
      <c r="X28" s="23">
        <v>241</v>
      </c>
      <c r="Y28" s="23">
        <v>55.613</v>
      </c>
      <c r="Z28" s="23"/>
      <c r="AA28" s="23"/>
      <c r="AB28" s="23"/>
      <c r="AC28" s="23"/>
    </row>
    <row r="29" spans="1:30" x14ac:dyDescent="0.15">
      <c r="D29" s="195">
        <v>1865</v>
      </c>
      <c r="E29" s="187">
        <v>0.26269999999999999</v>
      </c>
      <c r="F29" s="23">
        <f t="shared" si="2"/>
        <v>2.0436999999999999E-3</v>
      </c>
      <c r="G29" s="30">
        <f t="shared" si="3"/>
        <v>-4.0028888822464026</v>
      </c>
      <c r="I29" s="5">
        <f t="shared" ca="1" si="4"/>
        <v>26.007198507922112</v>
      </c>
      <c r="J29" s="6"/>
      <c r="K29" s="30">
        <f t="shared" si="5"/>
        <v>-10.234652372639545</v>
      </c>
      <c r="L29" s="30"/>
      <c r="N29" s="193" t="s">
        <v>14</v>
      </c>
      <c r="O29" s="15">
        <v>1998</v>
      </c>
      <c r="P29" s="5">
        <f t="shared" si="1"/>
        <v>219.28276923712869</v>
      </c>
      <c r="Q29" s="12">
        <v>1996</v>
      </c>
      <c r="R29" s="129">
        <f t="shared" si="6"/>
        <v>196.422</v>
      </c>
      <c r="S29" s="23">
        <v>157.01</v>
      </c>
      <c r="T29" s="23">
        <v>34</v>
      </c>
      <c r="U29" s="23">
        <v>4</v>
      </c>
      <c r="V29" s="23">
        <v>0.81200000000000006</v>
      </c>
      <c r="W29" s="23">
        <v>0.6</v>
      </c>
      <c r="X29" s="23"/>
      <c r="Y29" s="23"/>
      <c r="Z29" s="23"/>
      <c r="AA29" s="23"/>
      <c r="AB29" s="23"/>
      <c r="AC29" s="23"/>
    </row>
    <row r="30" spans="1:30" x14ac:dyDescent="0.15">
      <c r="D30" s="195">
        <v>1866</v>
      </c>
      <c r="E30" s="187">
        <v>0.22939999999999997</v>
      </c>
      <c r="F30" s="23">
        <f t="shared" si="2"/>
        <v>2.2730999999999997E-3</v>
      </c>
      <c r="G30" s="30">
        <f t="shared" si="3"/>
        <v>-3.9776578158689913</v>
      </c>
      <c r="I30" s="5">
        <f t="shared" ca="1" si="4"/>
        <v>24.618584975290105</v>
      </c>
      <c r="J30" s="6"/>
      <c r="K30" s="30">
        <f t="shared" si="5"/>
        <v>-10.128265694371839</v>
      </c>
      <c r="L30" s="30"/>
      <c r="N30" s="193" t="s">
        <v>15</v>
      </c>
      <c r="O30" s="15">
        <v>2001</v>
      </c>
      <c r="P30" s="5">
        <f t="shared" si="1"/>
        <v>220.31479994137521</v>
      </c>
      <c r="Q30" s="12">
        <v>1999</v>
      </c>
      <c r="R30" s="129">
        <f t="shared" si="6"/>
        <v>196.422</v>
      </c>
      <c r="S30" s="23">
        <v>157.01</v>
      </c>
      <c r="T30" s="23">
        <v>34</v>
      </c>
      <c r="U30" s="23">
        <v>4</v>
      </c>
      <c r="V30" s="23">
        <v>0.81200000000000006</v>
      </c>
      <c r="W30" s="23">
        <v>0.6</v>
      </c>
      <c r="X30" s="23"/>
      <c r="Y30" s="23"/>
      <c r="Z30" s="23"/>
      <c r="AA30" s="23"/>
      <c r="AB30" s="23"/>
      <c r="AC30" s="23"/>
    </row>
    <row r="31" spans="1:30" x14ac:dyDescent="0.15">
      <c r="D31" s="195">
        <v>1867</v>
      </c>
      <c r="E31" s="187">
        <v>0.31940000000000002</v>
      </c>
      <c r="F31" s="23">
        <f t="shared" si="2"/>
        <v>2.5924999999999998E-3</v>
      </c>
      <c r="G31" s="30">
        <f t="shared" si="3"/>
        <v>-3.9462740100468161</v>
      </c>
      <c r="I31" s="5">
        <f t="shared" ca="1" si="4"/>
        <v>25.817618556131492</v>
      </c>
      <c r="J31" s="6"/>
      <c r="K31" s="30">
        <f t="shared" si="5"/>
        <v>-9.9967819605193569</v>
      </c>
      <c r="L31" s="30"/>
      <c r="N31" s="193" t="s">
        <v>16</v>
      </c>
      <c r="O31" s="15">
        <v>2004</v>
      </c>
      <c r="P31" s="5">
        <f t="shared" si="1"/>
        <v>218.72020064612082</v>
      </c>
      <c r="Q31" s="12">
        <v>2002</v>
      </c>
      <c r="R31" s="129">
        <f t="shared" si="6"/>
        <v>193.70099999999999</v>
      </c>
      <c r="S31" s="23">
        <v>157.01</v>
      </c>
      <c r="T31" s="23">
        <v>31.279</v>
      </c>
      <c r="U31" s="23">
        <v>4</v>
      </c>
      <c r="V31" s="23">
        <v>0.81200000000000006</v>
      </c>
      <c r="W31" s="23">
        <v>0.6</v>
      </c>
      <c r="X31" s="23"/>
      <c r="Y31" s="23"/>
      <c r="Z31" s="23"/>
      <c r="AA31" s="23"/>
      <c r="AB31" s="23"/>
      <c r="AC31" s="23"/>
    </row>
    <row r="32" spans="1:30" x14ac:dyDescent="0.15">
      <c r="D32" s="195">
        <v>1868</v>
      </c>
      <c r="E32" s="187">
        <v>0.3211</v>
      </c>
      <c r="F32" s="23">
        <f t="shared" si="2"/>
        <v>2.9135999999999997E-3</v>
      </c>
      <c r="G32" s="30">
        <f t="shared" si="3"/>
        <v>-3.9182121901521443</v>
      </c>
      <c r="I32" s="5">
        <f t="shared" ca="1" si="4"/>
        <v>25.619530192597267</v>
      </c>
      <c r="J32" s="6"/>
      <c r="K32" s="30">
        <f t="shared" si="5"/>
        <v>-9.8800095503973999</v>
      </c>
      <c r="L32" s="30"/>
      <c r="N32" s="193" t="s">
        <v>17</v>
      </c>
      <c r="O32" s="15">
        <v>2007</v>
      </c>
      <c r="P32" s="5">
        <f t="shared" si="1"/>
        <v>218.98251625136905</v>
      </c>
      <c r="Q32" s="12">
        <v>2005</v>
      </c>
      <c r="R32" s="129">
        <f t="shared" si="6"/>
        <v>192.72200000000001</v>
      </c>
      <c r="S32" s="23">
        <v>157.01</v>
      </c>
      <c r="T32" s="23">
        <v>31.3</v>
      </c>
      <c r="U32" s="23">
        <v>3</v>
      </c>
      <c r="V32" s="23">
        <v>0.81200000000000006</v>
      </c>
      <c r="W32" s="23">
        <v>0.6</v>
      </c>
      <c r="X32" s="23"/>
      <c r="Y32" s="23"/>
      <c r="Z32" s="23"/>
      <c r="AA32" s="23"/>
      <c r="AB32" s="23"/>
      <c r="AC32" s="23"/>
    </row>
    <row r="33" spans="4:29" x14ac:dyDescent="0.15">
      <c r="D33" s="195">
        <v>1869</v>
      </c>
      <c r="E33" s="187">
        <v>0.39490000000000003</v>
      </c>
      <c r="F33" s="23">
        <f t="shared" si="2"/>
        <v>3.3084999999999998E-3</v>
      </c>
      <c r="G33" s="30">
        <f t="shared" si="3"/>
        <v>-3.8874588602286209</v>
      </c>
      <c r="I33" s="5">
        <f t="shared" ca="1" si="4"/>
        <v>26.553405602206112</v>
      </c>
      <c r="J33" s="6"/>
      <c r="K33" s="30">
        <f t="shared" si="5"/>
        <v>-9.7528971280658023</v>
      </c>
      <c r="L33" s="30"/>
      <c r="N33" s="341" t="s">
        <v>297</v>
      </c>
      <c r="O33" s="15">
        <v>2010</v>
      </c>
      <c r="P33" s="5">
        <f t="shared" si="1"/>
        <v>224.93564533073891</v>
      </c>
      <c r="Q33" s="12">
        <v>2008</v>
      </c>
      <c r="R33" s="23">
        <v>197.28100000000001</v>
      </c>
      <c r="S33" s="23"/>
      <c r="T33" s="23"/>
      <c r="U33" s="23"/>
      <c r="V33" s="23"/>
      <c r="W33" s="23"/>
      <c r="X33" s="23"/>
      <c r="Y33" s="23"/>
      <c r="Z33" s="23"/>
      <c r="AA33" s="23"/>
      <c r="AB33" s="23"/>
      <c r="AC33" s="23"/>
    </row>
    <row r="34" spans="4:29" x14ac:dyDescent="0.15">
      <c r="D34" s="195">
        <v>1870</v>
      </c>
      <c r="E34" s="187">
        <v>0.439</v>
      </c>
      <c r="F34" s="23">
        <f t="shared" si="2"/>
        <v>3.7475E-3</v>
      </c>
      <c r="G34" s="30">
        <f t="shared" si="3"/>
        <v>-3.8570996691639046</v>
      </c>
      <c r="I34" s="5">
        <f t="shared" ca="1" si="4"/>
        <v>27.3215187055348</v>
      </c>
      <c r="J34" s="6"/>
      <c r="K34" s="30">
        <f t="shared" si="5"/>
        <v>-9.628295378855162</v>
      </c>
      <c r="L34" s="30"/>
      <c r="N34" s="181"/>
      <c r="P34" s="6"/>
      <c r="Q34" s="6"/>
      <c r="R34" s="129"/>
      <c r="S34" s="23"/>
      <c r="T34" s="23"/>
      <c r="U34" s="23"/>
      <c r="V34" s="23"/>
      <c r="W34" s="23"/>
      <c r="X34" s="23"/>
      <c r="Y34" s="23"/>
      <c r="Z34" s="23"/>
    </row>
    <row r="35" spans="4:29" x14ac:dyDescent="0.15">
      <c r="D35" s="195">
        <v>1871</v>
      </c>
      <c r="E35" s="187">
        <v>0.25440000000000007</v>
      </c>
      <c r="F35" s="23">
        <f t="shared" si="2"/>
        <v>4.0019000000000001E-3</v>
      </c>
      <c r="G35" s="30">
        <f t="shared" si="3"/>
        <v>-3.8410091125965495</v>
      </c>
      <c r="I35" s="5">
        <f t="shared" ca="1" si="4"/>
        <v>22.088696582887678</v>
      </c>
      <c r="J35" s="6"/>
      <c r="K35" s="30">
        <f t="shared" si="5"/>
        <v>-9.5626106119866972</v>
      </c>
      <c r="L35" s="30"/>
      <c r="N35" s="181"/>
      <c r="P35" s="6"/>
      <c r="Q35" s="6"/>
      <c r="R35" s="129"/>
      <c r="S35" s="23"/>
      <c r="T35" s="23"/>
      <c r="U35" s="23"/>
      <c r="V35" s="23"/>
      <c r="W35" s="23"/>
      <c r="X35" s="23"/>
      <c r="Y35" s="23"/>
      <c r="Z35" s="23"/>
    </row>
    <row r="36" spans="4:29" x14ac:dyDescent="0.15">
      <c r="D36" s="195">
        <v>1872</v>
      </c>
      <c r="E36" s="187">
        <v>0.46360000000000012</v>
      </c>
      <c r="F36" s="23">
        <f t="shared" si="2"/>
        <v>4.4654999999999999E-3</v>
      </c>
      <c r="G36" s="30">
        <f t="shared" si="3"/>
        <v>-3.8140207162286885</v>
      </c>
      <c r="I36" s="5">
        <f t="shared" ca="1" si="4"/>
        <v>21.4391603211252</v>
      </c>
      <c r="J36" s="6"/>
      <c r="K36" s="30">
        <f t="shared" si="5"/>
        <v>-9.4529905252094935</v>
      </c>
      <c r="L36" s="30"/>
      <c r="R36" s="129"/>
      <c r="S36" s="23"/>
      <c r="T36" s="23"/>
      <c r="U36" s="23"/>
      <c r="V36" s="23"/>
      <c r="W36" s="23"/>
      <c r="X36" s="23"/>
      <c r="Y36" s="23"/>
      <c r="Z36" s="23"/>
    </row>
    <row r="37" spans="4:29" x14ac:dyDescent="0.15">
      <c r="D37" s="195">
        <v>1873</v>
      </c>
      <c r="E37" s="187">
        <v>0.57079999999999986</v>
      </c>
      <c r="F37" s="23">
        <f t="shared" si="2"/>
        <v>5.0362999999999996E-3</v>
      </c>
      <c r="G37" s="30">
        <f t="shared" si="3"/>
        <v>-3.7842050313809517</v>
      </c>
      <c r="I37" s="5">
        <f t="shared" ca="1" si="4"/>
        <v>21.978691943607373</v>
      </c>
      <c r="J37" s="6"/>
      <c r="K37" s="30">
        <f t="shared" si="5"/>
        <v>-9.33269000139118</v>
      </c>
      <c r="L37" s="30"/>
      <c r="R37" s="129"/>
      <c r="S37" s="23"/>
      <c r="T37" s="23"/>
      <c r="U37" s="23"/>
      <c r="V37" s="23"/>
      <c r="W37" s="23"/>
      <c r="X37" s="23"/>
      <c r="Y37" s="23"/>
      <c r="Z37" s="23"/>
    </row>
    <row r="38" spans="4:29" x14ac:dyDescent="0.15">
      <c r="D38" s="195">
        <v>1874</v>
      </c>
      <c r="E38" s="187">
        <v>0.69450000000000012</v>
      </c>
      <c r="F38" s="23">
        <f t="shared" si="2"/>
        <v>5.7307999999999994E-3</v>
      </c>
      <c r="G38" s="30">
        <f t="shared" si="3"/>
        <v>-3.7519495732207595</v>
      </c>
      <c r="I38" s="5">
        <f t="shared" ca="1" si="4"/>
        <v>23.54431485862915</v>
      </c>
      <c r="J38" s="6"/>
      <c r="K38" s="30">
        <f t="shared" si="5"/>
        <v>-9.2034943479479079</v>
      </c>
      <c r="L38" s="30"/>
      <c r="R38" s="129"/>
      <c r="S38" s="23"/>
      <c r="T38" s="23"/>
      <c r="U38" s="23"/>
      <c r="V38" s="23"/>
      <c r="W38" s="23"/>
      <c r="X38" s="23"/>
      <c r="Y38" s="23"/>
      <c r="Z38" s="23"/>
    </row>
    <row r="39" spans="4:29" x14ac:dyDescent="0.15">
      <c r="D39" s="195">
        <v>1875</v>
      </c>
      <c r="E39" s="187">
        <v>0.8095</v>
      </c>
      <c r="F39" s="23">
        <f t="shared" si="2"/>
        <v>6.5402999999999998E-3</v>
      </c>
      <c r="G39" s="30">
        <f t="shared" si="3"/>
        <v>-3.7187010061366652</v>
      </c>
      <c r="I39" s="5">
        <f t="shared" ca="1" si="4"/>
        <v>25.527607896586233</v>
      </c>
      <c r="J39" s="6"/>
      <c r="K39" s="30">
        <f t="shared" si="5"/>
        <v>-9.0713522264448727</v>
      </c>
      <c r="L39" s="30"/>
      <c r="R39" s="129"/>
      <c r="S39" s="23"/>
      <c r="T39" s="23"/>
      <c r="U39" s="23"/>
      <c r="V39" s="23"/>
      <c r="W39" s="23"/>
      <c r="X39" s="23"/>
      <c r="Y39" s="23"/>
      <c r="Z39" s="23"/>
    </row>
    <row r="40" spans="4:29" x14ac:dyDescent="0.15">
      <c r="D40" s="195">
        <v>1876</v>
      </c>
      <c r="E40" s="187">
        <v>0.84189999999999998</v>
      </c>
      <c r="F40" s="23">
        <f t="shared" si="2"/>
        <v>7.3822000000000002E-3</v>
      </c>
      <c r="G40" s="30">
        <f t="shared" si="3"/>
        <v>-3.6879961423648773</v>
      </c>
      <c r="I40" s="5">
        <f t="shared" ca="1" si="4"/>
        <v>26.441099979584578</v>
      </c>
      <c r="J40" s="6"/>
      <c r="K40" s="30">
        <f t="shared" si="5"/>
        <v>-8.9502487732200375</v>
      </c>
      <c r="L40" s="30"/>
      <c r="R40" s="129"/>
      <c r="S40" s="23"/>
      <c r="T40" s="23"/>
      <c r="U40" s="23"/>
      <c r="V40" s="23"/>
      <c r="W40" s="23"/>
      <c r="X40" s="23"/>
      <c r="Y40" s="23"/>
    </row>
    <row r="41" spans="4:29" x14ac:dyDescent="0.15">
      <c r="D41" s="195">
        <v>1877</v>
      </c>
      <c r="E41" s="187">
        <v>0.75740000000000007</v>
      </c>
      <c r="F41" s="23">
        <f t="shared" si="2"/>
        <v>8.1396000000000003E-3</v>
      </c>
      <c r="G41" s="30">
        <f t="shared" si="3"/>
        <v>-3.6630631836485206</v>
      </c>
      <c r="I41" s="5">
        <f t="shared" ca="1" si="4"/>
        <v>24.927111817399236</v>
      </c>
      <c r="J41" s="6"/>
      <c r="K41" s="30">
        <f t="shared" si="5"/>
        <v>-8.8525661240625961</v>
      </c>
      <c r="L41" s="30"/>
      <c r="R41" s="129"/>
      <c r="S41" s="23"/>
      <c r="T41" s="23"/>
      <c r="U41" s="23"/>
      <c r="V41" s="23"/>
      <c r="W41" s="23"/>
      <c r="X41" s="23"/>
      <c r="Y41" s="23"/>
    </row>
    <row r="42" spans="4:29" x14ac:dyDescent="0.15">
      <c r="D42" s="195">
        <v>1878</v>
      </c>
      <c r="E42" s="187">
        <v>1.3840999999999999</v>
      </c>
      <c r="F42" s="23">
        <f t="shared" si="2"/>
        <v>9.5236999999999995E-3</v>
      </c>
      <c r="G42" s="30">
        <f t="shared" si="3"/>
        <v>-3.6226544912590368</v>
      </c>
      <c r="I42" s="5">
        <f t="shared" ca="1" si="4"/>
        <v>29.921726518649848</v>
      </c>
      <c r="J42" s="6"/>
      <c r="K42" s="30">
        <f t="shared" si="5"/>
        <v>-8.6954994148741207</v>
      </c>
      <c r="L42" s="30"/>
      <c r="R42" s="129"/>
      <c r="S42" s="23"/>
      <c r="T42" s="23"/>
      <c r="U42" s="23"/>
      <c r="V42" s="23"/>
      <c r="W42" s="23"/>
      <c r="X42" s="23"/>
      <c r="Y42" s="23"/>
    </row>
    <row r="43" spans="4:29" x14ac:dyDescent="0.15">
      <c r="D43" s="195">
        <v>1879</v>
      </c>
      <c r="E43" s="187">
        <v>1.5132000000000003</v>
      </c>
      <c r="F43" s="23">
        <f t="shared" si="2"/>
        <v>1.1036900000000001E-2</v>
      </c>
      <c r="G43" s="30">
        <f t="shared" si="3"/>
        <v>-3.5843442635691241</v>
      </c>
      <c r="I43" s="5">
        <f t="shared" ca="1" si="4"/>
        <v>34.033793507401242</v>
      </c>
      <c r="J43" s="6"/>
      <c r="K43" s="30">
        <f t="shared" si="5"/>
        <v>-8.5480120511129698</v>
      </c>
      <c r="L43" s="30"/>
      <c r="R43" s="129"/>
      <c r="S43" s="23"/>
      <c r="T43" s="23"/>
      <c r="U43" s="23"/>
      <c r="V43" s="23"/>
      <c r="W43" s="23"/>
      <c r="X43" s="23"/>
      <c r="Y43" s="23"/>
    </row>
    <row r="44" spans="4:29" x14ac:dyDescent="0.15">
      <c r="D44" s="195">
        <v>1880</v>
      </c>
      <c r="E44" s="187">
        <v>1.8608</v>
      </c>
      <c r="F44" s="23">
        <f t="shared" si="2"/>
        <v>1.28977E-2</v>
      </c>
      <c r="G44" s="30">
        <f t="shared" si="3"/>
        <v>-3.5434689453610408</v>
      </c>
      <c r="I44" s="5">
        <f t="shared" ca="1" si="4"/>
        <v>39.224656231733206</v>
      </c>
      <c r="J44" s="6"/>
      <c r="K44" s="30">
        <f t="shared" si="5"/>
        <v>-8.3921745577339308</v>
      </c>
      <c r="L44" s="30"/>
      <c r="R44" s="129"/>
      <c r="S44" s="23"/>
      <c r="T44" s="23"/>
      <c r="U44" s="23"/>
      <c r="V44" s="23"/>
      <c r="W44" s="23"/>
      <c r="X44" s="23"/>
      <c r="Y44" s="23"/>
    </row>
    <row r="45" spans="4:29" x14ac:dyDescent="0.15">
      <c r="D45" s="195">
        <v>1881</v>
      </c>
      <c r="E45" s="187">
        <v>1.9146999999999998</v>
      </c>
      <c r="F45" s="23">
        <f t="shared" si="2"/>
        <v>1.48124E-2</v>
      </c>
      <c r="G45" s="30">
        <f t="shared" si="3"/>
        <v>-3.506803564566912</v>
      </c>
      <c r="I45" s="5">
        <f t="shared" ca="1" si="4"/>
        <v>42.644952772510806</v>
      </c>
      <c r="J45" s="6"/>
      <c r="K45" s="30">
        <f t="shared" si="5"/>
        <v>-8.2537252458031549</v>
      </c>
      <c r="L45" s="30"/>
      <c r="S45" s="23"/>
      <c r="T45" s="23"/>
      <c r="U45" s="23"/>
      <c r="V45" s="23"/>
      <c r="W45" s="23"/>
      <c r="X45" s="23"/>
      <c r="Y45" s="23"/>
    </row>
    <row r="46" spans="4:29" x14ac:dyDescent="0.15">
      <c r="D46" s="195">
        <v>1882</v>
      </c>
      <c r="E46" s="187">
        <v>2.0196000000000001</v>
      </c>
      <c r="F46" s="23">
        <f t="shared" si="2"/>
        <v>1.6832E-2</v>
      </c>
      <c r="G46" s="30">
        <f t="shared" si="3"/>
        <v>-3.4726433985541738</v>
      </c>
      <c r="I46" s="5">
        <f t="shared" ca="1" si="4"/>
        <v>45.011635413997283</v>
      </c>
      <c r="J46" s="6"/>
      <c r="K46" s="30">
        <f t="shared" si="5"/>
        <v>-8.1258725875306794</v>
      </c>
      <c r="L46" s="30"/>
      <c r="S46" s="23"/>
      <c r="T46" s="23"/>
      <c r="U46" s="23"/>
      <c r="V46" s="23"/>
      <c r="W46" s="23"/>
      <c r="X46" s="23"/>
      <c r="Y46" s="23"/>
    </row>
    <row r="47" spans="4:29" x14ac:dyDescent="0.15">
      <c r="D47" s="195">
        <v>1883</v>
      </c>
      <c r="E47" s="187">
        <v>2.1020000000000003</v>
      </c>
      <c r="F47" s="23">
        <f t="shared" si="2"/>
        <v>1.8933999999999999E-2</v>
      </c>
      <c r="G47" s="30">
        <f t="shared" si="3"/>
        <v>-3.4409300734476513</v>
      </c>
      <c r="I47" s="5">
        <f t="shared" ca="1" si="4"/>
        <v>46.349254357123755</v>
      </c>
      <c r="J47" s="6"/>
      <c r="K47" s="30">
        <f t="shared" si="5"/>
        <v>-8.0081582375280593</v>
      </c>
      <c r="L47" s="30"/>
      <c r="S47" s="23"/>
      <c r="T47" s="23"/>
      <c r="U47" s="23"/>
      <c r="V47" s="23"/>
      <c r="W47" s="23"/>
      <c r="X47" s="23"/>
      <c r="Y47" s="23"/>
    </row>
    <row r="48" spans="4:29" x14ac:dyDescent="0.15">
      <c r="D48" s="195">
        <v>1884</v>
      </c>
      <c r="E48" s="187">
        <v>2.2569999999999997</v>
      </c>
      <c r="F48" s="23">
        <f t="shared" si="2"/>
        <v>2.1190999999999998E-2</v>
      </c>
      <c r="G48" s="30">
        <f t="shared" si="3"/>
        <v>-3.4103385675493665</v>
      </c>
      <c r="I48" s="5">
        <f t="shared" ca="1" si="4"/>
        <v>47.215071712986173</v>
      </c>
      <c r="J48" s="6"/>
      <c r="K48" s="30">
        <f t="shared" si="5"/>
        <v>-7.8955012577810608</v>
      </c>
      <c r="L48" s="30"/>
    </row>
    <row r="49" spans="4:12" x14ac:dyDescent="0.15">
      <c r="D49" s="195">
        <v>1885</v>
      </c>
      <c r="E49" s="187">
        <v>2.4003000000000005</v>
      </c>
      <c r="F49" s="23">
        <f t="shared" si="2"/>
        <v>2.3591299999999999E-2</v>
      </c>
      <c r="G49" s="30">
        <f t="shared" si="3"/>
        <v>-3.3809659871989917</v>
      </c>
      <c r="I49" s="5">
        <f t="shared" ca="1" si="4"/>
        <v>47.56824763426448</v>
      </c>
      <c r="J49" s="6"/>
      <c r="K49" s="30">
        <f t="shared" si="5"/>
        <v>-7.788157636745078</v>
      </c>
      <c r="L49" s="30"/>
    </row>
    <row r="50" spans="4:12" x14ac:dyDescent="0.15">
      <c r="D50" s="195">
        <v>1886</v>
      </c>
      <c r="E50" s="187">
        <v>2.4521000000000002</v>
      </c>
      <c r="F50" s="23">
        <f t="shared" si="2"/>
        <v>2.6043399999999998E-2</v>
      </c>
      <c r="G50" s="30">
        <f t="shared" si="3"/>
        <v>-3.3536981903984153</v>
      </c>
      <c r="I50" s="5">
        <f t="shared" ca="1" si="4"/>
        <v>47.036218335003468</v>
      </c>
      <c r="J50" s="6"/>
      <c r="K50" s="30">
        <f t="shared" si="5"/>
        <v>-7.6892281630917889</v>
      </c>
      <c r="L50" s="30"/>
    </row>
    <row r="51" spans="4:12" x14ac:dyDescent="0.15">
      <c r="D51" s="195">
        <v>1887</v>
      </c>
      <c r="E51" s="187">
        <v>2.8605</v>
      </c>
      <c r="F51" s="23">
        <f t="shared" si="2"/>
        <v>2.8903899999999996E-2</v>
      </c>
      <c r="G51" s="30">
        <f t="shared" si="3"/>
        <v>-3.3247510398194113</v>
      </c>
      <c r="I51" s="5">
        <f t="shared" ca="1" si="4"/>
        <v>47.210471984381002</v>
      </c>
      <c r="J51" s="6"/>
      <c r="K51" s="30">
        <f t="shared" si="5"/>
        <v>-7.5849657295631516</v>
      </c>
      <c r="L51" s="30"/>
    </row>
    <row r="52" spans="4:12" x14ac:dyDescent="0.15">
      <c r="D52" s="195">
        <v>1888</v>
      </c>
      <c r="E52" s="187">
        <v>2.9401999999999999</v>
      </c>
      <c r="F52" s="23">
        <f t="shared" si="2"/>
        <v>3.1844099999999993E-2</v>
      </c>
      <c r="G52" s="30">
        <f t="shared" si="3"/>
        <v>-3.2976436683275017</v>
      </c>
      <c r="I52" s="5">
        <f t="shared" ca="1" si="4"/>
        <v>46.61097288721794</v>
      </c>
      <c r="J52" s="6"/>
      <c r="K52" s="30">
        <f t="shared" si="5"/>
        <v>-7.488038462097812</v>
      </c>
      <c r="L52" s="30"/>
    </row>
    <row r="53" spans="4:12" x14ac:dyDescent="0.15">
      <c r="D53" s="195">
        <v>1889</v>
      </c>
      <c r="E53" s="187">
        <v>2.6656</v>
      </c>
      <c r="F53" s="23">
        <f t="shared" si="2"/>
        <v>3.450969999999999E-2</v>
      </c>
      <c r="G53" s="30">
        <f t="shared" si="3"/>
        <v>-3.2750018695168719</v>
      </c>
      <c r="I53" s="5">
        <f t="shared" ca="1" si="4"/>
        <v>44.133395518988436</v>
      </c>
      <c r="J53" s="6"/>
      <c r="K53" s="30">
        <f t="shared" si="5"/>
        <v>-7.4076032839927866</v>
      </c>
      <c r="L53" s="30"/>
    </row>
    <row r="54" spans="4:12" x14ac:dyDescent="0.15">
      <c r="D54" s="195">
        <v>1890</v>
      </c>
      <c r="E54" s="187">
        <v>2.9975000000000001</v>
      </c>
      <c r="F54" s="23">
        <f t="shared" si="2"/>
        <v>3.7507199999999991E-2</v>
      </c>
      <c r="G54" s="30">
        <f t="shared" si="3"/>
        <v>-3.2513979985543386</v>
      </c>
      <c r="I54" s="5">
        <f t="shared" ca="1" si="4"/>
        <v>42.06043519153809</v>
      </c>
      <c r="J54" s="6"/>
      <c r="K54" s="30">
        <f t="shared" si="5"/>
        <v>-7.3242581209567073</v>
      </c>
      <c r="L54" s="30"/>
    </row>
    <row r="55" spans="4:12" x14ac:dyDescent="0.15">
      <c r="D55" s="195">
        <v>1891</v>
      </c>
      <c r="E55" s="187">
        <v>2.9954999999999998</v>
      </c>
      <c r="F55" s="23">
        <f t="shared" si="2"/>
        <v>4.0502699999999989E-2</v>
      </c>
      <c r="G55" s="30">
        <f t="shared" si="3"/>
        <v>-3.2294915393720265</v>
      </c>
      <c r="I55" s="5">
        <f t="shared" ca="1" si="4"/>
        <v>39.27359729249747</v>
      </c>
      <c r="J55" s="6"/>
      <c r="K55" s="30">
        <f t="shared" si="5"/>
        <v>-7.2473697369010628</v>
      </c>
      <c r="L55" s="30"/>
    </row>
    <row r="56" spans="4:12" x14ac:dyDescent="0.15">
      <c r="D56" s="195">
        <v>1892</v>
      </c>
      <c r="E56" s="187">
        <v>3.3709999999999996</v>
      </c>
      <c r="F56" s="23">
        <f t="shared" si="2"/>
        <v>4.3873699999999988E-2</v>
      </c>
      <c r="G56" s="30">
        <f t="shared" si="3"/>
        <v>-3.2065609873660921</v>
      </c>
      <c r="I56" s="5">
        <f t="shared" ca="1" si="4"/>
        <v>36.917460362147722</v>
      </c>
      <c r="J56" s="6"/>
      <c r="K56" s="30">
        <f t="shared" si="5"/>
        <v>-7.1673640591947319</v>
      </c>
      <c r="L56" s="30"/>
    </row>
    <row r="57" spans="4:12" x14ac:dyDescent="0.15">
      <c r="D57" s="195">
        <v>1893</v>
      </c>
      <c r="E57" s="187">
        <v>3.7502000000000004</v>
      </c>
      <c r="F57" s="23">
        <f t="shared" si="2"/>
        <v>4.762389999999999E-2</v>
      </c>
      <c r="G57" s="30">
        <f t="shared" si="3"/>
        <v>-3.1828877477390884</v>
      </c>
      <c r="I57" s="5">
        <f t="shared" ca="1" si="4"/>
        <v>34.873674295365163</v>
      </c>
      <c r="J57" s="6"/>
      <c r="K57" s="30">
        <f t="shared" si="5"/>
        <v>-7.0852784395694171</v>
      </c>
      <c r="L57" s="30"/>
    </row>
    <row r="58" spans="4:12" x14ac:dyDescent="0.15">
      <c r="D58" s="195">
        <v>1894</v>
      </c>
      <c r="E58" s="187">
        <v>3.9033999999999995</v>
      </c>
      <c r="F58" s="23">
        <f t="shared" si="2"/>
        <v>5.1527299999999991E-2</v>
      </c>
      <c r="G58" s="30">
        <f t="shared" si="3"/>
        <v>-3.1600067143386621</v>
      </c>
      <c r="I58" s="5">
        <f t="shared" ca="1" si="4"/>
        <v>32.496711409724412</v>
      </c>
      <c r="J58" s="6"/>
      <c r="K58" s="30">
        <f t="shared" si="5"/>
        <v>-7.0064327779060198</v>
      </c>
      <c r="L58" s="30"/>
    </row>
    <row r="59" spans="4:12" x14ac:dyDescent="0.15">
      <c r="D59" s="195">
        <v>1895</v>
      </c>
      <c r="E59" s="187">
        <v>3.9556999999999984</v>
      </c>
      <c r="F59" s="23">
        <f t="shared" si="2"/>
        <v>5.5482999999999991E-2</v>
      </c>
      <c r="G59" s="30">
        <f t="shared" si="3"/>
        <v>-3.1383928950878017</v>
      </c>
      <c r="I59" s="5">
        <f t="shared" ca="1" si="4"/>
        <v>29.586798434822413</v>
      </c>
      <c r="J59" s="6"/>
      <c r="K59" s="30">
        <f t="shared" si="5"/>
        <v>-6.9323983168650045</v>
      </c>
      <c r="L59" s="30"/>
    </row>
    <row r="60" spans="4:12" x14ac:dyDescent="0.15">
      <c r="D60" s="195">
        <v>1896</v>
      </c>
      <c r="E60" s="187">
        <v>4.2637</v>
      </c>
      <c r="F60" s="23">
        <f t="shared" si="2"/>
        <v>5.9746699999999993E-2</v>
      </c>
      <c r="G60" s="30">
        <f t="shared" si="3"/>
        <v>-3.1166291439219309</v>
      </c>
      <c r="I60" s="5">
        <f t="shared" ca="1" si="4"/>
        <v>26.739942069189965</v>
      </c>
      <c r="J60" s="6"/>
      <c r="K60" s="30">
        <f t="shared" si="5"/>
        <v>-6.8582860460551807</v>
      </c>
      <c r="L60" s="30"/>
    </row>
    <row r="61" spans="4:12" x14ac:dyDescent="0.15">
      <c r="D61" s="195">
        <v>1897</v>
      </c>
      <c r="E61" s="187">
        <v>3.7998000000000021</v>
      </c>
      <c r="F61" s="23">
        <f t="shared" si="2"/>
        <v>6.3546499999999992E-2</v>
      </c>
      <c r="G61" s="30">
        <f t="shared" si="3"/>
        <v>-3.0984044384500753</v>
      </c>
      <c r="I61" s="5">
        <f t="shared" ca="1" si="4"/>
        <v>22.404675304123884</v>
      </c>
      <c r="J61" s="6"/>
      <c r="K61" s="30">
        <f t="shared" si="5"/>
        <v>-6.7965612578299819</v>
      </c>
      <c r="L61" s="30"/>
    </row>
    <row r="62" spans="4:12" x14ac:dyDescent="0.15">
      <c r="D62" s="195">
        <v>1898</v>
      </c>
      <c r="E62" s="187">
        <v>4.7403999999999984</v>
      </c>
      <c r="F62" s="23">
        <f t="shared" si="2"/>
        <v>6.8286899999999984E-2</v>
      </c>
      <c r="G62" s="30">
        <f t="shared" si="3"/>
        <v>-3.0770221109132363</v>
      </c>
      <c r="I62" s="5">
        <f t="shared" ca="1" si="4"/>
        <v>19.397404254666981</v>
      </c>
      <c r="J62" s="6"/>
      <c r="K62" s="30">
        <f t="shared" si="5"/>
        <v>-6.7245318575625364</v>
      </c>
      <c r="L62" s="30"/>
    </row>
    <row r="63" spans="4:12" x14ac:dyDescent="0.15">
      <c r="D63" s="195">
        <v>1899</v>
      </c>
      <c r="E63" s="187">
        <v>4.927699999999998</v>
      </c>
      <c r="F63" s="23">
        <f t="shared" si="2"/>
        <v>7.3214599999999977E-2</v>
      </c>
      <c r="G63" s="30">
        <f t="shared" si="3"/>
        <v>-3.0561924150626258</v>
      </c>
      <c r="I63" s="5">
        <f t="shared" ca="1" si="4"/>
        <v>16.157713841360419</v>
      </c>
      <c r="J63" s="6"/>
      <c r="K63" s="30">
        <f t="shared" si="5"/>
        <v>-6.6547682742848684</v>
      </c>
      <c r="L63" s="30"/>
    </row>
    <row r="64" spans="4:12" x14ac:dyDescent="0.15">
      <c r="D64" s="195">
        <v>1900</v>
      </c>
      <c r="E64" s="187">
        <v>5.1427999999999994</v>
      </c>
      <c r="F64" s="23">
        <f t="shared" si="2"/>
        <v>7.835739999999998E-2</v>
      </c>
      <c r="G64" s="30">
        <f t="shared" si="3"/>
        <v>-3.0357810719536338</v>
      </c>
      <c r="I64" s="5">
        <f t="shared" ca="1" si="4"/>
        <v>12.742077530463575</v>
      </c>
      <c r="J64" s="6"/>
      <c r="K64" s="30">
        <f t="shared" si="5"/>
        <v>-6.5867922491137527</v>
      </c>
      <c r="L64" s="30"/>
    </row>
    <row r="65" spans="4:12" x14ac:dyDescent="0.15">
      <c r="D65" s="195">
        <v>1901</v>
      </c>
      <c r="E65" s="187">
        <v>5.6568999999999985</v>
      </c>
      <c r="F65" s="23">
        <f t="shared" si="2"/>
        <v>8.4014299999999972E-2</v>
      </c>
      <c r="G65" s="30">
        <f t="shared" si="3"/>
        <v>-3.0146998193409615</v>
      </c>
      <c r="I65" s="5">
        <f t="shared" ca="1" si="4"/>
        <v>9.6081839146754646</v>
      </c>
      <c r="J65" s="6"/>
      <c r="K65" s="30">
        <f t="shared" si="5"/>
        <v>-6.5169861184917446</v>
      </c>
      <c r="L65" s="30"/>
    </row>
    <row r="66" spans="4:12" x14ac:dyDescent="0.15">
      <c r="D66" s="195">
        <v>1902</v>
      </c>
      <c r="E66" s="187">
        <v>5.736699999999999</v>
      </c>
      <c r="F66" s="23">
        <f t="shared" si="2"/>
        <v>8.975099999999997E-2</v>
      </c>
      <c r="G66" s="30">
        <f t="shared" si="3"/>
        <v>-2.9946074519431218</v>
      </c>
      <c r="I66" s="5">
        <f t="shared" ca="1" si="4"/>
        <v>6.058396534055646</v>
      </c>
      <c r="J66" s="6"/>
      <c r="K66" s="30">
        <f t="shared" si="5"/>
        <v>-6.4508330370511935</v>
      </c>
      <c r="L66" s="30"/>
    </row>
    <row r="67" spans="4:12" x14ac:dyDescent="0.15">
      <c r="D67" s="195">
        <v>1903</v>
      </c>
      <c r="E67" s="187">
        <v>6.472900000000001</v>
      </c>
      <c r="F67" s="23">
        <f t="shared" si="2"/>
        <v>9.6223899999999973E-2</v>
      </c>
      <c r="G67" s="30">
        <f t="shared" si="3"/>
        <v>-2.9732994436888203</v>
      </c>
      <c r="I67" s="5">
        <f t="shared" ca="1" si="4"/>
        <v>3.0198691509513083</v>
      </c>
      <c r="J67" s="6"/>
      <c r="K67" s="30">
        <f t="shared" si="5"/>
        <v>-6.3810805390074785</v>
      </c>
      <c r="L67" s="30"/>
    </row>
    <row r="68" spans="4:12" x14ac:dyDescent="0.15">
      <c r="D68" s="195">
        <v>1904</v>
      </c>
      <c r="E68" s="187">
        <v>6.5258999999999983</v>
      </c>
      <c r="F68" s="23">
        <f t="shared" si="2"/>
        <v>0.10274979999999997</v>
      </c>
      <c r="G68" s="30">
        <f t="shared" si="3"/>
        <v>-2.9531022152628235</v>
      </c>
      <c r="I68" s="5">
        <f t="shared" ca="1" si="4"/>
        <v>-0.48581700626073143</v>
      </c>
      <c r="J68" s="6"/>
      <c r="K68" s="30">
        <f t="shared" si="5"/>
        <v>-6.3153465540768039</v>
      </c>
      <c r="L68" s="30"/>
    </row>
    <row r="69" spans="4:12" x14ac:dyDescent="0.15">
      <c r="D69" s="195">
        <v>1905</v>
      </c>
      <c r="E69" s="187">
        <v>5.8117999999999981</v>
      </c>
      <c r="F69" s="23">
        <f t="shared" si="2"/>
        <v>0.10856159999999997</v>
      </c>
      <c r="G69" s="30">
        <f t="shared" si="3"/>
        <v>-2.93607657897013</v>
      </c>
      <c r="I69" s="5">
        <f t="shared" ca="1" si="4"/>
        <v>-5.3253742468405108</v>
      </c>
      <c r="J69" s="6"/>
      <c r="K69" s="30">
        <f t="shared" si="5"/>
        <v>-6.2602234175095193</v>
      </c>
      <c r="L69" s="30"/>
    </row>
    <row r="70" spans="4:12" x14ac:dyDescent="0.15">
      <c r="D70" s="195">
        <v>1906</v>
      </c>
      <c r="E70" s="187">
        <v>7.4856000000000016</v>
      </c>
      <c r="F70" s="23">
        <f t="shared" si="2"/>
        <v>0.11604719999999996</v>
      </c>
      <c r="G70" s="30">
        <f t="shared" si="3"/>
        <v>-2.9153309403746035</v>
      </c>
      <c r="I70" s="5">
        <f t="shared" ca="1" si="4"/>
        <v>-8.6004164762643995</v>
      </c>
      <c r="J70" s="6"/>
      <c r="K70" s="30">
        <f t="shared" si="5"/>
        <v>-6.193412401895908</v>
      </c>
      <c r="L70" s="30"/>
    </row>
    <row r="71" spans="4:12" x14ac:dyDescent="0.15">
      <c r="D71" s="195">
        <v>1907</v>
      </c>
      <c r="E71" s="187">
        <v>7.8146999999999984</v>
      </c>
      <c r="F71" s="23">
        <f t="shared" si="2"/>
        <v>0.12386189999999996</v>
      </c>
      <c r="G71" s="30">
        <f t="shared" si="3"/>
        <v>-2.8949338174657697</v>
      </c>
      <c r="I71" s="5">
        <f t="shared" ca="1" si="4"/>
        <v>-12.022033352443032</v>
      </c>
      <c r="J71" s="6"/>
      <c r="K71" s="30">
        <f t="shared" si="5"/>
        <v>-6.1281045954988542</v>
      </c>
      <c r="L71" s="30"/>
    </row>
    <row r="72" spans="4:12" x14ac:dyDescent="0.15">
      <c r="D72" s="195">
        <v>1908</v>
      </c>
      <c r="E72" s="187">
        <v>7.9964000000000013</v>
      </c>
      <c r="F72" s="23">
        <f t="shared" si="2"/>
        <v>0.13185829999999996</v>
      </c>
      <c r="G72" s="30">
        <f t="shared" si="3"/>
        <v>-2.8752390283284677</v>
      </c>
      <c r="I72" s="5">
        <f t="shared" ca="1" si="4"/>
        <v>-15.739029542651224</v>
      </c>
      <c r="J72" s="6"/>
      <c r="K72" s="30">
        <f t="shared" si="5"/>
        <v>-6.0654031752656197</v>
      </c>
      <c r="L72" s="30"/>
    </row>
    <row r="73" spans="4:12" x14ac:dyDescent="0.15">
      <c r="D73" s="195">
        <v>1909</v>
      </c>
      <c r="E73" s="187">
        <v>8.3304000000000009</v>
      </c>
      <c r="F73" s="23">
        <f t="shared" si="2"/>
        <v>0.14018869999999994</v>
      </c>
      <c r="G73" s="30">
        <f t="shared" si="3"/>
        <v>-2.8558427745808075</v>
      </c>
      <c r="I73" s="5">
        <f t="shared" ca="1" si="4"/>
        <v>-19.581580251492596</v>
      </c>
      <c r="J73" s="6"/>
      <c r="K73" s="30">
        <f t="shared" si="5"/>
        <v>-6.0039949679154789</v>
      </c>
      <c r="L73" s="30"/>
    </row>
    <row r="74" spans="4:12" x14ac:dyDescent="0.15">
      <c r="D74" s="195">
        <v>1910</v>
      </c>
      <c r="E74" s="187">
        <v>8.3690000000000033</v>
      </c>
      <c r="F74" s="23">
        <f t="shared" si="2"/>
        <v>0.14855769999999996</v>
      </c>
      <c r="G74" s="30">
        <f t="shared" si="3"/>
        <v>-2.8373818998161955</v>
      </c>
      <c r="H74" s="33"/>
      <c r="I74" s="5">
        <f t="shared" ca="1" si="4"/>
        <v>-23.817521700707402</v>
      </c>
      <c r="J74" s="6"/>
      <c r="K74" s="30">
        <f t="shared" si="5"/>
        <v>-5.9458635074675525</v>
      </c>
      <c r="L74" s="30"/>
    </row>
    <row r="75" spans="4:12" x14ac:dyDescent="0.15">
      <c r="D75" s="195">
        <v>1911</v>
      </c>
      <c r="E75" s="187">
        <v>8.6755999999999993</v>
      </c>
      <c r="F75" s="23">
        <f t="shared" si="2"/>
        <v>0.15723329999999996</v>
      </c>
      <c r="G75" s="30">
        <f t="shared" si="3"/>
        <v>-2.8192137208621904</v>
      </c>
      <c r="H75" s="33"/>
      <c r="I75" s="5">
        <f t="shared" ca="1" si="4"/>
        <v>-28.176561726784712</v>
      </c>
      <c r="J75" s="6"/>
      <c r="K75" s="30">
        <f t="shared" si="5"/>
        <v>-5.8889534322353354</v>
      </c>
      <c r="L75" s="30"/>
    </row>
    <row r="76" spans="4:12" x14ac:dyDescent="0.15">
      <c r="D76" s="195">
        <v>1912</v>
      </c>
      <c r="E76" s="187">
        <v>11.467599999999997</v>
      </c>
      <c r="F76" s="23">
        <f t="shared" si="2"/>
        <v>0.16870089999999996</v>
      </c>
      <c r="G76" s="30">
        <f t="shared" si="3"/>
        <v>-2.7965427010981756</v>
      </c>
      <c r="H76" s="33"/>
      <c r="I76" s="5">
        <f t="shared" ca="1" si="4"/>
        <v>-30.641849688585353</v>
      </c>
      <c r="J76" s="6"/>
      <c r="K76" s="30">
        <f t="shared" si="5"/>
        <v>-5.8183547599475105</v>
      </c>
      <c r="L76" s="30"/>
    </row>
    <row r="77" spans="4:12" x14ac:dyDescent="0.15">
      <c r="D77" s="195">
        <v>1913</v>
      </c>
      <c r="E77" s="187">
        <v>14.733700000000002</v>
      </c>
      <c r="F77" s="23">
        <f t="shared" si="2"/>
        <v>0.18343459999999995</v>
      </c>
      <c r="G77" s="30">
        <f t="shared" si="3"/>
        <v>-2.7693762998462237</v>
      </c>
      <c r="H77" s="33"/>
      <c r="I77" s="5">
        <f t="shared" ca="1" si="4"/>
        <v>-31.216522740449363</v>
      </c>
      <c r="J77" s="6"/>
      <c r="K77" s="30">
        <f t="shared" si="5"/>
        <v>-5.734364243799388</v>
      </c>
      <c r="L77" s="30"/>
    </row>
    <row r="78" spans="4:12" x14ac:dyDescent="0.15">
      <c r="D78" s="195">
        <v>1914</v>
      </c>
      <c r="E78" s="187">
        <v>8.2500000000000036</v>
      </c>
      <c r="F78" s="23">
        <f t="shared" si="2"/>
        <v>0.19168459999999996</v>
      </c>
      <c r="G78" s="30">
        <f t="shared" si="3"/>
        <v>-2.7550135816105819</v>
      </c>
      <c r="H78" s="33"/>
      <c r="I78" s="5">
        <f t="shared" ca="1" si="4"/>
        <v>-37.176018877450588</v>
      </c>
      <c r="J78" s="6"/>
      <c r="K78" s="30">
        <f t="shared" si="5"/>
        <v>-5.6902257191022887</v>
      </c>
      <c r="L78" s="30"/>
    </row>
    <row r="79" spans="4:12" x14ac:dyDescent="0.15">
      <c r="D79" s="195">
        <v>1915</v>
      </c>
      <c r="E79" s="187">
        <v>5.027000000000001</v>
      </c>
      <c r="F79" s="23">
        <f t="shared" si="2"/>
        <v>0.19671159999999996</v>
      </c>
      <c r="G79" s="30">
        <f t="shared" si="3"/>
        <v>-2.7465328265056654</v>
      </c>
      <c r="H79" s="33"/>
      <c r="I79" s="5">
        <f t="shared" ca="1" si="4"/>
        <v>-45.609282196280219</v>
      </c>
      <c r="J79" s="6"/>
      <c r="K79" s="30">
        <f t="shared" si="5"/>
        <v>-5.6642497203538023</v>
      </c>
      <c r="L79" s="30"/>
    </row>
    <row r="80" spans="4:12" x14ac:dyDescent="0.15">
      <c r="D80" s="195">
        <v>1916</v>
      </c>
      <c r="E80" s="187">
        <v>5.9400000000000013</v>
      </c>
      <c r="F80" s="23">
        <f t="shared" si="2"/>
        <v>0.20265159999999996</v>
      </c>
      <c r="G80" s="30">
        <f t="shared" si="3"/>
        <v>-2.736759911522896</v>
      </c>
      <c r="H80" s="33"/>
      <c r="I80" s="5">
        <f t="shared" ca="1" si="4"/>
        <v>-53.499104043537045</v>
      </c>
      <c r="J80" s="6"/>
      <c r="K80" s="30">
        <f t="shared" si="5"/>
        <v>-5.634395449315539</v>
      </c>
      <c r="L80" s="30"/>
    </row>
    <row r="81" spans="4:18" x14ac:dyDescent="0.15">
      <c r="D81" s="195">
        <v>1917</v>
      </c>
      <c r="E81" s="187">
        <v>6.6724999999999994</v>
      </c>
      <c r="F81" s="23">
        <f t="shared" si="2"/>
        <v>0.20932409999999996</v>
      </c>
      <c r="G81" s="30">
        <f t="shared" si="3"/>
        <v>-2.7260847775065025</v>
      </c>
      <c r="H81" s="33"/>
      <c r="I81" s="5">
        <f t="shared" ca="1" si="4"/>
        <v>-61.009481173678978</v>
      </c>
      <c r="J81" s="6"/>
      <c r="K81" s="30">
        <f t="shared" si="5"/>
        <v>-5.6018822831778445</v>
      </c>
      <c r="L81" s="30"/>
    </row>
    <row r="82" spans="4:18" x14ac:dyDescent="0.15">
      <c r="D82" s="195">
        <v>1918</v>
      </c>
      <c r="E82" s="187">
        <v>4.3770000000000007</v>
      </c>
      <c r="F82" s="23">
        <f t="shared" si="2"/>
        <v>0.21370109999999995</v>
      </c>
      <c r="G82" s="30">
        <f t="shared" si="3"/>
        <v>-2.7192472556761329</v>
      </c>
      <c r="H82" s="33"/>
      <c r="I82" s="5">
        <f t="shared" ca="1" si="4"/>
        <v>-70.133836302559757</v>
      </c>
      <c r="J82" s="6"/>
      <c r="K82" s="30">
        <f t="shared" si="5"/>
        <v>-5.5811105615240182</v>
      </c>
      <c r="L82" s="30"/>
    </row>
    <row r="83" spans="4:18" x14ac:dyDescent="0.15">
      <c r="D83" s="195">
        <v>1919</v>
      </c>
      <c r="E83" s="187">
        <v>4.0940000000000003</v>
      </c>
      <c r="F83" s="23">
        <f t="shared" si="2"/>
        <v>0.21779509999999996</v>
      </c>
      <c r="G83" s="30">
        <f t="shared" si="3"/>
        <v>-2.7129648858557092</v>
      </c>
      <c r="H83" s="33"/>
      <c r="I83" s="5">
        <f t="shared" ca="1" si="4"/>
        <v>-79.491670763526599</v>
      </c>
      <c r="J83" s="6"/>
      <c r="K83" s="30">
        <f t="shared" si="5"/>
        <v>-5.5620619630128827</v>
      </c>
      <c r="L83" s="30"/>
    </row>
    <row r="84" spans="4:18" x14ac:dyDescent="0.15">
      <c r="D84" s="195">
        <v>1920</v>
      </c>
      <c r="E84" s="187">
        <v>4.5110000000000001</v>
      </c>
      <c r="F84" s="23">
        <f t="shared" ref="F84:F147" si="7">F83+E84/1000</f>
        <v>0.22230609999999995</v>
      </c>
      <c r="G84" s="30">
        <f t="shared" ref="G84:G147" si="8">NORMSINV(F84/F$1)</f>
        <v>-2.7061643863081728</v>
      </c>
      <c r="H84" s="34"/>
      <c r="I84" s="5">
        <f t="shared" ref="I84:I147" ca="1" si="9">(G84/(NORMSINV(0.9)-NORMSINV(0.1))*IF(D84&lt;E$6,F$2-E$2,F$5-E$5) - D84 + IF(D84&lt;E$6,AVERAGE(E$2:F$2),AVERAGE(E$5:F$5)))*12</f>
        <v>-88.631596290626476</v>
      </c>
      <c r="J84" s="6"/>
      <c r="K84" s="30">
        <f t="shared" ref="K84:K147" si="10">-LN(F$10/F84-1)</f>
        <v>-5.5414818592536088</v>
      </c>
      <c r="L84" s="30"/>
    </row>
    <row r="85" spans="4:18" x14ac:dyDescent="0.15">
      <c r="D85" s="195">
        <v>1921</v>
      </c>
      <c r="E85" s="187">
        <v>4.3710000000000004</v>
      </c>
      <c r="F85" s="23">
        <f t="shared" si="7"/>
        <v>0.22667709999999996</v>
      </c>
      <c r="G85" s="30">
        <f t="shared" si="8"/>
        <v>-2.6996922211839891</v>
      </c>
      <c r="H85" s="34"/>
      <c r="I85" s="5">
        <f t="shared" ca="1" si="9"/>
        <v>-97.909608865043992</v>
      </c>
      <c r="J85" s="6"/>
      <c r="K85" s="30">
        <f t="shared" si="10"/>
        <v>-5.5219334900582613</v>
      </c>
      <c r="L85" s="30"/>
    </row>
    <row r="86" spans="4:18" x14ac:dyDescent="0.15">
      <c r="D86" s="195">
        <v>1922</v>
      </c>
      <c r="E86" s="187">
        <v>4.4539999999999997</v>
      </c>
      <c r="F86" s="23">
        <f t="shared" si="7"/>
        <v>0.23113109999999998</v>
      </c>
      <c r="G86" s="30">
        <f t="shared" si="8"/>
        <v>-2.6932114660098407</v>
      </c>
      <c r="H86" s="34"/>
      <c r="I86" s="5">
        <f t="shared" ca="1" si="9"/>
        <v>-107.18400873683004</v>
      </c>
      <c r="J86" s="6"/>
      <c r="K86" s="30">
        <f t="shared" si="10"/>
        <v>-5.5023963835745615</v>
      </c>
      <c r="L86" s="30"/>
    </row>
    <row r="87" spans="4:18" x14ac:dyDescent="0.15">
      <c r="D87" s="195">
        <v>1923</v>
      </c>
      <c r="E87" s="187">
        <v>4.9789999999999992</v>
      </c>
      <c r="F87" s="23">
        <f t="shared" si="7"/>
        <v>0.23611009999999999</v>
      </c>
      <c r="G87" s="30">
        <f t="shared" si="8"/>
        <v>-2.6860982340490378</v>
      </c>
      <c r="H87" s="34"/>
      <c r="I87" s="5">
        <f t="shared" ca="1" si="9"/>
        <v>-116.19240892733069</v>
      </c>
      <c r="J87" s="6"/>
      <c r="K87" s="30">
        <f t="shared" si="10"/>
        <v>-5.4809954140105628</v>
      </c>
      <c r="L87" s="30"/>
    </row>
    <row r="88" spans="4:18" x14ac:dyDescent="0.15">
      <c r="D88" s="195">
        <v>1924</v>
      </c>
      <c r="E88" s="187">
        <v>4.5739999999999998</v>
      </c>
      <c r="F88" s="23">
        <f t="shared" si="7"/>
        <v>0.24068409999999998</v>
      </c>
      <c r="G88" s="30">
        <f t="shared" si="8"/>
        <v>-2.6796812685256084</v>
      </c>
      <c r="H88" s="34"/>
      <c r="I88" s="5">
        <f t="shared" ca="1" si="9"/>
        <v>-125.49363670350431</v>
      </c>
      <c r="J88" s="6"/>
      <c r="K88" s="30">
        <f t="shared" si="10"/>
        <v>-5.4617276579181961</v>
      </c>
      <c r="L88" s="30"/>
    </row>
    <row r="89" spans="4:18" x14ac:dyDescent="0.15">
      <c r="D89" s="195">
        <v>1925</v>
      </c>
      <c r="E89" s="187">
        <v>4.6909999999999989</v>
      </c>
      <c r="F89" s="23">
        <f t="shared" si="7"/>
        <v>0.24537509999999998</v>
      </c>
      <c r="G89" s="30">
        <f t="shared" si="8"/>
        <v>-2.6732128051502682</v>
      </c>
      <c r="H89" s="34"/>
      <c r="I89" s="5">
        <f t="shared" ca="1" si="9"/>
        <v>-134.77320611610685</v>
      </c>
      <c r="J89" s="6"/>
      <c r="K89" s="30">
        <f t="shared" si="10"/>
        <v>-5.4423421197524773</v>
      </c>
      <c r="L89" s="30"/>
    </row>
    <row r="90" spans="4:18" x14ac:dyDescent="0.15">
      <c r="D90" s="195">
        <v>1926</v>
      </c>
      <c r="E90" s="187">
        <v>6.8499999999999979</v>
      </c>
      <c r="F90" s="23">
        <f t="shared" si="7"/>
        <v>0.25222509999999998</v>
      </c>
      <c r="G90" s="30">
        <f t="shared" si="8"/>
        <v>-2.6639636923853089</v>
      </c>
      <c r="H90" s="34"/>
      <c r="I90" s="5">
        <f t="shared" ca="1" si="9"/>
        <v>-142.88332256694775</v>
      </c>
      <c r="J90" s="6"/>
      <c r="K90" s="30">
        <f t="shared" si="10"/>
        <v>-5.4146873702803839</v>
      </c>
      <c r="L90" s="30"/>
    </row>
    <row r="91" spans="4:18" x14ac:dyDescent="0.15">
      <c r="D91" s="195">
        <v>1927</v>
      </c>
      <c r="E91" s="187">
        <v>8.4619999999999997</v>
      </c>
      <c r="F91" s="23">
        <f t="shared" si="7"/>
        <v>0.2606871</v>
      </c>
      <c r="G91" s="30">
        <f t="shared" si="8"/>
        <v>-2.6528438756359316</v>
      </c>
      <c r="H91" s="34"/>
      <c r="I91" s="5">
        <f t="shared" ca="1" si="9"/>
        <v>-150.2066802400268</v>
      </c>
      <c r="J91" s="6"/>
      <c r="K91" s="30">
        <f t="shared" si="10"/>
        <v>-5.3815391450703727</v>
      </c>
      <c r="L91" s="30"/>
    </row>
    <row r="92" spans="4:18" x14ac:dyDescent="0.15">
      <c r="D92" s="195">
        <v>1928</v>
      </c>
      <c r="E92" s="187">
        <v>11.59</v>
      </c>
      <c r="F92" s="23">
        <f t="shared" si="7"/>
        <v>0.27227709999999999</v>
      </c>
      <c r="G92" s="30">
        <f t="shared" si="8"/>
        <v>-2.6381268634034281</v>
      </c>
      <c r="H92" s="34"/>
      <c r="I92" s="5">
        <f t="shared" ca="1" si="9"/>
        <v>-156.01717155624647</v>
      </c>
      <c r="J92" s="6"/>
      <c r="K92" s="30">
        <f t="shared" si="10"/>
        <v>-5.3378351179070664</v>
      </c>
      <c r="L92" s="30"/>
      <c r="N92" s="34"/>
      <c r="O92" s="34"/>
      <c r="P92" s="34"/>
      <c r="Q92" s="34"/>
      <c r="R92" s="34"/>
    </row>
    <row r="93" spans="4:18" x14ac:dyDescent="0.15">
      <c r="D93" s="195">
        <v>1929</v>
      </c>
      <c r="E93" s="187">
        <v>14.941000000000003</v>
      </c>
      <c r="F93" s="23">
        <f t="shared" si="7"/>
        <v>0.28721809999999998</v>
      </c>
      <c r="G93" s="30">
        <f t="shared" si="8"/>
        <v>-2.6199603116282697</v>
      </c>
      <c r="H93" s="34"/>
      <c r="I93" s="5">
        <f t="shared" ca="1" si="9"/>
        <v>-160.37689592214792</v>
      </c>
      <c r="J93" s="6"/>
      <c r="K93" s="30">
        <f t="shared" si="10"/>
        <v>-5.2841497832436684</v>
      </c>
      <c r="L93" s="30"/>
      <c r="N93" s="34"/>
      <c r="O93" s="34"/>
      <c r="P93" s="34"/>
      <c r="Q93" s="34"/>
      <c r="R93" s="34"/>
    </row>
    <row r="94" spans="4:18" x14ac:dyDescent="0.15">
      <c r="D94" s="195">
        <v>1930</v>
      </c>
      <c r="E94" s="187">
        <v>18.161999999999995</v>
      </c>
      <c r="F94" s="23">
        <f t="shared" si="7"/>
        <v>0.30538009999999999</v>
      </c>
      <c r="G94" s="30">
        <f t="shared" si="8"/>
        <v>-2.5989814919525673</v>
      </c>
      <c r="H94" s="34"/>
      <c r="I94" s="5">
        <f t="shared" ca="1" si="9"/>
        <v>-163.55386958318286</v>
      </c>
      <c r="J94" s="6"/>
      <c r="K94" s="30">
        <f t="shared" si="10"/>
        <v>-5.2225136769296903</v>
      </c>
      <c r="L94" s="30"/>
      <c r="N94" s="34"/>
      <c r="O94" s="34"/>
      <c r="P94" s="34"/>
      <c r="Q94" s="34"/>
      <c r="R94" s="34"/>
    </row>
    <row r="95" spans="4:18" x14ac:dyDescent="0.15">
      <c r="D95" s="195">
        <v>1931</v>
      </c>
      <c r="E95" s="187">
        <v>23.339000000000006</v>
      </c>
      <c r="F95" s="23">
        <f t="shared" si="7"/>
        <v>0.32871909999999999</v>
      </c>
      <c r="G95" s="30">
        <f t="shared" si="8"/>
        <v>-2.5735994612625746</v>
      </c>
      <c r="H95" s="34"/>
      <c r="I95" s="5">
        <f t="shared" ca="1" si="9"/>
        <v>-164.87899231286428</v>
      </c>
      <c r="J95" s="6"/>
      <c r="K95" s="30">
        <f t="shared" si="10"/>
        <v>-5.1484550120809356</v>
      </c>
      <c r="L95" s="30"/>
      <c r="N95" s="34"/>
      <c r="O95" s="34"/>
      <c r="P95" s="34"/>
      <c r="Q95" s="34"/>
      <c r="R95" s="34"/>
    </row>
    <row r="96" spans="4:18" x14ac:dyDescent="0.15">
      <c r="D96" s="195">
        <v>1932</v>
      </c>
      <c r="E96" s="187">
        <v>26.167999999999999</v>
      </c>
      <c r="F96" s="23">
        <f t="shared" si="7"/>
        <v>0.35488710000000001</v>
      </c>
      <c r="G96" s="30">
        <f t="shared" si="8"/>
        <v>-2.5469827883499625</v>
      </c>
      <c r="H96" s="34"/>
      <c r="I96" s="5">
        <f t="shared" ca="1" si="9"/>
        <v>-165.68486367294008</v>
      </c>
      <c r="J96" s="6"/>
      <c r="K96" s="30">
        <f t="shared" si="10"/>
        <v>-5.0713964000935441</v>
      </c>
      <c r="L96" s="30"/>
      <c r="N96" s="34"/>
      <c r="O96" s="34"/>
      <c r="P96" s="34"/>
      <c r="Q96" s="34"/>
      <c r="R96" s="34"/>
    </row>
    <row r="97" spans="4:18" x14ac:dyDescent="0.15">
      <c r="D97" s="195">
        <v>1933</v>
      </c>
      <c r="E97" s="187">
        <v>33.392000000000003</v>
      </c>
      <c r="F97" s="23">
        <f t="shared" si="7"/>
        <v>0.38827909999999999</v>
      </c>
      <c r="G97" s="30">
        <f t="shared" si="8"/>
        <v>-2.5154435783494953</v>
      </c>
      <c r="H97" s="34"/>
      <c r="I97" s="5">
        <f t="shared" ca="1" si="9"/>
        <v>-164.42047202241247</v>
      </c>
      <c r="J97" s="6"/>
      <c r="K97" s="30">
        <f t="shared" si="10"/>
        <v>-4.9808812256462582</v>
      </c>
      <c r="L97" s="30"/>
      <c r="N97" s="34"/>
      <c r="O97" s="34"/>
      <c r="P97" s="34"/>
      <c r="Q97" s="34"/>
      <c r="R97" s="34"/>
    </row>
    <row r="98" spans="4:18" x14ac:dyDescent="0.15">
      <c r="D98" s="195">
        <v>1934</v>
      </c>
      <c r="E98" s="187">
        <v>42.608999999999988</v>
      </c>
      <c r="F98" s="23">
        <f t="shared" si="7"/>
        <v>0.4308881</v>
      </c>
      <c r="G98" s="30">
        <f t="shared" si="8"/>
        <v>-2.4785201397348029</v>
      </c>
      <c r="H98" s="34"/>
      <c r="I98" s="5">
        <f t="shared" ca="1" si="9"/>
        <v>-160.89164454505317</v>
      </c>
      <c r="J98" s="6"/>
      <c r="K98" s="30">
        <f t="shared" si="10"/>
        <v>-4.8760032428693423</v>
      </c>
      <c r="L98" s="30"/>
      <c r="N98" s="34"/>
      <c r="O98" s="34"/>
      <c r="P98" s="34"/>
      <c r="Q98" s="34"/>
      <c r="R98" s="34"/>
    </row>
    <row r="99" spans="4:18" x14ac:dyDescent="0.15">
      <c r="D99" s="195">
        <v>1935</v>
      </c>
      <c r="E99" s="187">
        <v>51.912999999999997</v>
      </c>
      <c r="F99" s="23">
        <f t="shared" si="7"/>
        <v>0.48280109999999998</v>
      </c>
      <c r="G99" s="30">
        <f t="shared" si="8"/>
        <v>-2.4376683157498262</v>
      </c>
      <c r="H99" s="34"/>
      <c r="I99" s="5">
        <f t="shared" ca="1" si="9"/>
        <v>-155.71066274598252</v>
      </c>
      <c r="J99" s="6"/>
      <c r="K99" s="30">
        <f t="shared" si="10"/>
        <v>-4.7613275337014027</v>
      </c>
      <c r="L99" s="30"/>
      <c r="N99" s="34"/>
      <c r="O99" s="34"/>
      <c r="P99" s="34"/>
      <c r="Q99" s="34"/>
      <c r="R99" s="34"/>
    </row>
    <row r="100" spans="4:18" x14ac:dyDescent="0.15">
      <c r="D100" s="195">
        <v>1936</v>
      </c>
      <c r="E100" s="187">
        <v>62.001000000000005</v>
      </c>
      <c r="F100" s="23">
        <f t="shared" si="7"/>
        <v>0.54480209999999996</v>
      </c>
      <c r="G100" s="30">
        <f t="shared" si="8"/>
        <v>-2.3936717902441633</v>
      </c>
      <c r="H100" s="34"/>
      <c r="I100" s="5">
        <f t="shared" ca="1" si="9"/>
        <v>-149.20711920253689</v>
      </c>
      <c r="J100" s="6"/>
      <c r="K100" s="30">
        <f t="shared" si="10"/>
        <v>-4.6394105573925994</v>
      </c>
      <c r="L100" s="30"/>
      <c r="N100" s="34"/>
      <c r="O100" s="34"/>
      <c r="P100" s="34"/>
      <c r="Q100" s="34"/>
      <c r="R100" s="34"/>
    </row>
    <row r="101" spans="4:18" x14ac:dyDescent="0.15">
      <c r="D101" s="195">
        <v>1937</v>
      </c>
      <c r="E101" s="187">
        <v>62.94</v>
      </c>
      <c r="F101" s="23">
        <f t="shared" si="7"/>
        <v>0.60774209999999995</v>
      </c>
      <c r="G101" s="30">
        <f t="shared" si="8"/>
        <v>-2.3532971961822233</v>
      </c>
      <c r="H101" s="34"/>
      <c r="I101" s="5">
        <f t="shared" ca="1" si="9"/>
        <v>-144.22684517662765</v>
      </c>
      <c r="J101" s="6"/>
      <c r="K101" s="30">
        <f t="shared" si="10"/>
        <v>-4.5289655346944242</v>
      </c>
      <c r="L101" s="30"/>
      <c r="N101" s="34"/>
      <c r="O101" s="34"/>
      <c r="P101" s="34"/>
      <c r="Q101" s="34"/>
      <c r="R101" s="34"/>
    </row>
    <row r="102" spans="4:18" x14ac:dyDescent="0.15">
      <c r="D102" s="195">
        <v>1938</v>
      </c>
      <c r="E102" s="187">
        <v>66.486000000000018</v>
      </c>
      <c r="F102" s="23">
        <f t="shared" si="7"/>
        <v>0.6742281</v>
      </c>
      <c r="G102" s="30">
        <f t="shared" si="8"/>
        <v>-2.3144433853000992</v>
      </c>
      <c r="H102" s="34"/>
      <c r="I102" s="5">
        <f t="shared" ca="1" si="9"/>
        <v>-139.88616433369134</v>
      </c>
      <c r="J102" s="6"/>
      <c r="K102" s="30">
        <f t="shared" si="10"/>
        <v>-4.4239663614696996</v>
      </c>
      <c r="L102" s="30"/>
      <c r="N102" s="34"/>
      <c r="O102" s="34"/>
      <c r="P102" s="34"/>
      <c r="Q102" s="34"/>
      <c r="R102" s="34"/>
    </row>
    <row r="103" spans="4:18" x14ac:dyDescent="0.15">
      <c r="D103" s="195">
        <v>1939</v>
      </c>
      <c r="E103" s="187">
        <v>79.233000000000004</v>
      </c>
      <c r="F103" s="23">
        <f t="shared" si="7"/>
        <v>0.75346109999999999</v>
      </c>
      <c r="G103" s="30">
        <f t="shared" si="8"/>
        <v>-2.2722840868250698</v>
      </c>
      <c r="H103" s="34"/>
      <c r="I103" s="5">
        <f t="shared" ca="1" si="9"/>
        <v>-134.15530022276744</v>
      </c>
      <c r="J103" s="6"/>
      <c r="K103" s="30">
        <f t="shared" si="10"/>
        <v>-4.3114478344341256</v>
      </c>
      <c r="L103" s="30"/>
      <c r="N103" s="34"/>
      <c r="O103" s="34"/>
      <c r="P103" s="34"/>
      <c r="Q103" s="34"/>
      <c r="R103" s="34"/>
    </row>
    <row r="104" spans="4:18" x14ac:dyDescent="0.15">
      <c r="D104" s="195">
        <v>1940</v>
      </c>
      <c r="E104" s="187">
        <v>88.24</v>
      </c>
      <c r="F104" s="23">
        <f t="shared" si="7"/>
        <v>0.84170109999999998</v>
      </c>
      <c r="G104" s="30">
        <f t="shared" si="8"/>
        <v>-2.2296441523214794</v>
      </c>
      <c r="H104" s="34"/>
      <c r="I104" s="5">
        <f t="shared" ca="1" si="9"/>
        <v>-128.22229583869921</v>
      </c>
      <c r="J104" s="6"/>
      <c r="K104" s="30">
        <f t="shared" si="10"/>
        <v>-4.1991280615185058</v>
      </c>
      <c r="L104" s="30"/>
      <c r="N104" s="34"/>
      <c r="O104" s="34"/>
      <c r="P104" s="34"/>
      <c r="Q104" s="34"/>
      <c r="R104" s="34"/>
    </row>
    <row r="105" spans="4:18" x14ac:dyDescent="0.15">
      <c r="D105" s="195">
        <v>1941</v>
      </c>
      <c r="E105" s="187">
        <v>99.84699999999998</v>
      </c>
      <c r="F105" s="23">
        <f t="shared" si="7"/>
        <v>0.9415481</v>
      </c>
      <c r="G105" s="30">
        <f t="shared" si="8"/>
        <v>-2.1858282044536503</v>
      </c>
      <c r="H105" s="34"/>
      <c r="I105" s="5">
        <f t="shared" ca="1" si="9"/>
        <v>-121.79469752379646</v>
      </c>
      <c r="J105" s="6"/>
      <c r="K105" s="30">
        <f t="shared" si="10"/>
        <v>-4.0852455966115793</v>
      </c>
      <c r="L105" s="30"/>
      <c r="N105" s="34"/>
      <c r="O105" s="34"/>
      <c r="P105" s="34"/>
      <c r="Q105" s="34"/>
      <c r="R105" s="34"/>
    </row>
    <row r="106" spans="4:18" x14ac:dyDescent="0.15">
      <c r="D106" s="195">
        <v>1942</v>
      </c>
      <c r="E106" s="187">
        <v>80.114999999999995</v>
      </c>
      <c r="F106" s="23">
        <f t="shared" si="7"/>
        <v>1.0216631</v>
      </c>
      <c r="G106" s="30">
        <f t="shared" si="8"/>
        <v>-2.1534780755950118</v>
      </c>
      <c r="H106" s="34"/>
      <c r="I106" s="5">
        <f t="shared" ca="1" si="9"/>
        <v>-120.18925911491897</v>
      </c>
      <c r="J106" s="6"/>
      <c r="K106" s="30">
        <f t="shared" si="10"/>
        <v>-4.002151832732407</v>
      </c>
      <c r="L106" s="30"/>
      <c r="N106" s="34"/>
      <c r="O106" s="34"/>
      <c r="P106" s="34"/>
      <c r="Q106" s="34"/>
      <c r="R106" s="34"/>
    </row>
    <row r="107" spans="4:18" x14ac:dyDescent="0.15">
      <c r="D107" s="195">
        <v>1943</v>
      </c>
      <c r="E107" s="187">
        <v>97.165999999999997</v>
      </c>
      <c r="F107" s="23">
        <f t="shared" si="7"/>
        <v>1.1188291000000001</v>
      </c>
      <c r="G107" s="30">
        <f t="shared" si="8"/>
        <v>-2.1170437000117261</v>
      </c>
      <c r="H107" s="34"/>
      <c r="I107" s="5">
        <f t="shared" ca="1" si="9"/>
        <v>-116.86611604088739</v>
      </c>
      <c r="J107" s="6"/>
      <c r="K107" s="30">
        <f t="shared" si="10"/>
        <v>-3.9095612403725131</v>
      </c>
      <c r="L107" s="30"/>
      <c r="N107" s="34"/>
      <c r="O107" s="34"/>
      <c r="P107" s="34"/>
      <c r="Q107" s="34"/>
      <c r="R107" s="34"/>
    </row>
    <row r="108" spans="4:18" x14ac:dyDescent="0.15">
      <c r="D108" s="195">
        <v>1944</v>
      </c>
      <c r="E108" s="187">
        <v>112.245</v>
      </c>
      <c r="F108" s="23">
        <f t="shared" si="7"/>
        <v>1.2310741000000001</v>
      </c>
      <c r="G108" s="30">
        <f t="shared" si="8"/>
        <v>-2.0781793916192379</v>
      </c>
      <c r="H108" s="39"/>
      <c r="I108" s="5">
        <f t="shared" ca="1" si="9"/>
        <v>-112.52102027795627</v>
      </c>
      <c r="J108" s="6"/>
      <c r="K108" s="30">
        <f t="shared" si="10"/>
        <v>-3.8119434482093832</v>
      </c>
      <c r="L108" s="30"/>
      <c r="N108" s="34"/>
      <c r="O108" s="34"/>
      <c r="P108" s="34"/>
      <c r="Q108" s="34"/>
      <c r="R108" s="34"/>
    </row>
    <row r="109" spans="4:18" x14ac:dyDescent="0.15">
      <c r="D109" s="195">
        <v>1945</v>
      </c>
      <c r="E109" s="187">
        <v>120.134</v>
      </c>
      <c r="F109" s="23">
        <f t="shared" si="7"/>
        <v>1.3512081</v>
      </c>
      <c r="G109" s="30">
        <f t="shared" si="8"/>
        <v>-2.0397916281728876</v>
      </c>
      <c r="H109" s="39"/>
      <c r="I109" s="5">
        <f t="shared" ca="1" si="9"/>
        <v>-108.37634420862469</v>
      </c>
      <c r="J109" s="6"/>
      <c r="K109" s="30">
        <f t="shared" si="10"/>
        <v>-3.7166719503318757</v>
      </c>
      <c r="L109" s="30"/>
      <c r="N109" s="34"/>
      <c r="O109" s="34"/>
      <c r="P109" s="34"/>
      <c r="Q109" s="34"/>
      <c r="R109" s="34"/>
    </row>
    <row r="110" spans="4:18" x14ac:dyDescent="0.15">
      <c r="D110" s="195">
        <v>1946</v>
      </c>
      <c r="E110" s="187">
        <v>126.529</v>
      </c>
      <c r="F110" s="23">
        <f t="shared" si="7"/>
        <v>1.4777371000000001</v>
      </c>
      <c r="G110" s="30">
        <f t="shared" si="8"/>
        <v>-2.002368351521612</v>
      </c>
      <c r="H110" s="34"/>
      <c r="I110" s="5">
        <f t="shared" ca="1" si="9"/>
        <v>-104.63730070242673</v>
      </c>
      <c r="J110" s="6"/>
      <c r="K110" s="30">
        <f t="shared" si="10"/>
        <v>-3.6248796370135188</v>
      </c>
      <c r="L110" s="30"/>
      <c r="N110" s="34"/>
      <c r="O110" s="34"/>
      <c r="P110" s="34"/>
      <c r="Q110" s="34"/>
      <c r="R110" s="34"/>
    </row>
    <row r="111" spans="4:18" x14ac:dyDescent="0.15">
      <c r="D111" s="195">
        <v>1947</v>
      </c>
      <c r="E111" s="187">
        <v>138.25200000000001</v>
      </c>
      <c r="F111" s="23">
        <f t="shared" si="7"/>
        <v>1.6159891000000002</v>
      </c>
      <c r="G111" s="30">
        <f t="shared" si="8"/>
        <v>-1.9644484542035483</v>
      </c>
      <c r="H111" s="34"/>
      <c r="I111" s="5">
        <f t="shared" ca="1" si="9"/>
        <v>-100.68939429110196</v>
      </c>
      <c r="J111" s="6"/>
      <c r="K111" s="30">
        <f t="shared" si="10"/>
        <v>-3.5329477412532988</v>
      </c>
      <c r="L111" s="30"/>
      <c r="N111" s="34"/>
      <c r="O111" s="34"/>
      <c r="P111" s="34"/>
      <c r="Q111" s="34"/>
      <c r="R111" s="34"/>
    </row>
    <row r="112" spans="4:18" x14ac:dyDescent="0.15">
      <c r="D112" s="195">
        <v>1948</v>
      </c>
      <c r="E112" s="187">
        <v>154.88299999999998</v>
      </c>
      <c r="F112" s="23">
        <f t="shared" si="7"/>
        <v>1.7708721000000001</v>
      </c>
      <c r="G112" s="30">
        <f t="shared" si="8"/>
        <v>-1.9250724701714013</v>
      </c>
      <c r="H112" s="34"/>
      <c r="I112" s="5">
        <f t="shared" ca="1" si="9"/>
        <v>-96.129103978833882</v>
      </c>
      <c r="J112" s="6"/>
      <c r="K112" s="30">
        <f t="shared" si="10"/>
        <v>-3.4386184548469236</v>
      </c>
      <c r="L112" s="30"/>
      <c r="N112" s="34"/>
      <c r="O112" s="34"/>
      <c r="P112" s="34"/>
      <c r="Q112" s="34"/>
      <c r="R112" s="34"/>
    </row>
    <row r="113" spans="4:18" x14ac:dyDescent="0.15">
      <c r="D113" s="195">
        <v>1949</v>
      </c>
      <c r="E113" s="187">
        <v>174.1575</v>
      </c>
      <c r="F113" s="23">
        <f t="shared" si="7"/>
        <v>1.9450296</v>
      </c>
      <c r="G113" s="30">
        <f t="shared" si="8"/>
        <v>-1.8840913479625765</v>
      </c>
      <c r="H113" s="185"/>
      <c r="I113" s="5">
        <f t="shared" ca="1" si="9"/>
        <v>-90.893743446726148</v>
      </c>
      <c r="J113" s="6"/>
      <c r="K113" s="30">
        <f t="shared" si="10"/>
        <v>-3.3416506194819466</v>
      </c>
      <c r="L113" s="30"/>
      <c r="N113" s="34"/>
      <c r="O113" s="34"/>
      <c r="P113" s="34"/>
      <c r="Q113" s="34"/>
      <c r="R113" s="34"/>
    </row>
    <row r="114" spans="4:18" x14ac:dyDescent="0.15">
      <c r="D114" s="195">
        <v>1950</v>
      </c>
      <c r="E114" s="187">
        <v>186.846</v>
      </c>
      <c r="F114" s="23">
        <f t="shared" si="7"/>
        <v>2.1318755999999999</v>
      </c>
      <c r="G114" s="30">
        <f t="shared" si="8"/>
        <v>-1.8433807219976268</v>
      </c>
      <c r="H114" s="185"/>
      <c r="I114" s="5">
        <f t="shared" ca="1" si="9"/>
        <v>-85.772145057634589</v>
      </c>
      <c r="J114" s="6"/>
      <c r="K114" s="30">
        <f t="shared" si="10"/>
        <v>-3.2465212936268077</v>
      </c>
      <c r="L114" s="30"/>
      <c r="N114" s="34"/>
      <c r="O114" s="34"/>
      <c r="P114" s="34"/>
      <c r="Q114" s="34"/>
      <c r="R114" s="34"/>
    </row>
    <row r="115" spans="4:18" x14ac:dyDescent="0.15">
      <c r="D115" s="195">
        <v>1951</v>
      </c>
      <c r="E115" s="187">
        <v>200.846</v>
      </c>
      <c r="F115" s="23">
        <f t="shared" si="7"/>
        <v>2.3327215999999997</v>
      </c>
      <c r="G115" s="30">
        <f t="shared" si="8"/>
        <v>-1.802779092037198</v>
      </c>
      <c r="H115" s="185"/>
      <c r="I115" s="5">
        <f t="shared" ca="1" si="9"/>
        <v>-80.696386931895177</v>
      </c>
      <c r="J115" s="6"/>
      <c r="K115" s="30">
        <f t="shared" si="10"/>
        <v>-3.1528153754147068</v>
      </c>
      <c r="L115" s="30"/>
      <c r="N115" s="34"/>
      <c r="O115" s="34"/>
      <c r="P115" s="34"/>
      <c r="Q115" s="34"/>
      <c r="R115" s="34"/>
    </row>
    <row r="116" spans="4:18" x14ac:dyDescent="0.15">
      <c r="D116" s="195">
        <v>1952</v>
      </c>
      <c r="E116" s="187">
        <v>212.041</v>
      </c>
      <c r="F116" s="23">
        <f t="shared" si="7"/>
        <v>2.5447625999999999</v>
      </c>
      <c r="G116" s="30">
        <f t="shared" si="8"/>
        <v>-1.7629130595126141</v>
      </c>
      <c r="H116" s="185"/>
      <c r="I116" s="5">
        <f t="shared" ca="1" si="9"/>
        <v>-75.929997762638777</v>
      </c>
      <c r="J116" s="6"/>
      <c r="K116" s="30">
        <f t="shared" si="10"/>
        <v>-3.0619218570424538</v>
      </c>
      <c r="L116" s="30"/>
      <c r="N116" s="39"/>
      <c r="O116" s="39"/>
      <c r="P116" s="39"/>
      <c r="Q116" s="39"/>
      <c r="R116" s="39"/>
    </row>
    <row r="117" spans="4:18" x14ac:dyDescent="0.15">
      <c r="D117" s="195">
        <v>1953</v>
      </c>
      <c r="E117" s="187">
        <v>225.09900000000002</v>
      </c>
      <c r="F117" s="23">
        <f t="shared" si="7"/>
        <v>2.7698616</v>
      </c>
      <c r="G117" s="30">
        <f t="shared" si="8"/>
        <v>-1.7234498817529984</v>
      </c>
      <c r="H117" s="185"/>
      <c r="I117" s="5">
        <f t="shared" ca="1" si="9"/>
        <v>-71.333036533423183</v>
      </c>
      <c r="J117" s="6"/>
      <c r="K117" s="30">
        <f t="shared" si="10"/>
        <v>-2.9730137499944487</v>
      </c>
      <c r="L117" s="30"/>
      <c r="N117" s="39"/>
      <c r="O117" s="39"/>
      <c r="P117" s="39"/>
      <c r="Q117" s="39"/>
      <c r="R117" s="39"/>
    </row>
    <row r="118" spans="4:18" x14ac:dyDescent="0.15">
      <c r="D118" s="195">
        <v>1954</v>
      </c>
      <c r="E118" s="187">
        <v>243.51499999999999</v>
      </c>
      <c r="F118" s="23">
        <f t="shared" si="7"/>
        <v>3.0133766</v>
      </c>
      <c r="G118" s="30">
        <f t="shared" si="8"/>
        <v>-1.6835787609088675</v>
      </c>
      <c r="H118" s="185"/>
      <c r="I118" s="5">
        <f t="shared" ca="1" si="9"/>
        <v>-66.564507378309827</v>
      </c>
      <c r="J118" s="6"/>
      <c r="K118" s="30">
        <f t="shared" si="10"/>
        <v>-2.8842429136442478</v>
      </c>
      <c r="L118" s="30"/>
      <c r="N118" s="34"/>
      <c r="O118" s="34"/>
      <c r="P118" s="34"/>
      <c r="Q118" s="34"/>
      <c r="R118" s="34"/>
    </row>
    <row r="119" spans="4:18" x14ac:dyDescent="0.15">
      <c r="D119" s="195">
        <v>1955</v>
      </c>
      <c r="E119" s="187">
        <v>267.49299999999999</v>
      </c>
      <c r="F119" s="23">
        <f t="shared" si="7"/>
        <v>3.2808695999999999</v>
      </c>
      <c r="G119" s="30">
        <f t="shared" si="8"/>
        <v>-1.642660642298037</v>
      </c>
      <c r="H119" s="185"/>
      <c r="I119" s="5">
        <f t="shared" ca="1" si="9"/>
        <v>-61.355644161739292</v>
      </c>
      <c r="J119" s="6"/>
      <c r="K119" s="30">
        <f t="shared" si="10"/>
        <v>-2.7942213948420811</v>
      </c>
      <c r="L119" s="30"/>
    </row>
    <row r="120" spans="4:18" x14ac:dyDescent="0.15">
      <c r="D120" s="195">
        <v>1956</v>
      </c>
      <c r="E120" s="187">
        <v>295.44725000000005</v>
      </c>
      <c r="F120" s="23">
        <f t="shared" si="7"/>
        <v>3.57631685</v>
      </c>
      <c r="G120" s="30">
        <f t="shared" si="8"/>
        <v>-1.6004484907153098</v>
      </c>
      <c r="H120" s="185"/>
      <c r="I120" s="5">
        <f t="shared" ca="1" si="9"/>
        <v>-55.60255170963228</v>
      </c>
      <c r="J120" s="6"/>
      <c r="K120" s="30">
        <f t="shared" si="10"/>
        <v>-2.7024734491579836</v>
      </c>
      <c r="L120" s="30"/>
    </row>
    <row r="121" spans="4:18" x14ac:dyDescent="0.15">
      <c r="D121" s="195">
        <v>1957</v>
      </c>
      <c r="E121" s="187">
        <v>320.09050000000002</v>
      </c>
      <c r="F121" s="23">
        <f t="shared" si="7"/>
        <v>3.89640735</v>
      </c>
      <c r="G121" s="30">
        <f t="shared" si="8"/>
        <v>-1.5577201262144635</v>
      </c>
      <c r="H121" s="185"/>
      <c r="I121" s="5">
        <f t="shared" ca="1" si="9"/>
        <v>-49.632356472742686</v>
      </c>
      <c r="J121" s="6"/>
      <c r="K121" s="30">
        <f t="shared" si="10"/>
        <v>-2.6107336728249515</v>
      </c>
      <c r="L121" s="30"/>
      <c r="N121" s="129"/>
    </row>
    <row r="122" spans="4:18" x14ac:dyDescent="0.15">
      <c r="D122" s="195">
        <v>1958</v>
      </c>
      <c r="E122" s="187">
        <v>343.96075000000002</v>
      </c>
      <c r="F122" s="23">
        <f t="shared" si="7"/>
        <v>4.2403681000000004</v>
      </c>
      <c r="G122" s="30">
        <f t="shared" si="8"/>
        <v>-1.5147688748750614</v>
      </c>
      <c r="H122" s="185"/>
      <c r="I122" s="5">
        <f t="shared" ca="1" si="9"/>
        <v>-43.568422099066993</v>
      </c>
      <c r="J122" s="6"/>
      <c r="K122" s="30">
        <f t="shared" si="10"/>
        <v>-2.5196307953467594</v>
      </c>
      <c r="L122" s="30"/>
      <c r="N122" s="129"/>
    </row>
    <row r="123" spans="4:18" x14ac:dyDescent="0.15">
      <c r="D123" s="195">
        <v>1959</v>
      </c>
      <c r="E123" s="187">
        <v>345.78900000000004</v>
      </c>
      <c r="F123" s="23">
        <f t="shared" si="7"/>
        <v>4.5861571000000003</v>
      </c>
      <c r="G123" s="30">
        <f t="shared" si="8"/>
        <v>-1.4742352563550292</v>
      </c>
      <c r="H123" s="185"/>
      <c r="I123" s="5">
        <f t="shared" ca="1" si="9"/>
        <v>-38.521267428585816</v>
      </c>
      <c r="J123" s="6"/>
      <c r="K123" s="30">
        <f t="shared" si="10"/>
        <v>-2.4346531442662713</v>
      </c>
      <c r="L123" s="30"/>
      <c r="N123" s="129"/>
    </row>
    <row r="124" spans="4:18" x14ac:dyDescent="0.15">
      <c r="D124" s="195">
        <v>1960</v>
      </c>
      <c r="E124" s="187">
        <v>348.81499999999994</v>
      </c>
      <c r="F124" s="23">
        <f t="shared" si="7"/>
        <v>4.9349721000000004</v>
      </c>
      <c r="G124" s="30">
        <f t="shared" si="8"/>
        <v>-1.4356631180309951</v>
      </c>
      <c r="H124" s="185"/>
      <c r="I124" s="5">
        <f t="shared" ca="1" si="9"/>
        <v>-34.299049132036998</v>
      </c>
      <c r="J124" s="6"/>
      <c r="K124" s="30">
        <f t="shared" si="10"/>
        <v>-2.3546614148484486</v>
      </c>
      <c r="L124" s="30"/>
      <c r="N124" s="129"/>
    </row>
    <row r="125" spans="4:18" x14ac:dyDescent="0.15">
      <c r="D125" s="195">
        <v>1961</v>
      </c>
      <c r="E125" s="187">
        <v>347.42899999999997</v>
      </c>
      <c r="F125" s="23">
        <f t="shared" si="7"/>
        <v>5.2824011000000004</v>
      </c>
      <c r="G125" s="30">
        <f t="shared" si="8"/>
        <v>-1.3992575873877322</v>
      </c>
      <c r="H125" s="185"/>
      <c r="I125" s="5">
        <f t="shared" ca="1" si="9"/>
        <v>-30.988037325135338</v>
      </c>
      <c r="J125" s="6"/>
      <c r="K125" s="30">
        <f t="shared" si="10"/>
        <v>-2.2799223564055509</v>
      </c>
      <c r="L125" s="30"/>
      <c r="N125" s="129"/>
    </row>
    <row r="126" spans="4:18" x14ac:dyDescent="0.15">
      <c r="D126" s="195">
        <v>1962</v>
      </c>
      <c r="E126" s="187">
        <v>356.28300000000002</v>
      </c>
      <c r="F126" s="23">
        <f t="shared" si="7"/>
        <v>5.6386841000000008</v>
      </c>
      <c r="G126" s="30">
        <f t="shared" si="8"/>
        <v>-1.363756002556437</v>
      </c>
      <c r="H126" s="185"/>
      <c r="I126" s="5">
        <f t="shared" ca="1" si="9"/>
        <v>-28.057196463561922</v>
      </c>
      <c r="J126" s="6"/>
      <c r="K126" s="30">
        <f t="shared" si="10"/>
        <v>-2.2077291556892731</v>
      </c>
      <c r="L126" s="30"/>
      <c r="N126" s="129"/>
    </row>
    <row r="127" spans="4:18" x14ac:dyDescent="0.15">
      <c r="D127" s="195">
        <v>1963</v>
      </c>
      <c r="E127" s="187">
        <v>366.89899999999989</v>
      </c>
      <c r="F127" s="23">
        <f t="shared" si="7"/>
        <v>6.0055831000000008</v>
      </c>
      <c r="G127" s="30">
        <f t="shared" si="8"/>
        <v>-1.3289088927944981</v>
      </c>
      <c r="H127" s="185"/>
      <c r="I127" s="5">
        <f t="shared" ca="1" si="9"/>
        <v>-25.401607063434312</v>
      </c>
      <c r="J127" s="6"/>
      <c r="K127" s="30">
        <f t="shared" si="10"/>
        <v>-2.1375103597557179</v>
      </c>
      <c r="L127" s="30"/>
      <c r="N127" s="129"/>
    </row>
    <row r="128" spans="4:18" x14ac:dyDescent="0.15">
      <c r="D128" s="195">
        <v>1964</v>
      </c>
      <c r="E128" s="187">
        <v>381.40999999999997</v>
      </c>
      <c r="F128" s="23">
        <f t="shared" si="7"/>
        <v>6.3869931000000006</v>
      </c>
      <c r="G128" s="30">
        <f t="shared" si="8"/>
        <v>-1.2943168953076807</v>
      </c>
      <c r="H128" s="185"/>
      <c r="I128" s="5">
        <f t="shared" ca="1" si="9"/>
        <v>-22.853309796877511</v>
      </c>
      <c r="J128" s="6"/>
      <c r="K128" s="30">
        <f t="shared" si="10"/>
        <v>-2.0684173263289414</v>
      </c>
      <c r="L128" s="30"/>
      <c r="N128" s="129"/>
    </row>
    <row r="129" spans="4:14" x14ac:dyDescent="0.15">
      <c r="D129" s="195">
        <v>1965</v>
      </c>
      <c r="E129" s="187">
        <v>402.24399999999997</v>
      </c>
      <c r="F129" s="23">
        <f t="shared" si="7"/>
        <v>6.7892371000000002</v>
      </c>
      <c r="G129" s="30">
        <f t="shared" si="8"/>
        <v>-1.2594389493104983</v>
      </c>
      <c r="H129" s="185"/>
      <c r="I129" s="5">
        <f t="shared" ca="1" si="9"/>
        <v>-20.184751653991043</v>
      </c>
      <c r="J129" s="6"/>
      <c r="K129" s="30">
        <f t="shared" si="10"/>
        <v>-1.9993509014214743</v>
      </c>
      <c r="L129" s="30"/>
      <c r="N129" s="129"/>
    </row>
    <row r="130" spans="4:14" x14ac:dyDescent="0.15">
      <c r="D130" s="195">
        <v>1966</v>
      </c>
      <c r="E130" s="187">
        <v>409.90200000000004</v>
      </c>
      <c r="F130" s="23">
        <f t="shared" si="7"/>
        <v>7.1991391</v>
      </c>
      <c r="G130" s="30">
        <f t="shared" si="8"/>
        <v>-1.225406376571323</v>
      </c>
      <c r="H130" s="185"/>
      <c r="I130" s="5">
        <f t="shared" ca="1" si="9"/>
        <v>-17.871730697512248</v>
      </c>
      <c r="J130" s="6"/>
      <c r="K130" s="30">
        <f t="shared" si="10"/>
        <v>-1.9325182130757672</v>
      </c>
      <c r="L130" s="30"/>
      <c r="N130" s="129"/>
    </row>
    <row r="131" spans="4:14" x14ac:dyDescent="0.15">
      <c r="D131" s="195">
        <v>1967</v>
      </c>
      <c r="E131" s="187">
        <v>418.86700000000002</v>
      </c>
      <c r="F131" s="23">
        <f t="shared" si="7"/>
        <v>7.6180060999999997</v>
      </c>
      <c r="G131" s="30">
        <f t="shared" si="8"/>
        <v>-1.1920364542348971</v>
      </c>
      <c r="H131" s="185"/>
      <c r="I131" s="5">
        <f t="shared" ca="1" si="9"/>
        <v>-15.837399488472329</v>
      </c>
      <c r="J131" s="6"/>
      <c r="K131" s="30">
        <f t="shared" si="10"/>
        <v>-1.8675054046591288</v>
      </c>
      <c r="L131" s="30"/>
      <c r="N131" s="129"/>
    </row>
    <row r="132" spans="4:14" x14ac:dyDescent="0.15">
      <c r="D132" s="195">
        <v>1968</v>
      </c>
      <c r="E132" s="187">
        <v>420.13400000000001</v>
      </c>
      <c r="F132" s="23">
        <f t="shared" si="7"/>
        <v>8.0381400999999997</v>
      </c>
      <c r="G132" s="30">
        <f t="shared" si="8"/>
        <v>-1.1598483602855638</v>
      </c>
      <c r="H132" s="151"/>
      <c r="I132" s="5">
        <f t="shared" ca="1" si="9"/>
        <v>-14.300107824490624</v>
      </c>
      <c r="J132" s="6"/>
      <c r="K132" s="30">
        <f t="shared" si="10"/>
        <v>-1.8052646653071729</v>
      </c>
      <c r="L132" s="30"/>
      <c r="N132" s="129"/>
    </row>
    <row r="133" spans="4:14" x14ac:dyDescent="0.15">
      <c r="D133" s="195">
        <v>1969</v>
      </c>
      <c r="E133" s="187">
        <v>430.06599999999997</v>
      </c>
      <c r="F133" s="23">
        <f t="shared" si="7"/>
        <v>8.4682060999999997</v>
      </c>
      <c r="G133" s="30">
        <f t="shared" si="8"/>
        <v>-1.1280986815746803</v>
      </c>
      <c r="H133" s="151"/>
      <c r="I133" s="5">
        <f t="shared" ca="1" si="9"/>
        <v>-12.947199708108201</v>
      </c>
      <c r="J133" s="6"/>
      <c r="K133" s="30">
        <f t="shared" si="10"/>
        <v>-1.7443071954978622</v>
      </c>
      <c r="L133" s="30"/>
      <c r="N133" s="129"/>
    </row>
    <row r="134" spans="4:14" x14ac:dyDescent="0.15">
      <c r="D134" s="195">
        <v>1970</v>
      </c>
      <c r="E134" s="187">
        <v>446.55700000000002</v>
      </c>
      <c r="F134" s="23">
        <f t="shared" si="7"/>
        <v>8.9147631000000001</v>
      </c>
      <c r="G134" s="30">
        <f t="shared" si="8"/>
        <v>-1.0962923407376988</v>
      </c>
      <c r="H134" s="151"/>
      <c r="I134" s="5">
        <f t="shared" ca="1" si="9"/>
        <v>-11.570461298185364</v>
      </c>
      <c r="J134" s="6"/>
      <c r="K134" s="30">
        <f t="shared" si="10"/>
        <v>-1.6836584787622542</v>
      </c>
      <c r="L134" s="30"/>
      <c r="N134" s="129"/>
    </row>
    <row r="135" spans="4:14" x14ac:dyDescent="0.15">
      <c r="D135" s="195">
        <v>1971</v>
      </c>
      <c r="E135" s="187">
        <v>463.96199999999999</v>
      </c>
      <c r="F135" s="23">
        <f t="shared" si="7"/>
        <v>9.3787251000000005</v>
      </c>
      <c r="G135" s="30">
        <f t="shared" si="8"/>
        <v>-1.0643804684891931</v>
      </c>
      <c r="H135" s="151"/>
      <c r="I135" s="5">
        <f t="shared" ca="1" si="9"/>
        <v>-10.149339722867808</v>
      </c>
      <c r="J135" s="6"/>
      <c r="K135" s="30">
        <f t="shared" si="10"/>
        <v>-1.6232120482841403</v>
      </c>
      <c r="L135" s="30"/>
      <c r="N135" s="129"/>
    </row>
    <row r="136" spans="4:14" x14ac:dyDescent="0.15">
      <c r="D136" s="195">
        <v>1972</v>
      </c>
      <c r="E136" s="187">
        <v>480.3010000000001</v>
      </c>
      <c r="F136" s="23">
        <f t="shared" si="7"/>
        <v>9.8590261000000012</v>
      </c>
      <c r="G136" s="30">
        <f t="shared" si="8"/>
        <v>-1.032448287551796</v>
      </c>
      <c r="H136" s="151"/>
      <c r="I136" s="5">
        <f t="shared" ca="1" si="9"/>
        <v>-8.7196769569691241</v>
      </c>
      <c r="J136" s="6"/>
      <c r="K136" s="30">
        <f t="shared" si="10"/>
        <v>-1.5631148811650553</v>
      </c>
      <c r="L136" s="30"/>
      <c r="N136" s="129"/>
    </row>
    <row r="137" spans="4:14" x14ac:dyDescent="0.15">
      <c r="D137" s="195">
        <v>1973</v>
      </c>
      <c r="E137" s="188">
        <v>494.54100000000005</v>
      </c>
      <c r="F137" s="23">
        <f t="shared" si="7"/>
        <v>10.353567100000001</v>
      </c>
      <c r="G137" s="30">
        <f t="shared" si="8"/>
        <v>-1.0006336776781706</v>
      </c>
      <c r="H137" s="129"/>
      <c r="I137" s="5">
        <f t="shared" ca="1" si="9"/>
        <v>-7.3394608524386058</v>
      </c>
      <c r="J137" s="6"/>
      <c r="K137" s="30">
        <f t="shared" si="10"/>
        <v>-1.503607662011633</v>
      </c>
      <c r="L137" s="30"/>
      <c r="N137" s="129"/>
    </row>
    <row r="138" spans="4:14" x14ac:dyDescent="0.15">
      <c r="D138" s="195">
        <v>1974</v>
      </c>
      <c r="E138" s="188">
        <v>509.21300000000002</v>
      </c>
      <c r="F138" s="23">
        <f t="shared" si="7"/>
        <v>10.862780100000002</v>
      </c>
      <c r="G138" s="30">
        <f t="shared" si="8"/>
        <v>-0.96890027493168929</v>
      </c>
      <c r="H138" s="129"/>
      <c r="I138" s="5">
        <f t="shared" ca="1" si="9"/>
        <v>-5.9933978905874028</v>
      </c>
      <c r="J138" s="6"/>
      <c r="K138" s="30">
        <f t="shared" si="10"/>
        <v>-1.4446017204854553</v>
      </c>
      <c r="L138" s="30"/>
      <c r="N138" s="129"/>
    </row>
    <row r="139" spans="4:14" x14ac:dyDescent="0.15">
      <c r="D139" s="195">
        <v>1975</v>
      </c>
      <c r="E139" s="188">
        <v>529.29099999999994</v>
      </c>
      <c r="F139" s="23">
        <f t="shared" si="7"/>
        <v>11.392071100000003</v>
      </c>
      <c r="G139" s="30">
        <f t="shared" si="8"/>
        <v>-0.93691807742694544</v>
      </c>
      <c r="H139" s="129"/>
      <c r="I139" s="5">
        <f t="shared" ca="1" si="9"/>
        <v>-4.5426997424365254</v>
      </c>
      <c r="J139" s="6"/>
      <c r="K139" s="30">
        <f t="shared" si="10"/>
        <v>-1.3854685173809229</v>
      </c>
      <c r="L139" s="30"/>
      <c r="N139" s="129"/>
    </row>
    <row r="140" spans="4:14" x14ac:dyDescent="0.15">
      <c r="D140" s="195">
        <v>1976</v>
      </c>
      <c r="E140" s="188">
        <v>538.26600000000008</v>
      </c>
      <c r="F140" s="23">
        <f t="shared" si="7"/>
        <v>11.930337100000003</v>
      </c>
      <c r="G140" s="30">
        <f t="shared" si="8"/>
        <v>-0.9053476386404542</v>
      </c>
      <c r="H140" s="129"/>
      <c r="I140" s="5">
        <f t="shared" ca="1" si="9"/>
        <v>-3.2651742547404865</v>
      </c>
      <c r="J140" s="6"/>
      <c r="K140" s="30">
        <f t="shared" si="10"/>
        <v>-1.327409131140751</v>
      </c>
      <c r="L140" s="30"/>
    </row>
    <row r="141" spans="4:14" x14ac:dyDescent="0.15">
      <c r="D141" s="195">
        <v>1977</v>
      </c>
      <c r="E141" s="188">
        <v>551.34299999999996</v>
      </c>
      <c r="F141" s="23">
        <f t="shared" si="7"/>
        <v>12.481680100000002</v>
      </c>
      <c r="G141" s="30">
        <f t="shared" si="8"/>
        <v>-0.8739193389368296</v>
      </c>
      <c r="H141" s="129"/>
      <c r="I141" s="5">
        <f t="shared" ca="1" si="9"/>
        <v>-2.0474279582158488</v>
      </c>
      <c r="J141" s="6">
        <f ca="1">F$1*NORMDIST(D141,IF(D141&lt;E$6,AVERAGE(E$2:F$2),AVERAGE(E$5:F$5)),IF(D141&lt;E$6,F$2-E$2,F$5-E$5)/(NORMSINV(0.9)-NORMSINV(0.1)),1)</f>
        <v>12.568459572644196</v>
      </c>
      <c r="K141" s="30">
        <f t="shared" si="10"/>
        <v>-1.2699018092744325</v>
      </c>
      <c r="L141" s="30"/>
    </row>
    <row r="142" spans="4:14" x14ac:dyDescent="0.15">
      <c r="D142" s="195">
        <v>1978</v>
      </c>
      <c r="E142" s="188">
        <v>560.45100000000002</v>
      </c>
      <c r="F142" s="23">
        <f t="shared" si="7"/>
        <v>13.042131100000002</v>
      </c>
      <c r="G142" s="30">
        <f t="shared" si="8"/>
        <v>-0.84283275598592</v>
      </c>
      <c r="H142" s="129"/>
      <c r="I142" s="5">
        <f t="shared" ca="1" si="9"/>
        <v>-0.97339689239925065</v>
      </c>
      <c r="J142" s="6">
        <f ca="1">F$1*NORMDIST(D142,IF(D142&lt;E$6,AVERAGE(E$2:F$2),AVERAGE(E$5:F$5)),IF(D142&lt;E$6,F$2-E$2,F$5-E$5)/(NORMSINV(0.9)-NORMSINV(0.1)),1)</f>
        <v>13.084455212392045</v>
      </c>
      <c r="K142" s="30">
        <f t="shared" si="10"/>
        <v>-1.2132875123040225</v>
      </c>
      <c r="L142" s="30"/>
    </row>
    <row r="143" spans="4:14" x14ac:dyDescent="0.15">
      <c r="D143" s="195">
        <v>1979</v>
      </c>
      <c r="E143" s="188">
        <v>562.60700000000008</v>
      </c>
      <c r="F143" s="23">
        <f t="shared" si="7"/>
        <v>13.604738100000002</v>
      </c>
      <c r="G143" s="30">
        <f t="shared" si="8"/>
        <v>-0.81242500829081354</v>
      </c>
      <c r="H143" s="129"/>
      <c r="I143" s="5">
        <f t="shared" ca="1" si="9"/>
        <v>-0.18486241000846348</v>
      </c>
      <c r="J143" s="6">
        <f t="shared" ref="J143:J206" ca="1" si="11">F$1*NORMDIST(D143,IF(D143&lt;E$6,AVERAGE(E$2:F$2),AVERAGE(E$5:F$5)),IF(D143&lt;E$6,F$2-E$2,F$5-E$5)/(NORMSINV(0.9)-NORMSINV(0.1)),1)</f>
        <v>13.612974366123735</v>
      </c>
      <c r="K143" s="30">
        <f t="shared" si="10"/>
        <v>-1.1581501463051569</v>
      </c>
      <c r="L143" s="30"/>
    </row>
    <row r="144" spans="4:14" x14ac:dyDescent="0.15">
      <c r="D144" s="195">
        <v>1980</v>
      </c>
      <c r="E144" s="188">
        <v>569.70999999999992</v>
      </c>
      <c r="F144" s="23">
        <f t="shared" si="7"/>
        <v>14.174448100000003</v>
      </c>
      <c r="G144" s="30">
        <f t="shared" si="8"/>
        <v>-0.78238032139730607</v>
      </c>
      <c r="H144" s="129"/>
      <c r="I144" s="5">
        <f t="shared" ca="1" si="9"/>
        <v>0.45098021150988643</v>
      </c>
      <c r="J144" s="6">
        <f t="shared" ca="1" si="11"/>
        <v>14.153880473883826</v>
      </c>
      <c r="K144" s="30">
        <f t="shared" si="10"/>
        <v>-1.1038882957360772</v>
      </c>
      <c r="L144" s="30"/>
    </row>
    <row r="145" spans="4:12" x14ac:dyDescent="0.15">
      <c r="D145" s="195">
        <v>1981</v>
      </c>
      <c r="E145" s="188">
        <v>562.70500224003729</v>
      </c>
      <c r="F145" s="23">
        <f t="shared" si="7"/>
        <v>14.73715310224004</v>
      </c>
      <c r="G145" s="30">
        <f t="shared" si="8"/>
        <v>-0.75338280695931226</v>
      </c>
      <c r="H145" s="129"/>
      <c r="I145" s="5">
        <f t="shared" ca="1" si="9"/>
        <v>0.64641530299195438</v>
      </c>
      <c r="J145" s="6">
        <f t="shared" ca="1" si="11"/>
        <v>14.707013379502884</v>
      </c>
      <c r="K145" s="30">
        <f t="shared" si="10"/>
        <v>-1.0517068632788726</v>
      </c>
      <c r="L145" s="30"/>
    </row>
    <row r="146" spans="4:12" x14ac:dyDescent="0.15">
      <c r="D146" s="195">
        <v>1982</v>
      </c>
      <c r="E146" s="188">
        <v>577.33744974031583</v>
      </c>
      <c r="F146" s="23">
        <f t="shared" si="7"/>
        <v>15.314490551980356</v>
      </c>
      <c r="G146" s="30">
        <f t="shared" si="8"/>
        <v>-0.72427529392444945</v>
      </c>
      <c r="H146" s="129"/>
      <c r="I146" s="5">
        <f t="shared" ca="1" si="9"/>
        <v>0.88811231637646415</v>
      </c>
      <c r="J146" s="6">
        <f t="shared" ca="1" si="11"/>
        <v>15.272189182939782</v>
      </c>
      <c r="K146" s="30">
        <f t="shared" si="10"/>
        <v>-0.99949894657796401</v>
      </c>
      <c r="L146" s="30"/>
    </row>
    <row r="147" spans="4:12" x14ac:dyDescent="0.15">
      <c r="D147" s="195">
        <v>1983</v>
      </c>
      <c r="E147" s="188">
        <v>579.15015608966462</v>
      </c>
      <c r="F147" s="23">
        <f t="shared" si="7"/>
        <v>15.89364070807002</v>
      </c>
      <c r="G147" s="30">
        <f t="shared" si="8"/>
        <v>-0.69568028799894188</v>
      </c>
      <c r="H147" s="129"/>
      <c r="I147" s="5">
        <f t="shared" ca="1" si="9"/>
        <v>0.9142650906351264</v>
      </c>
      <c r="J147" s="6">
        <f t="shared" ca="1" si="11"/>
        <v>15.849200167426226</v>
      </c>
      <c r="K147" s="30">
        <f t="shared" si="10"/>
        <v>-0.94836244962693395</v>
      </c>
      <c r="L147" s="30"/>
    </row>
    <row r="148" spans="4:12" x14ac:dyDescent="0.15">
      <c r="D148" s="195">
        <v>1984</v>
      </c>
      <c r="E148" s="188">
        <v>576.69500247758765</v>
      </c>
      <c r="F148" s="23">
        <f t="shared" ref="F148:F173" si="12">F147+E148/1000</f>
        <v>16.470335710547609</v>
      </c>
      <c r="G148" s="30">
        <f t="shared" ref="G148:G173" si="13">NORMSINV(F148/F$1)</f>
        <v>-0.66776089388128257</v>
      </c>
      <c r="I148" s="5">
        <f t="shared" ref="I148:I173" ca="1" si="14">(G148/(NORMSINV(0.9)-NORMSINV(0.1))*IF(D148&lt;E$6,F$2-E$2,F$5-E$5) - D148 + IF(D148&lt;E$6,AVERAGE(E$2:F$2),AVERAGE(E$5:F$5)))*12</f>
        <v>0.65627696146384551</v>
      </c>
      <c r="J148" s="6">
        <f t="shared" ca="1" si="11"/>
        <v>16.437814803372245</v>
      </c>
      <c r="K148" s="30">
        <f t="shared" ref="K148:K173" si="15">-LN(F$10/F148-1)</f>
        <v>-0.89856512231728813</v>
      </c>
      <c r="L148" s="30"/>
    </row>
    <row r="149" spans="4:12" x14ac:dyDescent="0.15">
      <c r="D149" s="195">
        <v>1985</v>
      </c>
      <c r="E149" s="188">
        <v>595.89500262949957</v>
      </c>
      <c r="F149" s="23">
        <f t="shared" si="12"/>
        <v>17.066230713177109</v>
      </c>
      <c r="G149" s="30">
        <f t="shared" si="13"/>
        <v>-0.63944842472739194</v>
      </c>
      <c r="I149" s="5">
        <f t="shared" ca="1" si="14"/>
        <v>0.56360372852941509</v>
      </c>
      <c r="J149" s="6">
        <f t="shared" ca="1" si="11"/>
        <v>17.037777830655426</v>
      </c>
      <c r="K149" s="30">
        <f t="shared" si="15"/>
        <v>-0.84818400641029268</v>
      </c>
      <c r="L149" s="30"/>
    </row>
    <row r="150" spans="4:12" x14ac:dyDescent="0.15">
      <c r="D150" s="195">
        <v>1986</v>
      </c>
      <c r="E150" s="188">
        <v>616.73900263718269</v>
      </c>
      <c r="F150" s="23">
        <f t="shared" si="12"/>
        <v>17.682969715814291</v>
      </c>
      <c r="G150" s="30">
        <f t="shared" si="13"/>
        <v>-0.61067542829546873</v>
      </c>
      <c r="I150" s="5">
        <f t="shared" ca="1" si="14"/>
        <v>0.66461366589373938</v>
      </c>
      <c r="J150" s="6">
        <f t="shared" ca="1" si="11"/>
        <v>17.648810420563972</v>
      </c>
      <c r="K150" s="30">
        <f t="shared" si="15"/>
        <v>-0.79708873531028213</v>
      </c>
      <c r="L150" s="30"/>
    </row>
    <row r="151" spans="4:12" x14ac:dyDescent="0.15">
      <c r="D151" s="195">
        <v>1987</v>
      </c>
      <c r="E151" s="188">
        <v>626.2580026250962</v>
      </c>
      <c r="F151" s="23">
        <f t="shared" si="12"/>
        <v>18.309227718439388</v>
      </c>
      <c r="G151" s="30">
        <f t="shared" si="13"/>
        <v>-0.58196664467824832</v>
      </c>
      <c r="I151" s="5">
        <f t="shared" ca="1" si="14"/>
        <v>0.73861772951386229</v>
      </c>
      <c r="J151" s="6">
        <f t="shared" ca="1" si="11"/>
        <v>18.270610418296766</v>
      </c>
      <c r="K151" s="30">
        <f t="shared" si="15"/>
        <v>-0.74619706234920824</v>
      </c>
      <c r="L151" s="30"/>
    </row>
    <row r="152" spans="4:12" x14ac:dyDescent="0.15">
      <c r="D152" s="195">
        <v>1988</v>
      </c>
      <c r="E152" s="188">
        <v>638.45500262370331</v>
      </c>
      <c r="F152" s="23">
        <f t="shared" si="12"/>
        <v>18.947682721063092</v>
      </c>
      <c r="G152" s="30">
        <f t="shared" si="13"/>
        <v>-0.55318422679329238</v>
      </c>
      <c r="I152" s="5">
        <f t="shared" ca="1" si="14"/>
        <v>0.84359003127701726</v>
      </c>
      <c r="J152" s="6">
        <f t="shared" ca="1" si="11"/>
        <v>18.902852666544</v>
      </c>
      <c r="K152" s="30">
        <f t="shared" si="15"/>
        <v>-0.69524788376198943</v>
      </c>
      <c r="L152" s="30"/>
    </row>
    <row r="153" spans="4:12" x14ac:dyDescent="0.15">
      <c r="D153" s="195">
        <v>1989</v>
      </c>
      <c r="E153" s="188">
        <v>617.73300258811798</v>
      </c>
      <c r="F153" s="23">
        <f t="shared" si="12"/>
        <v>19.56541572365121</v>
      </c>
      <c r="G153" s="30">
        <f t="shared" si="13"/>
        <v>-0.52576582560382057</v>
      </c>
      <c r="I153" s="5">
        <f t="shared" ca="1" si="14"/>
        <v>0.37490016247738822</v>
      </c>
      <c r="J153" s="6">
        <f t="shared" ca="1" si="11"/>
        <v>19.545189410282305</v>
      </c>
      <c r="K153" s="30">
        <f t="shared" si="15"/>
        <v>-0.64676545362085036</v>
      </c>
      <c r="L153" s="30"/>
    </row>
    <row r="154" spans="4:12" x14ac:dyDescent="0.15">
      <c r="D154" s="195">
        <v>1990</v>
      </c>
      <c r="E154" s="188">
        <v>591.93900240156427</v>
      </c>
      <c r="F154" s="23">
        <f t="shared" si="12"/>
        <v>20.157354726052773</v>
      </c>
      <c r="G154" s="30">
        <f t="shared" si="13"/>
        <v>-0.49985835157544511</v>
      </c>
      <c r="I154" s="5">
        <f t="shared" ca="1" si="14"/>
        <v>-0.7292377603434943</v>
      </c>
      <c r="J154" s="6">
        <f t="shared" ca="1" si="11"/>
        <v>20.197250782520896</v>
      </c>
      <c r="K154" s="30">
        <f t="shared" si="15"/>
        <v>-0.60098753042236774</v>
      </c>
      <c r="L154" s="30"/>
    </row>
    <row r="155" spans="4:12" x14ac:dyDescent="0.15">
      <c r="D155" s="195">
        <v>1991</v>
      </c>
      <c r="E155" s="188">
        <v>545.79500232724831</v>
      </c>
      <c r="F155" s="23">
        <f t="shared" si="12"/>
        <v>20.703149728380023</v>
      </c>
      <c r="G155" s="30">
        <f t="shared" si="13"/>
        <v>-0.47626459096118945</v>
      </c>
      <c r="I155" s="5">
        <f t="shared" ca="1" si="14"/>
        <v>-2.806450179690728</v>
      </c>
      <c r="J155" s="6">
        <f t="shared" ca="1" si="11"/>
        <v>20.85864537033234</v>
      </c>
      <c r="K155" s="30">
        <f t="shared" si="15"/>
        <v>-0.5593142562488882</v>
      </c>
      <c r="L155" s="30"/>
    </row>
    <row r="156" spans="4:12" x14ac:dyDescent="0.15">
      <c r="D156" s="195">
        <v>1992</v>
      </c>
      <c r="E156" s="188">
        <v>516.51400203609523</v>
      </c>
      <c r="F156" s="23">
        <f t="shared" si="12"/>
        <v>21.219663730416119</v>
      </c>
      <c r="G156" s="30">
        <f t="shared" si="13"/>
        <v>-0.45417839012895667</v>
      </c>
      <c r="I156" s="5">
        <f t="shared" ca="1" si="14"/>
        <v>-1.6212437151307313</v>
      </c>
      <c r="J156" s="6">
        <f t="shared" ca="1" si="11"/>
        <v>21.270114207314986</v>
      </c>
      <c r="K156" s="30">
        <f t="shared" si="15"/>
        <v>-0.52030853391263088</v>
      </c>
      <c r="L156" s="30"/>
    </row>
    <row r="157" spans="4:12" x14ac:dyDescent="0.15">
      <c r="D157" s="195">
        <v>1993</v>
      </c>
      <c r="E157" s="188">
        <v>465.21620186234691</v>
      </c>
      <c r="F157" s="23">
        <f t="shared" si="12"/>
        <v>21.684879932278466</v>
      </c>
      <c r="G157" s="30">
        <f t="shared" si="13"/>
        <v>-0.43447388560712152</v>
      </c>
      <c r="I157" s="5">
        <f t="shared" ca="1" si="14"/>
        <v>1.270052634376043</v>
      </c>
      <c r="J157" s="6">
        <f t="shared" ca="1" si="11"/>
        <v>21.645044362667782</v>
      </c>
      <c r="K157" s="30">
        <f t="shared" si="15"/>
        <v>-0.48550579892785978</v>
      </c>
      <c r="L157" s="30"/>
    </row>
    <row r="158" spans="4:12" x14ac:dyDescent="0.15">
      <c r="D158" s="195">
        <v>1994</v>
      </c>
      <c r="E158" s="188">
        <v>420.32150174143743</v>
      </c>
      <c r="F158" s="23">
        <f t="shared" si="12"/>
        <v>22.105201434019904</v>
      </c>
      <c r="G158" s="30">
        <f t="shared" si="13"/>
        <v>-0.41681504893086152</v>
      </c>
      <c r="H158" s="190">
        <v>40.386525096903476</v>
      </c>
      <c r="I158" s="5">
        <f t="shared" ca="1" si="14"/>
        <v>2.6153752656719007</v>
      </c>
      <c r="J158" s="6">
        <f t="shared" ca="1" si="11"/>
        <v>22.022580074626873</v>
      </c>
      <c r="K158" s="30">
        <f t="shared" si="15"/>
        <v>-0.45430826594050089</v>
      </c>
      <c r="L158" s="271">
        <v>38.347340118779982</v>
      </c>
    </row>
    <row r="159" spans="4:12" x14ac:dyDescent="0.15">
      <c r="D159" s="195">
        <v>1995</v>
      </c>
      <c r="E159" s="188">
        <v>386.10070163185065</v>
      </c>
      <c r="F159" s="23">
        <f t="shared" si="12"/>
        <v>22.491302135651754</v>
      </c>
      <c r="G159" s="30">
        <f t="shared" si="13"/>
        <v>-0.40070780102473325</v>
      </c>
      <c r="H159" s="190">
        <v>40.378245412269727</v>
      </c>
      <c r="I159" s="5">
        <f ca="1">(G159/(NORMSINV(0.9)-NORMSINV(0.1))*IF(D159&lt;E$6,F$2-E$2,F$5-E$5) - D159 + IF(D159&lt;E$6,AVERAGE(E$2:F$2),AVERAGE(E$5:F$5)))*12</f>
        <v>2.788114837953799</v>
      </c>
      <c r="J159" s="6">
        <f t="shared" ca="1" si="11"/>
        <v>22.40264361399662</v>
      </c>
      <c r="K159" s="30">
        <f t="shared" si="15"/>
        <v>-0.42584133948686526</v>
      </c>
      <c r="L159" s="271">
        <v>38.339724075295351</v>
      </c>
    </row>
    <row r="160" spans="4:12" x14ac:dyDescent="0.15">
      <c r="D160" s="195">
        <v>1996</v>
      </c>
      <c r="E160" s="188">
        <v>369.46710147692829</v>
      </c>
      <c r="F160" s="23">
        <f t="shared" si="12"/>
        <v>22.860769237128682</v>
      </c>
      <c r="G160" s="30">
        <f t="shared" si="13"/>
        <v>-0.38539126380222316</v>
      </c>
      <c r="H160" s="190">
        <v>40.345661692472738</v>
      </c>
      <c r="I160" s="5">
        <f t="shared" ca="1" si="14"/>
        <v>2.3632901779856184</v>
      </c>
      <c r="J160" s="6">
        <f t="shared" ca="1" si="11"/>
        <v>22.785155452364613</v>
      </c>
      <c r="K160" s="30">
        <f t="shared" si="15"/>
        <v>-0.39875919072429239</v>
      </c>
      <c r="L160" s="271">
        <v>38.313369711510973</v>
      </c>
    </row>
    <row r="161" spans="4:14" x14ac:dyDescent="0.15">
      <c r="D161" s="195">
        <v>1997</v>
      </c>
      <c r="E161" s="188">
        <v>353.30850144475778</v>
      </c>
      <c r="F161" s="23">
        <f t="shared" si="12"/>
        <v>23.21407773857344</v>
      </c>
      <c r="G161" s="30">
        <f t="shared" si="13"/>
        <v>-0.37082873148445317</v>
      </c>
      <c r="H161" s="190">
        <v>40.270692753344669</v>
      </c>
      <c r="I161" s="5">
        <f t="shared" ca="1" si="14"/>
        <v>1.3686409647989422</v>
      </c>
      <c r="J161" s="6">
        <f t="shared" ca="1" si="11"/>
        <v>23.170034310626161</v>
      </c>
      <c r="K161" s="30">
        <f t="shared" si="15"/>
        <v>-0.37299591400006266</v>
      </c>
      <c r="L161" s="271">
        <v>38.254696851402201</v>
      </c>
    </row>
    <row r="162" spans="4:14" x14ac:dyDescent="0.15">
      <c r="D162" s="195">
        <v>1998</v>
      </c>
      <c r="E162" s="188">
        <v>334.71570133193586</v>
      </c>
      <c r="F162" s="23">
        <f t="shared" si="12"/>
        <v>23.548793439905378</v>
      </c>
      <c r="G162" s="30">
        <f t="shared" si="13"/>
        <v>-0.35710476888094783</v>
      </c>
      <c r="H162" s="190">
        <v>40.134001294854173</v>
      </c>
      <c r="I162" s="5">
        <f t="shared" ca="1" si="14"/>
        <v>-0.25974101294195862</v>
      </c>
      <c r="J162" s="6">
        <f t="shared" ca="1" si="11"/>
        <v>23.557197209592282</v>
      </c>
      <c r="K162" s="30">
        <f t="shared" si="15"/>
        <v>-0.34870092992614948</v>
      </c>
      <c r="L162" s="271">
        <v>38.147728205431633</v>
      </c>
    </row>
    <row r="163" spans="4:14" x14ac:dyDescent="0.15">
      <c r="D163" s="195">
        <v>1999</v>
      </c>
      <c r="E163" s="188">
        <v>344.00650146982929</v>
      </c>
      <c r="F163" s="23">
        <f t="shared" si="12"/>
        <v>23.892799941375205</v>
      </c>
      <c r="G163" s="30">
        <f t="shared" si="13"/>
        <v>-0.3430695830602436</v>
      </c>
      <c r="H163" s="190">
        <v>39.883791585110046</v>
      </c>
      <c r="I163" s="5">
        <f t="shared" ca="1" si="14"/>
        <v>-1.652922092683184</v>
      </c>
      <c r="J163" s="6">
        <f t="shared" ca="1" si="11"/>
        <v>23.946559522630317</v>
      </c>
      <c r="K163" s="30">
        <f t="shared" si="15"/>
        <v>-0.32383723101101325</v>
      </c>
      <c r="L163" s="271">
        <v>37.964751336007353</v>
      </c>
    </row>
    <row r="164" spans="4:14" x14ac:dyDescent="0.15">
      <c r="D164" s="195">
        <v>2000</v>
      </c>
      <c r="E164" s="188">
        <v>370.88740156153358</v>
      </c>
      <c r="F164" s="23">
        <f t="shared" si="12"/>
        <v>24.263687342936738</v>
      </c>
      <c r="G164" s="30">
        <f t="shared" si="13"/>
        <v>-0.3280129287269487</v>
      </c>
      <c r="H164" s="190">
        <v>39.589030883263916</v>
      </c>
      <c r="I164" s="5">
        <f t="shared" ca="1" si="14"/>
        <v>-2.2741481955399649</v>
      </c>
      <c r="J164" s="6">
        <f t="shared" ca="1" si="11"/>
        <v>24.33803503028302</v>
      </c>
      <c r="K164" s="30">
        <f t="shared" si="15"/>
        <v>-0.29714115804420027</v>
      </c>
      <c r="L164" s="271">
        <v>37.784680543554437</v>
      </c>
    </row>
    <row r="165" spans="4:14" x14ac:dyDescent="0.15">
      <c r="D165" s="195">
        <v>2001</v>
      </c>
      <c r="E165" s="188">
        <v>387.74940161037358</v>
      </c>
      <c r="F165" s="23">
        <f t="shared" si="12"/>
        <v>24.651436744547112</v>
      </c>
      <c r="G165" s="30">
        <f t="shared" si="13"/>
        <v>-0.31235079679393601</v>
      </c>
      <c r="H165" s="190">
        <v>39.501393568008112</v>
      </c>
      <c r="I165" s="5">
        <f t="shared" ca="1" si="14"/>
        <v>-2.437796369433272</v>
      </c>
      <c r="J165" s="6">
        <f t="shared" ca="1" si="11"/>
        <v>24.731535976808519</v>
      </c>
      <c r="K165" s="30">
        <f t="shared" si="15"/>
        <v>-0.26934316799647778</v>
      </c>
      <c r="L165" s="271">
        <v>37.823857877860327</v>
      </c>
    </row>
    <row r="166" spans="4:14" x14ac:dyDescent="0.15">
      <c r="D166" s="195">
        <v>2002</v>
      </c>
      <c r="E166" s="188">
        <v>367.76390157370992</v>
      </c>
      <c r="F166" s="23">
        <f t="shared" si="12"/>
        <v>25.019200646120822</v>
      </c>
      <c r="G166" s="30">
        <f t="shared" si="13"/>
        <v>-0.29756645729685799</v>
      </c>
      <c r="H166" s="190">
        <v>39.50105348905803</v>
      </c>
      <c r="I166" s="5">
        <f t="shared" ca="1" si="14"/>
        <v>-3.2648191175167085</v>
      </c>
      <c r="J166" s="6">
        <f t="shared" ca="1" si="11"/>
        <v>25.126973128580364</v>
      </c>
      <c r="K166" s="30">
        <f t="shared" si="15"/>
        <v>-0.24307336013555941</v>
      </c>
      <c r="L166" s="271">
        <v>37.978487992343261</v>
      </c>
      <c r="N166" s="190"/>
    </row>
    <row r="167" spans="4:14" x14ac:dyDescent="0.15">
      <c r="D167" s="195">
        <v>2003</v>
      </c>
      <c r="E167" s="188">
        <v>399.90820161257523</v>
      </c>
      <c r="F167" s="23">
        <f t="shared" si="12"/>
        <v>25.419108847733398</v>
      </c>
      <c r="G167" s="30">
        <f t="shared" si="13"/>
        <v>-0.28156327042861912</v>
      </c>
      <c r="H167" s="190">
        <v>40.100489375933719</v>
      </c>
      <c r="I167" s="5">
        <f t="shared" ca="1" si="14"/>
        <v>-3.1707216522690942</v>
      </c>
      <c r="J167" s="6">
        <f t="shared" ca="1" si="11"/>
        <v>25.524255834283746</v>
      </c>
      <c r="K167" s="30">
        <f t="shared" si="15"/>
        <v>-0.21460156625010141</v>
      </c>
      <c r="L167" s="271">
        <v>38.648339090083873</v>
      </c>
      <c r="N167" s="190"/>
    </row>
    <row r="168" spans="4:14" x14ac:dyDescent="0.15">
      <c r="D168" s="195">
        <v>2004</v>
      </c>
      <c r="E168" s="188">
        <v>410.44960173010134</v>
      </c>
      <c r="F168" s="23">
        <f t="shared" si="12"/>
        <v>25.829558449463498</v>
      </c>
      <c r="G168" s="30">
        <f t="shared" si="13"/>
        <v>-0.2652128575884124</v>
      </c>
      <c r="H168" s="190">
        <v>41.425089837185588</v>
      </c>
      <c r="I168" s="5">
        <f t="shared" ca="1" si="14"/>
        <v>-2.8142149067944047</v>
      </c>
      <c r="J168" s="6">
        <f t="shared" ca="1" si="11"/>
        <v>25.923292086840881</v>
      </c>
      <c r="K168" s="30">
        <f t="shared" si="15"/>
        <v>-0.18546899980311607</v>
      </c>
      <c r="L168" s="271">
        <v>39.882624131971873</v>
      </c>
      <c r="N168" s="190"/>
    </row>
    <row r="169" spans="4:14" x14ac:dyDescent="0.15">
      <c r="D169" s="195">
        <v>2005</v>
      </c>
      <c r="E169" s="188">
        <v>430.95780190553461</v>
      </c>
      <c r="F169" s="23">
        <f t="shared" si="12"/>
        <v>26.260516251369033</v>
      </c>
      <c r="G169" s="30">
        <f t="shared" si="13"/>
        <v>-0.24812138382954285</v>
      </c>
      <c r="H169" s="190">
        <v>43.715332611915656</v>
      </c>
      <c r="I169" s="5">
        <f t="shared" ca="1" si="14"/>
        <v>-1.8976657740249721</v>
      </c>
      <c r="J169" s="6">
        <f t="shared" ca="1" si="11"/>
        <v>26.323988586995569</v>
      </c>
      <c r="K169" s="30">
        <f t="shared" si="15"/>
        <v>-0.1549648315284356</v>
      </c>
      <c r="L169" s="271">
        <v>41.813814337252026</v>
      </c>
      <c r="N169" s="190"/>
    </row>
    <row r="170" spans="4:14" x14ac:dyDescent="0.15">
      <c r="D170" s="195">
        <v>2006</v>
      </c>
      <c r="E170" s="188">
        <v>452.77076294950416</v>
      </c>
      <c r="F170" s="23">
        <f t="shared" si="12"/>
        <v>26.713287014318539</v>
      </c>
      <c r="G170" s="30">
        <f t="shared" si="13"/>
        <v>-0.23024247598010153</v>
      </c>
      <c r="H170" s="190">
        <v>47.247089369367629</v>
      </c>
      <c r="I170" s="5">
        <f t="shared" ca="1" si="14"/>
        <v>-0.38602863052074099</v>
      </c>
      <c r="J170" s="6">
        <f t="shared" ca="1" si="11"/>
        <v>26.726250808484263</v>
      </c>
      <c r="K170" s="30">
        <f t="shared" si="15"/>
        <v>-0.12299376427033029</v>
      </c>
      <c r="L170" s="271">
        <v>44.578648350560563</v>
      </c>
      <c r="N170" s="190"/>
    </row>
    <row r="171" spans="4:14" x14ac:dyDescent="0.15">
      <c r="D171" s="195">
        <v>2007</v>
      </c>
      <c r="E171" s="188">
        <v>456.29339921018533</v>
      </c>
      <c r="F171" s="23">
        <f t="shared" si="12"/>
        <v>27.169580413528724</v>
      </c>
      <c r="G171" s="30">
        <f t="shared" si="13"/>
        <v>-0.21229861081183332</v>
      </c>
      <c r="H171" s="190">
        <v>51.851768023336462</v>
      </c>
      <c r="I171" s="5">
        <f t="shared" ca="1" si="14"/>
        <v>1.1746987442875252</v>
      </c>
      <c r="J171" s="6">
        <f t="shared" ca="1" si="11"/>
        <v>27.129983064717965</v>
      </c>
      <c r="K171" s="30">
        <f t="shared" si="15"/>
        <v>-9.0837308699829977E-2</v>
      </c>
      <c r="L171" s="271">
        <v>47.973994453977475</v>
      </c>
      <c r="N171" s="190"/>
    </row>
    <row r="172" spans="4:14" x14ac:dyDescent="0.15">
      <c r="D172" s="195">
        <v>2008</v>
      </c>
      <c r="E172" s="188">
        <v>485.06491721018546</v>
      </c>
      <c r="F172" s="23">
        <f t="shared" si="12"/>
        <v>27.654645330738909</v>
      </c>
      <c r="G172" s="30">
        <f t="shared" si="13"/>
        <v>-0.19329783347059923</v>
      </c>
      <c r="H172" s="190">
        <v>58.486958560667311</v>
      </c>
      <c r="I172" s="5">
        <f t="shared" ca="1" si="14"/>
        <v>3.5341669534864195</v>
      </c>
      <c r="J172" s="6">
        <f t="shared" ca="1" si="11"/>
        <v>27.535088576896968</v>
      </c>
      <c r="K172" s="30">
        <f t="shared" si="15"/>
        <v>-5.6704242374952092E-2</v>
      </c>
      <c r="L172" s="271">
        <v>52.513001017673346</v>
      </c>
      <c r="N172" s="190"/>
    </row>
    <row r="173" spans="4:14" x14ac:dyDescent="0.15">
      <c r="D173" s="195">
        <v>2009</v>
      </c>
      <c r="E173" s="18">
        <v>445.12661721018549</v>
      </c>
      <c r="F173" s="23">
        <f t="shared" si="12"/>
        <v>28.099771947949094</v>
      </c>
      <c r="G173" s="30">
        <f t="shared" si="13"/>
        <v>-0.17592286475757765</v>
      </c>
      <c r="H173" s="267">
        <v>65.321377585232014</v>
      </c>
      <c r="I173" s="5">
        <f t="shared" ca="1" si="14"/>
        <v>4.6649618883357107</v>
      </c>
      <c r="J173" s="6">
        <f t="shared" ca="1" si="11"/>
        <v>27.941469543477798</v>
      </c>
      <c r="K173" s="30">
        <f t="shared" si="15"/>
        <v>-2.5411067258433593E-2</v>
      </c>
      <c r="L173" s="271">
        <v>56.922738752548398</v>
      </c>
      <c r="N173" s="190"/>
    </row>
    <row r="174" spans="4:14" x14ac:dyDescent="0.15">
      <c r="D174" s="195">
        <v>2010</v>
      </c>
      <c r="E174" s="18"/>
      <c r="F174" s="23"/>
      <c r="G174" s="30"/>
      <c r="I174" s="23"/>
      <c r="J174" s="6">
        <f t="shared" ca="1" si="11"/>
        <v>28.349027210909426</v>
      </c>
      <c r="K174" s="30"/>
      <c r="L174" s="30"/>
      <c r="N174" s="190"/>
    </row>
    <row r="175" spans="4:14" x14ac:dyDescent="0.15">
      <c r="D175" s="195">
        <v>2011</v>
      </c>
      <c r="E175" s="18"/>
      <c r="F175" s="23"/>
      <c r="G175" s="30"/>
      <c r="I175" s="23"/>
      <c r="J175" s="6">
        <f t="shared" ca="1" si="11"/>
        <v>28.757661945553583</v>
      </c>
      <c r="K175" s="30"/>
      <c r="L175" s="30"/>
      <c r="N175" s="190"/>
    </row>
    <row r="176" spans="4:14" x14ac:dyDescent="0.15">
      <c r="D176" s="195">
        <v>2012</v>
      </c>
      <c r="E176" s="18"/>
      <c r="F176" s="23"/>
      <c r="G176" s="30"/>
      <c r="I176" s="23"/>
      <c r="J176" s="6">
        <f t="shared" ca="1" si="11"/>
        <v>29.167273306702036</v>
      </c>
      <c r="K176" s="30"/>
      <c r="L176" s="30"/>
      <c r="N176" s="190"/>
    </row>
    <row r="177" spans="4:14" x14ac:dyDescent="0.15">
      <c r="D177" s="195">
        <v>2013</v>
      </c>
      <c r="E177" s="18"/>
      <c r="F177" s="23"/>
      <c r="G177" s="30"/>
      <c r="H177" s="83"/>
      <c r="I177" s="23"/>
      <c r="J177" s="6">
        <f t="shared" ca="1" si="11"/>
        <v>29.577760120601624</v>
      </c>
      <c r="K177" s="30"/>
      <c r="L177" s="30"/>
      <c r="N177" s="190"/>
    </row>
    <row r="178" spans="4:14" x14ac:dyDescent="0.15">
      <c r="D178" s="195">
        <v>2014</v>
      </c>
      <c r="E178" s="18"/>
      <c r="F178" s="23"/>
      <c r="G178" s="30"/>
      <c r="H178" s="83"/>
      <c r="I178" s="23"/>
      <c r="J178" s="6">
        <f t="shared" ca="1" si="11"/>
        <v>29.989020555396284</v>
      </c>
      <c r="K178" s="30"/>
      <c r="L178" s="30"/>
      <c r="N178" s="190"/>
    </row>
    <row r="179" spans="4:14" x14ac:dyDescent="0.15">
      <c r="D179" s="195">
        <v>2015</v>
      </c>
      <c r="E179" s="18"/>
      <c r="F179" s="23"/>
      <c r="G179" s="30"/>
      <c r="H179" s="83"/>
      <c r="I179" s="23"/>
      <c r="J179" s="6">
        <f t="shared" ca="1" si="11"/>
        <v>30.400952196893446</v>
      </c>
      <c r="K179" s="30"/>
      <c r="L179" s="30"/>
      <c r="N179" s="190"/>
    </row>
    <row r="180" spans="4:14" x14ac:dyDescent="0.15">
      <c r="D180" s="195">
        <v>2016</v>
      </c>
      <c r="E180" s="18"/>
      <c r="F180" s="23"/>
      <c r="G180" s="30"/>
      <c r="H180" s="83"/>
      <c r="I180" s="23"/>
      <c r="J180" s="6">
        <f t="shared" ca="1" si="11"/>
        <v>30.813452125061019</v>
      </c>
      <c r="K180" s="30"/>
      <c r="L180" s="30"/>
      <c r="N180" s="190"/>
    </row>
    <row r="181" spans="4:14" x14ac:dyDescent="0.15">
      <c r="D181" s="195">
        <v>2017</v>
      </c>
      <c r="E181" s="18"/>
      <c r="F181" s="23"/>
      <c r="G181" s="30"/>
      <c r="H181" s="83"/>
      <c r="I181" s="23"/>
      <c r="J181" s="6">
        <f t="shared" ca="1" si="11"/>
        <v>31.226416991159606</v>
      </c>
      <c r="K181" s="30"/>
      <c r="L181" s="30"/>
    </row>
    <row r="182" spans="4:14" x14ac:dyDescent="0.15">
      <c r="D182" s="195">
        <v>2018</v>
      </c>
      <c r="E182" s="18"/>
      <c r="F182" s="23"/>
      <c r="G182" s="30"/>
      <c r="H182" s="83"/>
      <c r="I182" s="23"/>
      <c r="J182" s="6">
        <f t="shared" ca="1" si="11"/>
        <v>31.639743095413753</v>
      </c>
      <c r="K182" s="30"/>
      <c r="L182" s="30"/>
    </row>
    <row r="183" spans="4:14" x14ac:dyDescent="0.15">
      <c r="D183" s="195">
        <v>2019</v>
      </c>
      <c r="E183" s="18"/>
      <c r="F183" s="23"/>
      <c r="G183" s="30"/>
      <c r="H183" s="83"/>
      <c r="I183" s="23"/>
      <c r="J183" s="6">
        <f t="shared" ca="1" si="11"/>
        <v>32.053326465124833</v>
      </c>
      <c r="K183" s="30"/>
      <c r="L183" s="30"/>
    </row>
    <row r="184" spans="4:14" x14ac:dyDescent="0.15">
      <c r="D184" s="195">
        <v>2020</v>
      </c>
      <c r="E184" s="18"/>
      <c r="F184" s="23"/>
      <c r="G184" s="30"/>
      <c r="H184" s="83"/>
      <c r="I184" s="23"/>
      <c r="J184" s="6">
        <f t="shared" ca="1" si="11"/>
        <v>32.467062933127622</v>
      </c>
      <c r="K184" s="30"/>
      <c r="L184" s="30"/>
    </row>
    <row r="185" spans="4:14" x14ac:dyDescent="0.15">
      <c r="D185" s="195">
        <v>2021</v>
      </c>
      <c r="E185" s="18"/>
      <c r="F185" s="23"/>
      <c r="G185" s="30"/>
      <c r="H185" s="83"/>
      <c r="I185" s="23"/>
      <c r="J185" s="6">
        <f t="shared" ca="1" si="11"/>
        <v>32.880848216491806</v>
      </c>
      <c r="K185" s="30"/>
      <c r="L185" s="30"/>
    </row>
    <row r="186" spans="4:14" x14ac:dyDescent="0.15">
      <c r="D186" s="195">
        <v>2022</v>
      </c>
      <c r="E186" s="18"/>
      <c r="F186" s="23"/>
      <c r="G186" s="30"/>
      <c r="H186" s="83"/>
      <c r="I186" s="23"/>
      <c r="J186" s="6">
        <f t="shared" ca="1" si="11"/>
        <v>33.294577995369387</v>
      </c>
      <c r="K186" s="30"/>
      <c r="L186" s="30"/>
    </row>
    <row r="187" spans="4:14" x14ac:dyDescent="0.15">
      <c r="D187" s="195">
        <v>2023</v>
      </c>
      <c r="E187" s="18"/>
      <c r="F187" s="23"/>
      <c r="G187" s="30"/>
      <c r="H187" s="83"/>
      <c r="I187" s="23"/>
      <c r="J187" s="6">
        <f t="shared" ca="1" si="11"/>
        <v>33.708147991888616</v>
      </c>
      <c r="K187" s="30"/>
      <c r="L187" s="30"/>
    </row>
    <row r="188" spans="4:14" x14ac:dyDescent="0.15">
      <c r="D188" s="195">
        <v>2024</v>
      </c>
      <c r="E188" s="18"/>
      <c r="F188" s="23"/>
      <c r="G188" s="30"/>
      <c r="H188" s="83"/>
      <c r="I188" s="23"/>
      <c r="J188" s="6">
        <f t="shared" ca="1" si="11"/>
        <v>34.121454048995041</v>
      </c>
      <c r="K188" s="30"/>
      <c r="L188" s="30"/>
    </row>
    <row r="189" spans="4:14" x14ac:dyDescent="0.15">
      <c r="D189" s="195">
        <v>2025</v>
      </c>
      <c r="E189" s="18"/>
      <c r="F189" s="23"/>
      <c r="G189" s="30"/>
      <c r="H189" s="83"/>
      <c r="I189" s="23"/>
      <c r="J189" s="6">
        <f t="shared" ca="1" si="11"/>
        <v>34.534392209140265</v>
      </c>
      <c r="K189" s="30"/>
      <c r="L189" s="30"/>
    </row>
    <row r="190" spans="4:14" x14ac:dyDescent="0.15">
      <c r="D190" s="195">
        <v>2026</v>
      </c>
      <c r="E190" s="18"/>
      <c r="F190" s="23"/>
      <c r="G190" s="30"/>
      <c r="H190" s="83"/>
      <c r="I190" s="23"/>
      <c r="J190" s="6">
        <f t="shared" ca="1" si="11"/>
        <v>34.946858792719411</v>
      </c>
      <c r="K190" s="30"/>
      <c r="L190" s="30"/>
    </row>
    <row r="191" spans="4:14" x14ac:dyDescent="0.15">
      <c r="D191" s="195">
        <v>2027</v>
      </c>
      <c r="E191" s="18"/>
      <c r="F191" s="23"/>
      <c r="G191" s="30"/>
      <c r="H191" s="83"/>
      <c r="I191" s="23"/>
      <c r="J191" s="6">
        <f t="shared" ca="1" si="11"/>
        <v>35.358750476158676</v>
      </c>
      <c r="K191" s="30"/>
      <c r="L191" s="30"/>
    </row>
    <row r="192" spans="4:14" x14ac:dyDescent="0.15">
      <c r="D192" s="195">
        <v>2028</v>
      </c>
      <c r="E192" s="18"/>
      <c r="F192" s="23"/>
      <c r="G192" s="30"/>
      <c r="H192" s="83"/>
      <c r="I192" s="23"/>
      <c r="J192" s="6">
        <f t="shared" ca="1" si="11"/>
        <v>35.769964369554884</v>
      </c>
      <c r="K192" s="30"/>
      <c r="L192" s="30"/>
    </row>
    <row r="193" spans="4:12" x14ac:dyDescent="0.15">
      <c r="D193" s="195">
        <v>2029</v>
      </c>
      <c r="E193" s="18"/>
      <c r="F193" s="23"/>
      <c r="G193" s="30"/>
      <c r="H193" s="83"/>
      <c r="I193" s="23"/>
      <c r="J193" s="6">
        <f t="shared" ca="1" si="11"/>
        <v>36.180398093769867</v>
      </c>
      <c r="K193" s="30"/>
      <c r="L193" s="30"/>
    </row>
    <row r="194" spans="4:12" x14ac:dyDescent="0.15">
      <c r="D194" s="195">
        <v>2030</v>
      </c>
      <c r="E194" s="18"/>
      <c r="F194" s="23"/>
      <c r="G194" s="30"/>
      <c r="H194" s="83"/>
      <c r="I194" s="23"/>
      <c r="J194" s="6">
        <f t="shared" ca="1" si="11"/>
        <v>36.589949856883408</v>
      </c>
      <c r="K194" s="30"/>
      <c r="L194" s="30"/>
    </row>
    <row r="195" spans="4:12" x14ac:dyDescent="0.15">
      <c r="D195" s="195">
        <v>2031</v>
      </c>
      <c r="E195" s="18"/>
      <c r="F195" s="23"/>
      <c r="G195" s="30"/>
      <c r="H195" s="83"/>
      <c r="I195" s="23"/>
      <c r="J195" s="6">
        <f t="shared" ca="1" si="11"/>
        <v>36.99851852990966</v>
      </c>
      <c r="K195" s="30"/>
      <c r="L195" s="30"/>
    </row>
    <row r="196" spans="4:12" x14ac:dyDescent="0.15">
      <c r="D196" s="195">
        <v>2032</v>
      </c>
      <c r="E196" s="18"/>
      <c r="F196" s="23"/>
      <c r="G196" s="30"/>
      <c r="H196" s="83"/>
      <c r="I196" s="23"/>
      <c r="J196" s="6">
        <f t="shared" ca="1" si="11"/>
        <v>37.406003721683014</v>
      </c>
      <c r="K196" s="30"/>
      <c r="L196" s="30"/>
    </row>
    <row r="197" spans="4:12" x14ac:dyDescent="0.15">
      <c r="D197" s="195">
        <v>2033</v>
      </c>
      <c r="E197" s="18"/>
      <c r="F197" s="23"/>
      <c r="G197" s="30"/>
      <c r="H197" s="83"/>
      <c r="I197" s="23"/>
      <c r="J197" s="6">
        <f t="shared" ca="1" si="11"/>
        <v>37.812305852821318</v>
      </c>
      <c r="K197" s="30"/>
      <c r="L197" s="30"/>
    </row>
    <row r="198" spans="4:12" x14ac:dyDescent="0.15">
      <c r="D198" s="195">
        <v>2034</v>
      </c>
      <c r="E198" s="18"/>
      <c r="F198" s="23"/>
      <c r="G198" s="30"/>
      <c r="H198" s="83"/>
      <c r="I198" s="23"/>
      <c r="J198" s="6">
        <f t="shared" ca="1" si="11"/>
        <v>38.217326228675411</v>
      </c>
      <c r="K198" s="30"/>
      <c r="L198" s="30"/>
    </row>
    <row r="199" spans="4:12" x14ac:dyDescent="0.15">
      <c r="D199" s="195">
        <v>2035</v>
      </c>
      <c r="E199" s="18"/>
      <c r="F199" s="23"/>
      <c r="G199" s="30"/>
      <c r="H199" s="83"/>
      <c r="I199" s="23"/>
      <c r="J199" s="6">
        <f t="shared" ca="1" si="11"/>
        <v>38.620967111176114</v>
      </c>
      <c r="K199" s="30"/>
      <c r="L199" s="30"/>
    </row>
    <row r="200" spans="4:12" x14ac:dyDescent="0.15">
      <c r="D200" s="195">
        <v>2036</v>
      </c>
      <c r="E200" s="18"/>
      <c r="F200" s="23"/>
      <c r="G200" s="30"/>
      <c r="H200" s="83"/>
      <c r="I200" s="23"/>
      <c r="J200" s="6">
        <f t="shared" ca="1" si="11"/>
        <v>39.023131789491629</v>
      </c>
      <c r="K200" s="30"/>
      <c r="L200" s="30"/>
    </row>
    <row r="201" spans="4:12" x14ac:dyDescent="0.15">
      <c r="D201" s="195">
        <v>2037</v>
      </c>
      <c r="E201" s="18"/>
      <c r="F201" s="23"/>
      <c r="G201" s="30"/>
      <c r="H201" s="83"/>
      <c r="I201" s="23"/>
      <c r="J201" s="6">
        <f t="shared" ca="1" si="11"/>
        <v>39.423724649410133</v>
      </c>
      <c r="K201" s="30"/>
      <c r="L201" s="30"/>
    </row>
    <row r="202" spans="4:12" x14ac:dyDescent="0.15">
      <c r="D202" s="195">
        <v>2038</v>
      </c>
      <c r="E202" s="18"/>
      <c r="F202" s="23"/>
      <c r="G202" s="30"/>
      <c r="H202" s="83"/>
      <c r="I202" s="23"/>
      <c r="J202" s="6">
        <f t="shared" ca="1" si="11"/>
        <v>39.822651241365129</v>
      </c>
      <c r="K202" s="30"/>
      <c r="L202" s="30"/>
    </row>
    <row r="203" spans="4:12" x14ac:dyDescent="0.15">
      <c r="D203" s="195">
        <v>2039</v>
      </c>
      <c r="E203" s="18"/>
      <c r="F203" s="23"/>
      <c r="G203" s="30"/>
      <c r="H203" s="83"/>
      <c r="I203" s="23"/>
      <c r="J203" s="6">
        <f t="shared" ca="1" si="11"/>
        <v>40.219818347022731</v>
      </c>
      <c r="K203" s="30"/>
      <c r="L203" s="30"/>
    </row>
    <row r="204" spans="4:12" x14ac:dyDescent="0.15">
      <c r="D204" s="195">
        <v>2040</v>
      </c>
      <c r="E204" s="18"/>
      <c r="F204" s="23"/>
      <c r="G204" s="30"/>
      <c r="H204" s="83"/>
      <c r="I204" s="23"/>
      <c r="J204" s="6">
        <f t="shared" ca="1" si="11"/>
        <v>40.615134044353233</v>
      </c>
      <c r="K204" s="30"/>
      <c r="L204" s="30"/>
    </row>
    <row r="205" spans="4:12" x14ac:dyDescent="0.15">
      <c r="D205" s="195">
        <v>2041</v>
      </c>
      <c r="E205" s="18"/>
      <c r="F205" s="23"/>
      <c r="G205" s="30"/>
      <c r="H205" s="83"/>
      <c r="I205" s="23"/>
      <c r="J205" s="6">
        <f t="shared" ca="1" si="11"/>
        <v>41.008507771111454</v>
      </c>
      <c r="K205" s="30"/>
      <c r="L205" s="30"/>
    </row>
    <row r="206" spans="4:12" x14ac:dyDescent="0.15">
      <c r="D206" s="195">
        <v>2042</v>
      </c>
      <c r="E206" s="18"/>
      <c r="F206" s="23"/>
      <c r="G206" s="30"/>
      <c r="H206" s="83"/>
      <c r="I206" s="23"/>
      <c r="J206" s="6">
        <f t="shared" ca="1" si="11"/>
        <v>41.399850386653277</v>
      </c>
      <c r="K206" s="30"/>
      <c r="L206" s="30"/>
    </row>
    <row r="207" spans="4:12" x14ac:dyDescent="0.15">
      <c r="D207" s="195">
        <v>2043</v>
      </c>
      <c r="E207" s="18"/>
      <c r="F207" s="23"/>
      <c r="G207" s="30"/>
      <c r="H207" s="83"/>
      <c r="I207" s="23"/>
      <c r="J207" s="6">
        <f t="shared" ref="J207:J270" ca="1" si="16">F$1*NORMDIST(D207,IF(D207&lt;E$6,AVERAGE(E$2:F$2),AVERAGE(E$5:F$5)),IF(D207&lt;E$6,F$2-E$2,F$5-E$5)/(NORMSINV(0.9)-NORMSINV(0.1)),1)</f>
        <v>41.78907423201867</v>
      </c>
      <c r="K207" s="30"/>
      <c r="L207" s="30"/>
    </row>
    <row r="208" spans="4:12" x14ac:dyDescent="0.15">
      <c r="D208" s="195">
        <v>2044</v>
      </c>
      <c r="E208" s="18"/>
      <c r="F208" s="23"/>
      <c r="G208" s="30"/>
      <c r="H208" s="83"/>
      <c r="I208" s="23"/>
      <c r="J208" s="6">
        <f t="shared" ca="1" si="16"/>
        <v>42.176093188214367</v>
      </c>
      <c r="K208" s="30"/>
      <c r="L208" s="30"/>
    </row>
    <row r="209" spans="4:12" x14ac:dyDescent="0.15">
      <c r="D209" s="195">
        <v>2045</v>
      </c>
      <c r="E209" s="18"/>
      <c r="F209" s="23"/>
      <c r="G209" s="30"/>
      <c r="H209" s="83"/>
      <c r="I209" s="23"/>
      <c r="J209" s="6">
        <f t="shared" ca="1" si="16"/>
        <v>42.560822732632431</v>
      </c>
      <c r="K209" s="30"/>
      <c r="L209" s="30"/>
    </row>
    <row r="210" spans="4:12" x14ac:dyDescent="0.15">
      <c r="D210" s="195">
        <v>2046</v>
      </c>
      <c r="E210" s="18"/>
      <c r="F210" s="23"/>
      <c r="G210" s="30"/>
      <c r="H210" s="83"/>
      <c r="I210" s="23"/>
      <c r="J210" s="6">
        <f t="shared" ca="1" si="16"/>
        <v>42.943179993544128</v>
      </c>
      <c r="K210" s="30"/>
      <c r="L210" s="30"/>
    </row>
    <row r="211" spans="4:12" x14ac:dyDescent="0.15">
      <c r="D211" s="195">
        <v>2047</v>
      </c>
      <c r="E211" s="18"/>
      <c r="F211" s="23"/>
      <c r="G211" s="30"/>
      <c r="H211" s="83"/>
      <c r="I211" s="23"/>
      <c r="J211" s="6">
        <f t="shared" ca="1" si="16"/>
        <v>43.323083802611855</v>
      </c>
      <c r="K211" s="30"/>
      <c r="L211" s="30"/>
    </row>
    <row r="212" spans="4:12" x14ac:dyDescent="0.15">
      <c r="D212" s="195">
        <v>2048</v>
      </c>
      <c r="E212" s="18"/>
      <c r="F212" s="23"/>
      <c r="G212" s="30"/>
      <c r="H212" s="83"/>
      <c r="I212" s="23"/>
      <c r="J212" s="6">
        <f t="shared" ca="1" si="16"/>
        <v>43.700454745364965</v>
      </c>
      <c r="K212" s="30"/>
      <c r="L212" s="30"/>
    </row>
    <row r="213" spans="4:12" x14ac:dyDescent="0.15">
      <c r="D213" s="195">
        <v>2049</v>
      </c>
      <c r="E213" s="18"/>
      <c r="F213" s="23"/>
      <c r="G213" s="30"/>
      <c r="H213" s="83"/>
      <c r="I213" s="23"/>
      <c r="J213" s="6">
        <f t="shared" ca="1" si="16"/>
        <v>44.075215209589004</v>
      </c>
      <c r="K213" s="30"/>
      <c r="L213" s="30"/>
    </row>
    <row r="214" spans="4:12" x14ac:dyDescent="0.15">
      <c r="D214" s="195">
        <v>2050</v>
      </c>
      <c r="E214" s="18"/>
      <c r="F214" s="23"/>
      <c r="G214" s="30"/>
      <c r="H214" s="83"/>
      <c r="I214" s="23"/>
      <c r="J214" s="6">
        <f t="shared" ca="1" si="16"/>
        <v>44.447289431581169</v>
      </c>
      <c r="K214" s="30"/>
      <c r="L214" s="30"/>
    </row>
    <row r="215" spans="4:12" x14ac:dyDescent="0.15">
      <c r="D215" s="195">
        <v>2051</v>
      </c>
      <c r="E215" s="18"/>
      <c r="F215" s="23"/>
      <c r="G215" s="30"/>
      <c r="H215" s="83"/>
      <c r="I215" s="23"/>
      <c r="J215" s="6">
        <f t="shared" ca="1" si="16"/>
        <v>44.816603540228364</v>
      </c>
      <c r="K215" s="30"/>
      <c r="L215" s="30"/>
    </row>
    <row r="216" spans="4:12" x14ac:dyDescent="0.15">
      <c r="D216" s="195">
        <v>2052</v>
      </c>
      <c r="E216" s="18"/>
      <c r="F216" s="23"/>
      <c r="G216" s="30"/>
      <c r="H216" s="83"/>
      <c r="I216" s="23"/>
      <c r="J216" s="6">
        <f t="shared" ca="1" si="16"/>
        <v>45.183085598867883</v>
      </c>
      <c r="K216" s="30"/>
      <c r="L216" s="30"/>
    </row>
    <row r="217" spans="4:12" x14ac:dyDescent="0.15">
      <c r="D217" s="195">
        <v>2053</v>
      </c>
      <c r="E217" s="18"/>
      <c r="F217" s="23"/>
      <c r="G217" s="30"/>
      <c r="H217" s="78"/>
      <c r="I217" s="23"/>
      <c r="J217" s="6">
        <f t="shared" ca="1" si="16"/>
        <v>45.546665644894283</v>
      </c>
      <c r="K217" s="30"/>
      <c r="L217" s="30"/>
    </row>
    <row r="218" spans="4:12" x14ac:dyDescent="0.15">
      <c r="D218" s="195">
        <v>2054</v>
      </c>
      <c r="E218" s="18"/>
      <c r="F218" s="23"/>
      <c r="G218" s="30"/>
      <c r="H218" s="78"/>
      <c r="I218" s="23"/>
      <c r="J218" s="6">
        <f t="shared" ca="1" si="16"/>
        <v>45.907275727079707</v>
      </c>
      <c r="K218" s="30"/>
      <c r="L218" s="30"/>
    </row>
    <row r="219" spans="4:12" x14ac:dyDescent="0.15">
      <c r="D219" s="195">
        <v>2055</v>
      </c>
      <c r="E219" s="18"/>
      <c r="F219" s="23"/>
      <c r="G219" s="30"/>
      <c r="H219" s="78"/>
      <c r="I219" s="23"/>
      <c r="J219" s="6">
        <f t="shared" ca="1" si="16"/>
        <v>46.264849940578642</v>
      </c>
      <c r="K219" s="30"/>
      <c r="L219" s="30"/>
    </row>
    <row r="220" spans="4:12" x14ac:dyDescent="0.15">
      <c r="D220" s="195">
        <v>2056</v>
      </c>
      <c r="E220" s="18"/>
      <c r="F220" s="23"/>
      <c r="G220" s="30"/>
      <c r="H220" s="78"/>
      <c r="I220" s="23"/>
      <c r="J220" s="6">
        <f t="shared" ca="1" si="16"/>
        <v>46.619324459591837</v>
      </c>
      <c r="K220" s="30"/>
      <c r="L220" s="30"/>
    </row>
    <row r="221" spans="4:12" x14ac:dyDescent="0.15">
      <c r="D221" s="195">
        <v>2057</v>
      </c>
      <c r="E221" s="18"/>
      <c r="F221" s="23"/>
      <c r="G221" s="30"/>
      <c r="H221" s="78"/>
      <c r="I221" s="23"/>
      <c r="J221" s="6">
        <f t="shared" ca="1" si="16"/>
        <v>46.970637567667708</v>
      </c>
      <c r="K221" s="30"/>
      <c r="L221" s="30"/>
    </row>
    <row r="222" spans="4:12" x14ac:dyDescent="0.15">
      <c r="D222" s="195">
        <v>2058</v>
      </c>
      <c r="E222" s="18"/>
      <c r="F222" s="23"/>
      <c r="G222" s="30"/>
      <c r="H222" s="78"/>
      <c r="I222" s="23"/>
      <c r="J222" s="6">
        <f t="shared" ca="1" si="16"/>
        <v>47.318729685623438</v>
      </c>
      <c r="K222" s="30"/>
      <c r="L222" s="30"/>
    </row>
    <row r="223" spans="4:12" x14ac:dyDescent="0.15">
      <c r="D223" s="195">
        <v>2059</v>
      </c>
      <c r="E223" s="18"/>
      <c r="F223" s="23"/>
      <c r="G223" s="30"/>
      <c r="H223" s="78"/>
      <c r="I223" s="23"/>
      <c r="J223" s="6">
        <f t="shared" ca="1" si="16"/>
        <v>47.663543397071692</v>
      </c>
      <c r="K223" s="30"/>
      <c r="L223" s="30"/>
    </row>
    <row r="224" spans="4:12" x14ac:dyDescent="0.15">
      <c r="D224" s="195">
        <v>2060</v>
      </c>
      <c r="E224" s="18"/>
      <c r="F224" s="23"/>
      <c r="G224" s="30"/>
      <c r="H224" s="78"/>
      <c r="I224" s="23"/>
      <c r="J224" s="6">
        <f t="shared" ca="1" si="16"/>
        <v>48.005023471542472</v>
      </c>
      <c r="K224" s="30"/>
      <c r="L224" s="30"/>
    </row>
    <row r="225" spans="4:12" x14ac:dyDescent="0.15">
      <c r="D225" s="195">
        <v>2061</v>
      </c>
      <c r="E225" s="18"/>
      <c r="F225" s="23"/>
      <c r="G225" s="30"/>
      <c r="H225" s="78"/>
      <c r="I225" s="23"/>
      <c r="J225" s="6">
        <f t="shared" ca="1" si="16"/>
        <v>48.343116885193609</v>
      </c>
      <c r="K225" s="30"/>
      <c r="L225" s="30"/>
    </row>
    <row r="226" spans="4:12" x14ac:dyDescent="0.15">
      <c r="D226" s="195">
        <v>2062</v>
      </c>
      <c r="E226" s="18"/>
      <c r="F226" s="23"/>
      <c r="G226" s="30"/>
      <c r="H226" s="78"/>
      <c r="I226" s="23"/>
      <c r="J226" s="6">
        <f t="shared" ca="1" si="16"/>
        <v>48.677772839106773</v>
      </c>
      <c r="K226" s="30"/>
      <c r="L226" s="30"/>
    </row>
    <row r="227" spans="4:12" x14ac:dyDescent="0.15">
      <c r="D227" s="195">
        <v>2063</v>
      </c>
      <c r="E227" s="18"/>
      <c r="F227" s="23"/>
      <c r="G227" s="30"/>
      <c r="H227" s="79"/>
      <c r="I227" s="23"/>
      <c r="J227" s="6">
        <f t="shared" ca="1" si="16"/>
        <v>49.008942775169729</v>
      </c>
      <c r="K227" s="30"/>
      <c r="L227" s="30"/>
    </row>
    <row r="228" spans="4:12" x14ac:dyDescent="0.15">
      <c r="D228" s="195">
        <v>2064</v>
      </c>
      <c r="E228" s="18"/>
      <c r="F228" s="23"/>
      <c r="G228" s="30"/>
      <c r="H228" s="23"/>
      <c r="I228" s="23"/>
      <c r="J228" s="6">
        <f t="shared" ca="1" si="16"/>
        <v>49.33658038954934</v>
      </c>
      <c r="K228" s="30"/>
      <c r="L228" s="30"/>
    </row>
    <row r="229" spans="4:12" x14ac:dyDescent="0.15">
      <c r="D229" s="195">
        <v>2065</v>
      </c>
      <c r="E229" s="18"/>
      <c r="H229" s="23"/>
      <c r="I229" s="23"/>
      <c r="J229" s="6">
        <f t="shared" ca="1" si="16"/>
        <v>49.660641643762844</v>
      </c>
    </row>
    <row r="230" spans="4:12" x14ac:dyDescent="0.15">
      <c r="D230" s="195">
        <v>2066</v>
      </c>
      <c r="E230" s="18"/>
      <c r="I230" s="23"/>
      <c r="J230" s="6">
        <f t="shared" ca="1" si="16"/>
        <v>49.98108477335925</v>
      </c>
    </row>
    <row r="231" spans="4:12" x14ac:dyDescent="0.15">
      <c r="D231" s="195">
        <v>2067</v>
      </c>
      <c r="E231" s="18"/>
      <c r="I231" s="23"/>
      <c r="J231" s="6">
        <f t="shared" ca="1" si="16"/>
        <v>50.297870294225483</v>
      </c>
    </row>
    <row r="232" spans="4:12" x14ac:dyDescent="0.15">
      <c r="D232" s="195">
        <v>2068</v>
      </c>
      <c r="E232" s="18"/>
      <c r="I232" s="23"/>
      <c r="J232" s="6">
        <f t="shared" ca="1" si="16"/>
        <v>50.610961006535689</v>
      </c>
    </row>
    <row r="233" spans="4:12" x14ac:dyDescent="0.15">
      <c r="D233" s="195">
        <v>2069</v>
      </c>
      <c r="E233" s="18"/>
      <c r="I233" s="23"/>
      <c r="J233" s="6">
        <f t="shared" ca="1" si="16"/>
        <v>50.920321996365374</v>
      </c>
    </row>
    <row r="234" spans="4:12" x14ac:dyDescent="0.15">
      <c r="D234" s="195">
        <v>2070</v>
      </c>
      <c r="E234" s="18"/>
      <c r="I234" s="23"/>
      <c r="J234" s="6">
        <f t="shared" ca="1" si="16"/>
        <v>51.225920634995248</v>
      </c>
    </row>
    <row r="235" spans="4:12" x14ac:dyDescent="0.15">
      <c r="D235" s="195">
        <v>2071</v>
      </c>
      <c r="E235" s="18"/>
      <c r="I235" s="23"/>
      <c r="J235" s="6">
        <f t="shared" ca="1" si="16"/>
        <v>51.52772657593291</v>
      </c>
    </row>
    <row r="236" spans="4:12" x14ac:dyDescent="0.15">
      <c r="D236" s="195">
        <v>2072</v>
      </c>
      <c r="E236" s="18"/>
      <c r="I236" s="23"/>
      <c r="J236" s="6">
        <f t="shared" ca="1" si="16"/>
        <v>51.825711749683521</v>
      </c>
    </row>
    <row r="237" spans="4:12" x14ac:dyDescent="0.15">
      <c r="D237" s="195">
        <v>2073</v>
      </c>
      <c r="E237" s="18"/>
      <c r="I237" s="23"/>
      <c r="J237" s="6">
        <f t="shared" ca="1" si="16"/>
        <v>52.119850356303814</v>
      </c>
    </row>
    <row r="238" spans="4:12" x14ac:dyDescent="0.15">
      <c r="D238" s="195">
        <v>2074</v>
      </c>
      <c r="E238" s="18"/>
      <c r="I238" s="23"/>
      <c r="J238" s="6">
        <f t="shared" ca="1" si="16"/>
        <v>52.410118855776346</v>
      </c>
    </row>
    <row r="239" spans="4:12" x14ac:dyDescent="0.15">
      <c r="D239" s="195">
        <v>2075</v>
      </c>
      <c r="E239" s="18"/>
      <c r="I239" s="23"/>
      <c r="J239" s="6">
        <f t="shared" ca="1" si="16"/>
        <v>52.696495956244021</v>
      </c>
    </row>
    <row r="240" spans="4:12" x14ac:dyDescent="0.15">
      <c r="D240" s="195">
        <v>2076</v>
      </c>
      <c r="E240" s="18"/>
      <c r="I240" s="23"/>
      <c r="J240" s="6">
        <f t="shared" ca="1" si="16"/>
        <v>52.978962600147575</v>
      </c>
    </row>
    <row r="241" spans="4:10" x14ac:dyDescent="0.15">
      <c r="D241" s="195">
        <v>2077</v>
      </c>
      <c r="E241" s="18"/>
      <c r="I241" s="23"/>
      <c r="J241" s="6">
        <f t="shared" ca="1" si="16"/>
        <v>53.257501948311038</v>
      </c>
    </row>
    <row r="242" spans="4:10" x14ac:dyDescent="0.15">
      <c r="D242" s="195">
        <v>2078</v>
      </c>
      <c r="E242" s="18"/>
      <c r="I242" s="23"/>
      <c r="J242" s="6">
        <f t="shared" ca="1" si="16"/>
        <v>53.532099362022976</v>
      </c>
    </row>
    <row r="243" spans="4:10" x14ac:dyDescent="0.15">
      <c r="D243" s="195">
        <v>2079</v>
      </c>
      <c r="E243" s="18"/>
      <c r="I243" s="23"/>
      <c r="J243" s="6">
        <f t="shared" ca="1" si="16"/>
        <v>53.802742383163633</v>
      </c>
    </row>
    <row r="244" spans="4:10" x14ac:dyDescent="0.15">
      <c r="D244" s="195">
        <v>2080</v>
      </c>
      <c r="E244" s="18"/>
      <c r="I244" s="23"/>
      <c r="J244" s="6">
        <f t="shared" ca="1" si="16"/>
        <v>54.069420712430059</v>
      </c>
    </row>
    <row r="245" spans="4:10" x14ac:dyDescent="0.15">
      <c r="D245" s="195">
        <v>2081</v>
      </c>
      <c r="E245" s="18"/>
      <c r="I245" s="23"/>
      <c r="J245" s="6">
        <f t="shared" ca="1" si="16"/>
        <v>54.332126185713747</v>
      </c>
    </row>
    <row r="246" spans="4:10" x14ac:dyDescent="0.15">
      <c r="D246" s="195">
        <v>2082</v>
      </c>
      <c r="E246" s="18"/>
      <c r="I246" s="23"/>
      <c r="J246" s="6">
        <f t="shared" ca="1" si="16"/>
        <v>54.590852748687134</v>
      </c>
    </row>
    <row r="247" spans="4:10" x14ac:dyDescent="0.15">
      <c r="D247" s="195">
        <v>2083</v>
      </c>
      <c r="E247" s="18"/>
      <c r="I247" s="23"/>
      <c r="J247" s="6">
        <f t="shared" ca="1" si="16"/>
        <v>54.845596429657327</v>
      </c>
    </row>
    <row r="248" spans="4:10" x14ac:dyDescent="0.15">
      <c r="D248" s="195">
        <v>2084</v>
      </c>
      <c r="E248" s="18"/>
      <c r="I248" s="23"/>
      <c r="J248" s="6">
        <f t="shared" ca="1" si="16"/>
        <v>55.096355310746745</v>
      </c>
    </row>
    <row r="249" spans="4:10" x14ac:dyDescent="0.15">
      <c r="D249" s="195">
        <v>2085</v>
      </c>
      <c r="E249" s="18"/>
      <c r="I249" s="23"/>
      <c r="J249" s="6">
        <f t="shared" ca="1" si="16"/>
        <v>55.34312949746262</v>
      </c>
    </row>
    <row r="250" spans="4:10" x14ac:dyDescent="0.15">
      <c r="D250" s="195">
        <v>2086</v>
      </c>
      <c r="E250" s="18"/>
      <c r="I250" s="23"/>
      <c r="J250" s="6">
        <f t="shared" ca="1" si="16"/>
        <v>55.585921086718145</v>
      </c>
    </row>
    <row r="251" spans="4:10" x14ac:dyDescent="0.15">
      <c r="D251" s="195">
        <v>2087</v>
      </c>
      <c r="E251" s="18"/>
      <c r="I251" s="23"/>
      <c r="J251" s="6">
        <f t="shared" ca="1" si="16"/>
        <v>55.824734133369894</v>
      </c>
    </row>
    <row r="252" spans="4:10" x14ac:dyDescent="0.15">
      <c r="D252" s="195">
        <v>2088</v>
      </c>
      <c r="E252" s="18"/>
      <c r="I252" s="23"/>
      <c r="J252" s="6">
        <f t="shared" ca="1" si="16"/>
        <v>56.0595746153368</v>
      </c>
    </row>
    <row r="253" spans="4:10" x14ac:dyDescent="0.15">
      <c r="D253" s="195">
        <v>2089</v>
      </c>
      <c r="E253" s="18"/>
      <c r="I253" s="23"/>
      <c r="J253" s="6">
        <f t="shared" ca="1" si="16"/>
        <v>56.290450397367678</v>
      </c>
    </row>
    <row r="254" spans="4:10" x14ac:dyDescent="0.15">
      <c r="D254" s="195">
        <v>2090</v>
      </c>
      <c r="E254" s="18"/>
      <c r="I254" s="23"/>
      <c r="J254" s="6">
        <f t="shared" ca="1" si="16"/>
        <v>56.517371193524745</v>
      </c>
    </row>
    <row r="255" spans="4:10" x14ac:dyDescent="0.15">
      <c r="D255" s="195">
        <v>2091</v>
      </c>
      <c r="E255" s="18"/>
      <c r="I255" s="23"/>
      <c r="J255" s="6">
        <f t="shared" ca="1" si="16"/>
        <v>56.740348528451463</v>
      </c>
    </row>
    <row r="256" spans="4:10" x14ac:dyDescent="0.15">
      <c r="D256" s="195">
        <v>2092</v>
      </c>
      <c r="E256" s="18"/>
      <c r="I256" s="23"/>
      <c r="J256" s="6">
        <f t="shared" ca="1" si="16"/>
        <v>56.95939569749396</v>
      </c>
    </row>
    <row r="257" spans="4:10" x14ac:dyDescent="0.15">
      <c r="D257" s="195">
        <v>2093</v>
      </c>
      <c r="E257" s="18"/>
      <c r="I257" s="23"/>
      <c r="J257" s="6">
        <f t="shared" ca="1" si="16"/>
        <v>57.17452772574547</v>
      </c>
    </row>
    <row r="258" spans="4:10" x14ac:dyDescent="0.15">
      <c r="D258" s="195">
        <v>2094</v>
      </c>
      <c r="E258" s="18"/>
      <c r="I258" s="23"/>
      <c r="J258" s="6">
        <f t="shared" ca="1" si="16"/>
        <v>57.385761326083923</v>
      </c>
    </row>
    <row r="259" spans="4:10" x14ac:dyDescent="0.15">
      <c r="D259" s="195">
        <v>2095</v>
      </c>
      <c r="E259" s="18"/>
      <c r="I259" s="23"/>
      <c r="J259" s="6">
        <f t="shared" ca="1" si="16"/>
        <v>57.593114856272869</v>
      </c>
    </row>
    <row r="260" spans="4:10" x14ac:dyDescent="0.15">
      <c r="D260" s="195">
        <v>2096</v>
      </c>
      <c r="E260" s="18"/>
      <c r="I260" s="23"/>
      <c r="J260" s="6">
        <f t="shared" ca="1" si="16"/>
        <v>57.796608275196228</v>
      </c>
    </row>
    <row r="261" spans="4:10" x14ac:dyDescent="0.15">
      <c r="D261" s="195">
        <v>2097</v>
      </c>
      <c r="E261" s="18"/>
      <c r="I261" s="23"/>
      <c r="J261" s="6">
        <f t="shared" ca="1" si="16"/>
        <v>57.996263098297376</v>
      </c>
    </row>
    <row r="262" spans="4:10" x14ac:dyDescent="0.15">
      <c r="D262" s="195">
        <v>2098</v>
      </c>
      <c r="E262" s="18"/>
      <c r="I262" s="23"/>
      <c r="J262" s="6">
        <f t="shared" ca="1" si="16"/>
        <v>58.192102352292771</v>
      </c>
    </row>
    <row r="263" spans="4:10" x14ac:dyDescent="0.15">
      <c r="D263" s="195">
        <v>2099</v>
      </c>
      <c r="E263" s="18"/>
      <c r="I263" s="23"/>
      <c r="J263" s="6">
        <f t="shared" ca="1" si="16"/>
        <v>58.384150529230418</v>
      </c>
    </row>
    <row r="264" spans="4:10" x14ac:dyDescent="0.15">
      <c r="D264" s="195">
        <v>2100</v>
      </c>
      <c r="E264" s="18"/>
      <c r="I264" s="23"/>
      <c r="J264" s="6">
        <f t="shared" ca="1" si="16"/>
        <v>58.572433539962788</v>
      </c>
    </row>
    <row r="265" spans="4:10" x14ac:dyDescent="0.15">
      <c r="D265" s="195">
        <v>2101</v>
      </c>
      <c r="E265" s="18"/>
      <c r="I265" s="23"/>
      <c r="J265" s="6">
        <f t="shared" ca="1" si="16"/>
        <v>58.75697866710378</v>
      </c>
    </row>
    <row r="266" spans="4:10" x14ac:dyDescent="0.15">
      <c r="D266" s="195">
        <v>2102</v>
      </c>
      <c r="E266" s="18"/>
      <c r="I266" s="23"/>
      <c r="J266" s="6">
        <f t="shared" ca="1" si="16"/>
        <v>58.93781451753815</v>
      </c>
    </row>
    <row r="267" spans="4:10" x14ac:dyDescent="0.15">
      <c r="D267" s="195">
        <v>2103</v>
      </c>
      <c r="E267" s="18"/>
      <c r="I267" s="23"/>
      <c r="J267" s="6">
        <f t="shared" ca="1" si="16"/>
        <v>59.114970974551809</v>
      </c>
    </row>
    <row r="268" spans="4:10" x14ac:dyDescent="0.15">
      <c r="D268" s="195">
        <v>2104</v>
      </c>
      <c r="E268" s="18"/>
      <c r="I268" s="23"/>
      <c r="J268" s="6">
        <f t="shared" ca="1" si="16"/>
        <v>59.288479149650115</v>
      </c>
    </row>
    <row r="269" spans="4:10" x14ac:dyDescent="0.15">
      <c r="D269" s="195">
        <v>2105</v>
      </c>
      <c r="E269" s="18"/>
      <c r="I269" s="23"/>
      <c r="J269" s="6">
        <f t="shared" ca="1" si="16"/>
        <v>59.458371334130618</v>
      </c>
    </row>
    <row r="270" spans="4:10" x14ac:dyDescent="0.15">
      <c r="D270" s="195">
        <v>2106</v>
      </c>
      <c r="E270" s="18"/>
      <c r="I270" s="23"/>
      <c r="J270" s="6">
        <f t="shared" ca="1" si="16"/>
        <v>59.624680950475707</v>
      </c>
    </row>
    <row r="271" spans="4:10" x14ac:dyDescent="0.15">
      <c r="D271" s="195">
        <v>2107</v>
      </c>
      <c r="E271" s="18"/>
      <c r="I271" s="23"/>
      <c r="J271" s="6">
        <f t="shared" ref="J271:J314" ca="1" si="17">F$1*NORMDIST(D271,IF(D271&lt;E$6,AVERAGE(E$2:F$2),AVERAGE(E$5:F$5)),IF(D271&lt;E$6,F$2-E$2,F$5-E$5)/(NORMSINV(0.9)-NORMSINV(0.1)),1)</f>
        <v>59.787442503629499</v>
      </c>
    </row>
    <row r="272" spans="4:10" x14ac:dyDescent="0.15">
      <c r="D272" s="195">
        <v>2108</v>
      </c>
      <c r="E272" s="18"/>
      <c r="I272" s="23"/>
      <c r="J272" s="6">
        <f t="shared" ca="1" si="17"/>
        <v>59.946691532222189</v>
      </c>
    </row>
    <row r="273" spans="4:10" x14ac:dyDescent="0.15">
      <c r="D273" s="195">
        <v>2109</v>
      </c>
      <c r="E273" s="18"/>
      <c r="I273" s="23"/>
      <c r="J273" s="6">
        <f t="shared" ca="1" si="17"/>
        <v>60.102464559803714</v>
      </c>
    </row>
    <row r="274" spans="4:10" x14ac:dyDescent="0.15">
      <c r="D274" s="195">
        <v>2110</v>
      </c>
      <c r="E274" s="18"/>
      <c r="I274" s="23"/>
      <c r="J274" s="6">
        <f t="shared" ca="1" si="17"/>
        <v>60.254799046147454</v>
      </c>
    </row>
    <row r="275" spans="4:10" x14ac:dyDescent="0.15">
      <c r="D275" s="195">
        <v>2111</v>
      </c>
      <c r="E275" s="18"/>
      <c r="J275" s="6">
        <f t="shared" ca="1" si="17"/>
        <v>60.403733338683068</v>
      </c>
    </row>
    <row r="276" spans="4:10" x14ac:dyDescent="0.15">
      <c r="D276" s="195">
        <v>2112</v>
      </c>
      <c r="E276" s="18"/>
      <c r="J276" s="6">
        <f t="shared" ca="1" si="17"/>
        <v>60.549306624116142</v>
      </c>
    </row>
    <row r="277" spans="4:10" x14ac:dyDescent="0.15">
      <c r="D277" s="195">
        <v>2113</v>
      </c>
      <c r="E277" s="18"/>
      <c r="J277" s="6">
        <f t="shared" ca="1" si="17"/>
        <v>60.691558880290934</v>
      </c>
    </row>
    <row r="278" spans="4:10" x14ac:dyDescent="0.15">
      <c r="D278" s="195">
        <v>2114</v>
      </c>
      <c r="E278" s="18"/>
      <c r="J278" s="6">
        <f t="shared" ca="1" si="17"/>
        <v>60.830530828350575</v>
      </c>
    </row>
    <row r="279" spans="4:10" x14ac:dyDescent="0.15">
      <c r="D279" s="195">
        <v>2115</v>
      </c>
      <c r="E279" s="18"/>
      <c r="J279" s="6">
        <f t="shared" ca="1" si="17"/>
        <v>60.966263885247763</v>
      </c>
    </row>
    <row r="280" spans="4:10" x14ac:dyDescent="0.15">
      <c r="D280" s="195">
        <v>2116</v>
      </c>
      <c r="E280" s="18"/>
      <c r="J280" s="6">
        <f t="shared" ca="1" si="17"/>
        <v>61.098800116656861</v>
      </c>
    </row>
    <row r="281" spans="4:10" x14ac:dyDescent="0.15">
      <c r="D281" s="195">
        <v>2117</v>
      </c>
      <c r="J281" s="6">
        <f t="shared" ca="1" si="17"/>
        <v>61.228182190336987</v>
      </c>
    </row>
    <row r="282" spans="4:10" x14ac:dyDescent="0.15">
      <c r="D282" s="195">
        <v>2118</v>
      </c>
      <c r="J282" s="6">
        <f t="shared" ca="1" si="17"/>
        <v>61.354453329993461</v>
      </c>
    </row>
    <row r="283" spans="4:10" x14ac:dyDescent="0.15">
      <c r="D283" s="195">
        <v>2119</v>
      </c>
      <c r="J283" s="6">
        <f t="shared" ca="1" si="17"/>
        <v>61.477657269683299</v>
      </c>
    </row>
    <row r="284" spans="4:10" x14ac:dyDescent="0.15">
      <c r="D284" s="195">
        <v>2120</v>
      </c>
      <c r="J284" s="6">
        <f t="shared" ca="1" si="17"/>
        <v>61.597838208808525</v>
      </c>
    </row>
    <row r="285" spans="4:10" x14ac:dyDescent="0.15">
      <c r="D285" s="195">
        <v>2121</v>
      </c>
      <c r="J285" s="6">
        <f t="shared" ca="1" si="17"/>
        <v>61.715040767739183</v>
      </c>
    </row>
    <row r="286" spans="4:10" x14ac:dyDescent="0.15">
      <c r="D286" s="195">
        <v>2122</v>
      </c>
      <c r="J286" s="6">
        <f t="shared" ca="1" si="17"/>
        <v>61.829309944105837</v>
      </c>
    </row>
    <row r="287" spans="4:10" x14ac:dyDescent="0.15">
      <c r="D287" s="195">
        <v>2123</v>
      </c>
      <c r="J287" s="6">
        <f t="shared" ca="1" si="17"/>
        <v>61.940691069799499</v>
      </c>
    </row>
    <row r="288" spans="4:10" x14ac:dyDescent="0.15">
      <c r="D288" s="195">
        <v>2124</v>
      </c>
      <c r="J288" s="6">
        <f t="shared" ca="1" si="17"/>
        <v>62.049229768714888</v>
      </c>
    </row>
    <row r="289" spans="4:10" x14ac:dyDescent="0.15">
      <c r="D289" s="195">
        <v>2125</v>
      </c>
      <c r="J289" s="6">
        <f t="shared" ca="1" si="17"/>
        <v>62.154971915270934</v>
      </c>
    </row>
    <row r="290" spans="4:10" x14ac:dyDescent="0.15">
      <c r="D290" s="195">
        <v>2126</v>
      </c>
      <c r="J290" s="6">
        <f t="shared" ca="1" si="17"/>
        <v>62.257963593740293</v>
      </c>
    </row>
    <row r="291" spans="4:10" x14ac:dyDescent="0.15">
      <c r="D291" s="195">
        <v>2127</v>
      </c>
      <c r="J291" s="6">
        <f t="shared" ca="1" si="17"/>
        <v>62.35825105841792</v>
      </c>
    </row>
    <row r="292" spans="4:10" x14ac:dyDescent="0.15">
      <c r="D292" s="195">
        <v>2128</v>
      </c>
      <c r="J292" s="6">
        <f t="shared" ca="1" si="17"/>
        <v>62.455880694656294</v>
      </c>
    </row>
    <row r="293" spans="4:10" x14ac:dyDescent="0.15">
      <c r="D293" s="195">
        <v>2129</v>
      </c>
      <c r="J293" s="6">
        <f t="shared" ca="1" si="17"/>
        <v>62.550898980793377</v>
      </c>
    </row>
    <row r="294" spans="4:10" x14ac:dyDescent="0.15">
      <c r="D294" s="195">
        <v>2130</v>
      </c>
      <c r="J294" s="6">
        <f t="shared" ca="1" si="17"/>
        <v>62.643352450996801</v>
      </c>
    </row>
    <row r="295" spans="4:10" x14ac:dyDescent="0.15">
      <c r="D295" s="195">
        <v>2131</v>
      </c>
      <c r="J295" s="6">
        <f t="shared" ca="1" si="17"/>
        <v>62.733287659046425</v>
      </c>
    </row>
    <row r="296" spans="4:10" x14ac:dyDescent="0.15">
      <c r="D296" s="195">
        <v>2132</v>
      </c>
      <c r="J296" s="6">
        <f t="shared" ca="1" si="17"/>
        <v>62.820751143074808</v>
      </c>
    </row>
    <row r="297" spans="4:10" x14ac:dyDescent="0.15">
      <c r="D297" s="195">
        <v>2133</v>
      </c>
      <c r="J297" s="6">
        <f t="shared" ca="1" si="17"/>
        <v>62.905789391283598</v>
      </c>
    </row>
    <row r="298" spans="4:10" x14ac:dyDescent="0.15">
      <c r="D298" s="195">
        <v>2134</v>
      </c>
      <c r="J298" s="6">
        <f t="shared" ca="1" si="17"/>
        <v>62.988448808651732</v>
      </c>
    </row>
    <row r="299" spans="4:10" x14ac:dyDescent="0.15">
      <c r="D299" s="195">
        <v>2135</v>
      </c>
      <c r="J299" s="6">
        <f t="shared" ca="1" si="17"/>
        <v>63.068775684649459</v>
      </c>
    </row>
    <row r="300" spans="4:10" x14ac:dyDescent="0.15">
      <c r="D300" s="195">
        <v>2136</v>
      </c>
      <c r="J300" s="6">
        <f t="shared" ca="1" si="17"/>
        <v>63.146816161970214</v>
      </c>
    </row>
    <row r="301" spans="4:10" x14ac:dyDescent="0.15">
      <c r="D301" s="195">
        <v>2137</v>
      </c>
      <c r="J301" s="6">
        <f t="shared" ca="1" si="17"/>
        <v>63.222616206290702</v>
      </c>
    </row>
    <row r="302" spans="4:10" x14ac:dyDescent="0.15">
      <c r="D302" s="195">
        <v>2138</v>
      </c>
      <c r="J302" s="6">
        <f t="shared" ca="1" si="17"/>
        <v>63.296221577067662</v>
      </c>
    </row>
    <row r="303" spans="4:10" x14ac:dyDescent="0.15">
      <c r="D303" s="195">
        <v>2139</v>
      </c>
      <c r="J303" s="6">
        <f t="shared" ca="1" si="17"/>
        <v>63.367677799377709</v>
      </c>
    </row>
    <row r="304" spans="4:10" x14ac:dyDescent="0.15">
      <c r="D304" s="195">
        <v>2140</v>
      </c>
      <c r="J304" s="6">
        <f t="shared" ca="1" si="17"/>
        <v>63.43703013680549</v>
      </c>
    </row>
    <row r="305" spans="4:10" x14ac:dyDescent="0.15">
      <c r="D305" s="195">
        <v>2141</v>
      </c>
      <c r="J305" s="6">
        <f t="shared" ca="1" si="17"/>
        <v>63.504323565383139</v>
      </c>
    </row>
    <row r="306" spans="4:10" x14ac:dyDescent="0.15">
      <c r="D306" s="195">
        <v>2142</v>
      </c>
      <c r="J306" s="6">
        <f t="shared" ca="1" si="17"/>
        <v>63.569602748582589</v>
      </c>
    </row>
    <row r="307" spans="4:10" x14ac:dyDescent="0.15">
      <c r="D307" s="195">
        <v>2143</v>
      </c>
      <c r="J307" s="6">
        <f t="shared" ca="1" si="17"/>
        <v>63.63291201336078</v>
      </c>
    </row>
    <row r="308" spans="4:10" x14ac:dyDescent="0.15">
      <c r="D308" s="195">
        <v>2144</v>
      </c>
      <c r="J308" s="6">
        <f t="shared" ca="1" si="17"/>
        <v>63.694295327255929</v>
      </c>
    </row>
    <row r="309" spans="4:10" x14ac:dyDescent="0.15">
      <c r="D309" s="195">
        <v>2145</v>
      </c>
      <c r="J309" s="6">
        <f t="shared" ca="1" si="17"/>
        <v>63.753796276531929</v>
      </c>
    </row>
    <row r="310" spans="4:10" x14ac:dyDescent="0.15">
      <c r="D310" s="195">
        <v>2146</v>
      </c>
      <c r="J310" s="6">
        <f t="shared" ca="1" si="17"/>
        <v>63.811458045366088</v>
      </c>
    </row>
    <row r="311" spans="4:10" x14ac:dyDescent="0.15">
      <c r="D311" s="195">
        <v>2147</v>
      </c>
      <c r="J311" s="6">
        <f t="shared" ca="1" si="17"/>
        <v>63.86732339607417</v>
      </c>
    </row>
    <row r="312" spans="4:10" x14ac:dyDescent="0.15">
      <c r="D312" s="195">
        <v>2148</v>
      </c>
      <c r="J312" s="6">
        <f t="shared" ca="1" si="17"/>
        <v>63.921434650365519</v>
      </c>
    </row>
    <row r="313" spans="4:10" x14ac:dyDescent="0.15">
      <c r="D313" s="195">
        <v>2149</v>
      </c>
      <c r="J313" s="6">
        <f t="shared" ca="1" si="17"/>
        <v>63.97383367161931</v>
      </c>
    </row>
    <row r="314" spans="4:10" x14ac:dyDescent="0.15">
      <c r="D314" s="195">
        <v>2150</v>
      </c>
      <c r="J314" s="6">
        <f t="shared" ca="1" si="17"/>
        <v>64.024561848172169</v>
      </c>
    </row>
    <row r="315" spans="4:10" x14ac:dyDescent="0.15">
      <c r="D315" s="16"/>
      <c r="J315" s="23"/>
    </row>
    <row r="316" spans="4:10" x14ac:dyDescent="0.15">
      <c r="D316" s="16"/>
      <c r="J316" s="23"/>
    </row>
    <row r="317" spans="4:10" x14ac:dyDescent="0.15">
      <c r="D317" s="16"/>
      <c r="J317" s="23"/>
    </row>
    <row r="318" spans="4:10" x14ac:dyDescent="0.15">
      <c r="D318" s="16"/>
      <c r="J318" s="23"/>
    </row>
    <row r="319" spans="4:10" x14ac:dyDescent="0.15">
      <c r="D319" s="16"/>
      <c r="J319" s="23"/>
    </row>
    <row r="320" spans="4:10" x14ac:dyDescent="0.15">
      <c r="D320" s="16"/>
      <c r="J320" s="23"/>
    </row>
    <row r="321" spans="4:10" x14ac:dyDescent="0.15">
      <c r="D321" s="16"/>
      <c r="J321" s="23"/>
    </row>
    <row r="322" spans="4:10" x14ac:dyDescent="0.15">
      <c r="D322" s="16"/>
      <c r="J322" s="23"/>
    </row>
    <row r="323" spans="4:10" x14ac:dyDescent="0.15">
      <c r="D323" s="16"/>
      <c r="J323" s="23"/>
    </row>
    <row r="324" spans="4:10" x14ac:dyDescent="0.15">
      <c r="D324" s="16"/>
      <c r="J324" s="23"/>
    </row>
    <row r="325" spans="4:10" x14ac:dyDescent="0.15">
      <c r="D325" s="16"/>
      <c r="J325" s="23"/>
    </row>
    <row r="326" spans="4:10" x14ac:dyDescent="0.15">
      <c r="D326" s="16"/>
      <c r="J326" s="23"/>
    </row>
    <row r="327" spans="4:10" x14ac:dyDescent="0.15">
      <c r="D327" s="16"/>
      <c r="J327" s="23"/>
    </row>
    <row r="328" spans="4:10" x14ac:dyDescent="0.15">
      <c r="D328" s="16"/>
      <c r="J328" s="23"/>
    </row>
    <row r="329" spans="4:10" x14ac:dyDescent="0.15">
      <c r="D329" s="16"/>
      <c r="J329" s="23"/>
    </row>
    <row r="330" spans="4:10" x14ac:dyDescent="0.15">
      <c r="D330" s="16"/>
      <c r="J330" s="23"/>
    </row>
    <row r="331" spans="4:10" x14ac:dyDescent="0.15">
      <c r="D331" s="16"/>
      <c r="J331" s="23"/>
    </row>
    <row r="332" spans="4:10" x14ac:dyDescent="0.15">
      <c r="D332" s="16"/>
      <c r="J332" s="23"/>
    </row>
    <row r="333" spans="4:10" x14ac:dyDescent="0.15">
      <c r="D333" s="16"/>
      <c r="J333" s="23"/>
    </row>
    <row r="334" spans="4:10" x14ac:dyDescent="0.15">
      <c r="D334" s="16"/>
      <c r="J334" s="23"/>
    </row>
    <row r="335" spans="4:10" x14ac:dyDescent="0.15">
      <c r="D335" s="16"/>
      <c r="J335" s="23"/>
    </row>
    <row r="336" spans="4:10" x14ac:dyDescent="0.15">
      <c r="D336" s="16"/>
      <c r="J336" s="23"/>
    </row>
    <row r="337" spans="4:10" x14ac:dyDescent="0.15">
      <c r="D337" s="16"/>
      <c r="J337" s="23"/>
    </row>
    <row r="338" spans="4:10" x14ac:dyDescent="0.15">
      <c r="D338" s="16"/>
      <c r="J338" s="23"/>
    </row>
    <row r="339" spans="4:10" x14ac:dyDescent="0.15">
      <c r="D339" s="16"/>
      <c r="J339" s="23"/>
    </row>
    <row r="340" spans="4:10" x14ac:dyDescent="0.15">
      <c r="D340" s="16"/>
      <c r="J340" s="23"/>
    </row>
    <row r="341" spans="4:10" x14ac:dyDescent="0.15">
      <c r="D341" s="16"/>
      <c r="J341" s="23"/>
    </row>
    <row r="342" spans="4:10" x14ac:dyDescent="0.15">
      <c r="D342" s="16"/>
      <c r="J342" s="23"/>
    </row>
    <row r="343" spans="4:10" x14ac:dyDescent="0.15">
      <c r="D343" s="16"/>
      <c r="J343" s="23"/>
    </row>
    <row r="344" spans="4:10" x14ac:dyDescent="0.15">
      <c r="D344" s="16"/>
      <c r="J344" s="23"/>
    </row>
    <row r="345" spans="4:10" x14ac:dyDescent="0.15">
      <c r="D345" s="16"/>
      <c r="J345" s="23"/>
    </row>
    <row r="346" spans="4:10" x14ac:dyDescent="0.15">
      <c r="D346" s="16"/>
      <c r="J346" s="23"/>
    </row>
    <row r="347" spans="4:10" x14ac:dyDescent="0.15">
      <c r="D347" s="16"/>
      <c r="J347" s="23"/>
    </row>
    <row r="348" spans="4:10" x14ac:dyDescent="0.15">
      <c r="D348" s="16"/>
      <c r="J348" s="23"/>
    </row>
    <row r="349" spans="4:10" x14ac:dyDescent="0.15">
      <c r="D349" s="16"/>
      <c r="J349" s="23"/>
    </row>
    <row r="350" spans="4:10" x14ac:dyDescent="0.15">
      <c r="D350" s="16"/>
      <c r="J350" s="23"/>
    </row>
    <row r="351" spans="4:10" x14ac:dyDescent="0.15">
      <c r="D351" s="16"/>
      <c r="J351" s="23"/>
    </row>
    <row r="352" spans="4:10" x14ac:dyDescent="0.15">
      <c r="D352" s="16"/>
      <c r="J352" s="23"/>
    </row>
    <row r="353" spans="4:10" x14ac:dyDescent="0.15">
      <c r="D353" s="16"/>
      <c r="J353" s="23"/>
    </row>
    <row r="354" spans="4:10" x14ac:dyDescent="0.15">
      <c r="D354" s="16"/>
      <c r="J354" s="23"/>
    </row>
    <row r="355" spans="4:10" x14ac:dyDescent="0.15">
      <c r="D355" s="16"/>
      <c r="J355" s="23"/>
    </row>
    <row r="356" spans="4:10" x14ac:dyDescent="0.15">
      <c r="D356" s="16"/>
      <c r="J356" s="23"/>
    </row>
    <row r="357" spans="4:10" x14ac:dyDescent="0.15">
      <c r="D357" s="16"/>
      <c r="J357" s="23"/>
    </row>
    <row r="358" spans="4:10" x14ac:dyDescent="0.15">
      <c r="D358" s="16"/>
      <c r="J358" s="23"/>
    </row>
    <row r="359" spans="4:10" x14ac:dyDescent="0.15">
      <c r="D359" s="16"/>
      <c r="J359" s="23"/>
    </row>
    <row r="360" spans="4:10" x14ac:dyDescent="0.15">
      <c r="D360" s="16"/>
      <c r="J360" s="23"/>
    </row>
    <row r="361" spans="4:10" x14ac:dyDescent="0.15">
      <c r="D361" s="16"/>
      <c r="J361" s="23"/>
    </row>
    <row r="362" spans="4:10" x14ac:dyDescent="0.15">
      <c r="D362" s="16"/>
      <c r="J362" s="23"/>
    </row>
    <row r="363" spans="4:10" x14ac:dyDescent="0.15">
      <c r="D363" s="16"/>
      <c r="J363" s="23"/>
    </row>
    <row r="364" spans="4:10" x14ac:dyDescent="0.15">
      <c r="D364" s="16"/>
      <c r="J364" s="23"/>
    </row>
    <row r="365" spans="4:10" x14ac:dyDescent="0.15">
      <c r="D365" s="16"/>
      <c r="J365" s="23"/>
    </row>
    <row r="366" spans="4:10" x14ac:dyDescent="0.15">
      <c r="D366" s="16"/>
      <c r="J366" s="23"/>
    </row>
    <row r="367" spans="4:10" x14ac:dyDescent="0.15">
      <c r="D367" s="16"/>
      <c r="J367" s="23"/>
    </row>
    <row r="368" spans="4:10" x14ac:dyDescent="0.15">
      <c r="D368" s="16"/>
      <c r="J368" s="23"/>
    </row>
    <row r="369" spans="4:10" x14ac:dyDescent="0.15">
      <c r="D369" s="16"/>
      <c r="J369" s="23"/>
    </row>
    <row r="370" spans="4:10" x14ac:dyDescent="0.15">
      <c r="D370" s="16"/>
      <c r="J370" s="23"/>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8000"/>
  </sheetPr>
  <dimension ref="A1:BF345"/>
  <sheetViews>
    <sheetView topLeftCell="A131" zoomScaleNormal="100" workbookViewId="0">
      <selection activeCell="C179" sqref="C179"/>
    </sheetView>
  </sheetViews>
  <sheetFormatPr baseColWidth="10" defaultColWidth="9.1640625" defaultRowHeight="11" x14ac:dyDescent="0.15"/>
  <cols>
    <col min="1" max="1" width="6.6640625" style="15" customWidth="1"/>
    <col min="2" max="2" width="90.6640625" style="15" customWidth="1"/>
    <col min="3" max="3" width="7.5" style="15" customWidth="1"/>
    <col min="4" max="4" width="4.5" style="15" bestFit="1" customWidth="1"/>
    <col min="5" max="5" width="7.5" style="15" bestFit="1" customWidth="1"/>
    <col min="6" max="6" width="4.83203125" style="15" bestFit="1" customWidth="1"/>
    <col min="7" max="7" width="12.6640625" style="15" bestFit="1" customWidth="1"/>
    <col min="8" max="8" width="8.6640625" style="15" bestFit="1" customWidth="1"/>
    <col min="9" max="9" width="6.5" style="15" bestFit="1" customWidth="1"/>
    <col min="10" max="10" width="4" style="15" bestFit="1" customWidth="1"/>
    <col min="11" max="11" width="5.1640625" style="15" bestFit="1" customWidth="1"/>
    <col min="12" max="12" width="4.5" style="15" bestFit="1" customWidth="1"/>
    <col min="13" max="13" width="8.83203125" style="15" bestFit="1" customWidth="1"/>
    <col min="14" max="14" width="6.83203125" style="15" bestFit="1" customWidth="1"/>
    <col min="15" max="15" width="6.6640625" style="15" bestFit="1" customWidth="1"/>
    <col min="16" max="16" width="7.6640625" style="15" bestFit="1" customWidth="1"/>
    <col min="17" max="17" width="9.5" style="15" bestFit="1" customWidth="1"/>
    <col min="18" max="18" width="5.83203125" style="15" bestFit="1" customWidth="1"/>
    <col min="19" max="19" width="6.5" style="15" bestFit="1" customWidth="1"/>
    <col min="20" max="20" width="11.33203125" style="15" bestFit="1" customWidth="1"/>
    <col min="21" max="22" width="7.1640625" style="15" bestFit="1" customWidth="1"/>
    <col min="23" max="23" width="5.83203125" style="15" bestFit="1" customWidth="1"/>
    <col min="24" max="24" width="6.5" style="15" bestFit="1" customWidth="1"/>
    <col min="25" max="25" width="5.83203125" style="15" bestFit="1" customWidth="1"/>
    <col min="26" max="26" width="4" style="15" bestFit="1" customWidth="1"/>
    <col min="27" max="27" width="9.5" style="15" bestFit="1" customWidth="1"/>
    <col min="28" max="28" width="6.1640625" style="15" bestFit="1" customWidth="1"/>
    <col min="29" max="29" width="5.6640625" style="15" bestFit="1" customWidth="1"/>
    <col min="30" max="30" width="6.6640625" style="15" bestFit="1" customWidth="1"/>
    <col min="31" max="31" width="7" style="15" bestFit="1" customWidth="1"/>
    <col min="32" max="32" width="4.6640625" style="15" bestFit="1" customWidth="1"/>
    <col min="33" max="33" width="6.33203125" style="15" bestFit="1" customWidth="1"/>
    <col min="34" max="34" width="5.5" style="15" bestFit="1" customWidth="1"/>
    <col min="35" max="35" width="6.33203125" style="15" bestFit="1" customWidth="1"/>
    <col min="36" max="36" width="8.1640625" style="15" bestFit="1" customWidth="1"/>
    <col min="37" max="16384" width="9.1640625" style="15"/>
  </cols>
  <sheetData>
    <row r="1" spans="1:58" x14ac:dyDescent="0.15">
      <c r="E1" s="97">
        <f ca="1">RSQ(OFFSET(G$13,E3-D$13,0):OFFSET(G$13,E4-D$13,0),OFFSET(D$13,E3-D$13,0):OFFSET(D$13,E4-D$13,0))</f>
        <v>0.99998546564786528</v>
      </c>
      <c r="F1" s="6">
        <v>45.247493295226754</v>
      </c>
      <c r="G1" s="273" t="s">
        <v>251</v>
      </c>
      <c r="H1" s="23"/>
    </row>
    <row r="2" spans="1:58" x14ac:dyDescent="0.15">
      <c r="E2" s="12">
        <f ca="1" xml:space="preserve"> (- INTERCEPT(OFFSET(G$13,E3-D$13,0):OFFSET(G$13,E4-D$13,0),OFFSET(D$13,E3-D$13,0):OFFSET(D$13,E4-D$13,0)) - LN(9))/SLOPE(OFFSET(G$13,E3-D$13,0):OFFSET(G$13,E4-D$13,0),OFFSET(D$13,E3-D$13,0):OFFSET(D$13,E4-D$13,0))</f>
        <v>1981.2725268002289</v>
      </c>
      <c r="F2" s="12">
        <f ca="1" xml:space="preserve"> (- INTERCEPT(OFFSET(G17,E3-D17,0):OFFSET(G17,E4-D17,0),OFFSET(D17,E3-D17,0):OFFSET(D17,E4-D17,0)) + LN(9))/SLOPE(OFFSET(G17,E3-D17,0):OFFSET(G17,E4-D17,0),OFFSET(D17,E3-D17,0):OFFSET(D17,E4-D17,0))</f>
        <v>2053.9259757998516</v>
      </c>
      <c r="G2" s="273" t="s">
        <v>249</v>
      </c>
      <c r="H2" s="107"/>
    </row>
    <row r="3" spans="1:58" x14ac:dyDescent="0.15">
      <c r="E3" s="3">
        <v>1978</v>
      </c>
      <c r="F3" s="8">
        <f ca="1">(E3-AVERAGE(E$2:F$2))/(F$2-E$2)*LN(81)</f>
        <v>-2.3951635992122893</v>
      </c>
      <c r="G3" s="273" t="s">
        <v>247</v>
      </c>
      <c r="H3" s="6"/>
    </row>
    <row r="4" spans="1:58" x14ac:dyDescent="0.15">
      <c r="E4" s="3">
        <f ca="1">OFFSET(D13,COUNT(E14:E298),0)</f>
        <v>2009</v>
      </c>
      <c r="F4" s="8">
        <f ca="1">(E4-AVERAGE(E$2:F$2))/(F$2-E$2)*LN(81)</f>
        <v>-0.52012634123499679</v>
      </c>
      <c r="G4" s="10"/>
      <c r="H4" s="6"/>
    </row>
    <row r="5" spans="1:58" x14ac:dyDescent="0.15">
      <c r="E5" s="97">
        <f ca="1">RSQ(OFFSET(K$13,E3-D$13,0):OFFSET(K$13,E4-D$13,0),OFFSET(D$13,E3-D$13,0):OFFSET(D$13,E4-D$13,0))</f>
        <v>0.999942676289022</v>
      </c>
      <c r="F5" s="27">
        <v>108.34827548499781</v>
      </c>
      <c r="G5" s="116" t="s">
        <v>73</v>
      </c>
      <c r="H5" s="3"/>
    </row>
    <row r="6" spans="1:58" x14ac:dyDescent="0.15">
      <c r="C6" s="108"/>
      <c r="E6" s="11">
        <f ca="1">RSQ(OFFSET(M$13,E8-D$13,0):OFFSET(M$13,E9-D$13,0),OFFSET(D$13,E8-D$13,0):OFFSET(D$13,E9-D$13,0))</f>
        <v>0.99850991698941804</v>
      </c>
      <c r="F6" s="6">
        <v>3.1953394491452758</v>
      </c>
      <c r="G6" s="116" t="s">
        <v>76</v>
      </c>
      <c r="J6" s="110"/>
    </row>
    <row r="7" spans="1:58" x14ac:dyDescent="0.15">
      <c r="C7" s="108"/>
      <c r="E7" s="12">
        <f ca="1">(-INTERCEPT(OFFSET(M$13,E8-D$13,0):OFFSET(M$13,E9-D$13,0),OFFSET(D$13,E8-D$13,0):OFFSET(D$13,E9-D$13,0))+NORMSINV(0.1))/SLOPE(OFFSET(M$13,E8-D$13,0):OFFSET(M$13,E9-D$13,0),OFFSET(D$13,E8-D$13,0):OFFSET(D$13,E9-D$13,0))</f>
        <v>1885.8249736506207</v>
      </c>
      <c r="F7" s="12">
        <f ca="1">(-INTERCEPT(OFFSET(M$13,E8-D$13,0):OFFSET(M$13,E9-D$13,0),OFFSET(D$13,E8-D$13,0):OFFSET(D$13,E9-D$13,0))+NORMSINV(0.9))/SLOPE(OFFSET(M$13,E8-D$13,0):OFFSET(M$13,E9-D$13,0),OFFSET(D$13,E8-D$13,0):OFFSET(D$13,E9-D$13,0))</f>
        <v>1966.5177110455115</v>
      </c>
      <c r="G7" s="273" t="s">
        <v>176</v>
      </c>
      <c r="H7" s="110"/>
      <c r="J7" s="110"/>
    </row>
    <row r="8" spans="1:58" x14ac:dyDescent="0.15">
      <c r="E8" s="3">
        <v>1918</v>
      </c>
      <c r="F8" s="8">
        <f ca="1">(E8-AVERAGE(E$7:F$7))/(F$7-E$7)*(NORMSINV(0.9)-NORMSINV(0.1))</f>
        <v>-0.25955239385466455</v>
      </c>
      <c r="G8" s="172" t="s">
        <v>81</v>
      </c>
      <c r="H8" s="6"/>
    </row>
    <row r="9" spans="1:58" x14ac:dyDescent="0.15">
      <c r="E9" s="3">
        <v>1967</v>
      </c>
      <c r="F9" s="8">
        <f ca="1">(E9-AVERAGE(E$7:F$7))/(F$7-E$7)*(NORMSINV(0.9)-NORMSINV(0.1))</f>
        <v>1.2968708665033717</v>
      </c>
      <c r="G9" s="10"/>
      <c r="H9" s="6"/>
    </row>
    <row r="10" spans="1:58" x14ac:dyDescent="0.15">
      <c r="E10" s="11">
        <f ca="1">RSQ(OFFSET(P$13,E8-D$13,0):OFFSET(P$13,E9-D$13,0),OFFSET(D$13,E8-D$13,0):OFFSET(D$13,E9-D$13,0))</f>
        <v>0.99845171840911484</v>
      </c>
      <c r="F10" s="8">
        <v>3.3240292359952561</v>
      </c>
      <c r="G10" s="116" t="s">
        <v>77</v>
      </c>
      <c r="H10" s="3"/>
    </row>
    <row r="11" spans="1:58" x14ac:dyDescent="0.15">
      <c r="D11" s="75"/>
      <c r="G11" s="28"/>
    </row>
    <row r="12" spans="1:58" x14ac:dyDescent="0.15">
      <c r="D12" s="75"/>
      <c r="E12" s="17" t="s">
        <v>0</v>
      </c>
      <c r="F12" s="22" t="s">
        <v>1</v>
      </c>
      <c r="G12" s="109" t="s">
        <v>2</v>
      </c>
      <c r="H12" s="209" t="s">
        <v>217</v>
      </c>
      <c r="I12" s="106" t="s">
        <v>20</v>
      </c>
      <c r="J12" s="118" t="s">
        <v>41</v>
      </c>
      <c r="K12" s="112" t="s">
        <v>3</v>
      </c>
      <c r="M12" s="109" t="s">
        <v>69</v>
      </c>
      <c r="N12" s="171" t="s">
        <v>117</v>
      </c>
      <c r="O12" s="171" t="s">
        <v>116</v>
      </c>
      <c r="P12" s="109" t="s">
        <v>70</v>
      </c>
    </row>
    <row r="13" spans="1:58" x14ac:dyDescent="0.15">
      <c r="A13" s="75"/>
      <c r="B13" s="82"/>
      <c r="C13" s="75"/>
      <c r="D13" s="16">
        <v>1818</v>
      </c>
      <c r="E13" s="105"/>
      <c r="F13" s="105">
        <v>0</v>
      </c>
      <c r="G13" s="30"/>
      <c r="H13" s="30"/>
      <c r="I13" s="30"/>
      <c r="J13" s="30"/>
      <c r="K13" s="30"/>
      <c r="M13" s="30"/>
      <c r="N13" s="23"/>
      <c r="O13" s="23"/>
      <c r="P13" s="23"/>
      <c r="Q13" s="22"/>
      <c r="R13" s="22"/>
      <c r="S13" s="22"/>
      <c r="T13" s="22"/>
      <c r="U13" s="22"/>
      <c r="V13" s="22"/>
      <c r="W13" s="22"/>
      <c r="X13" s="22"/>
      <c r="Y13" s="22"/>
      <c r="Z13" s="22"/>
      <c r="AA13" s="22"/>
      <c r="AB13" s="22"/>
      <c r="AC13" s="22"/>
      <c r="AD13" s="22"/>
      <c r="AE13" s="22"/>
      <c r="AF13" s="22"/>
      <c r="AG13" s="22"/>
      <c r="AH13" s="22"/>
      <c r="AI13" s="22"/>
      <c r="AJ13" s="22"/>
      <c r="AL13" s="23"/>
      <c r="AM13" s="23"/>
      <c r="AN13" s="23"/>
      <c r="AO13" s="23"/>
      <c r="AP13" s="23"/>
      <c r="AQ13" s="23"/>
      <c r="AR13" s="23"/>
      <c r="AS13" s="23"/>
      <c r="AT13" s="23"/>
      <c r="AU13" s="23"/>
      <c r="AV13" s="23"/>
      <c r="AW13" s="23"/>
      <c r="AX13" s="23"/>
      <c r="AY13" s="23"/>
      <c r="AZ13" s="23"/>
      <c r="BA13" s="23"/>
      <c r="BB13" s="23"/>
      <c r="BC13" s="23"/>
      <c r="BD13" s="23"/>
      <c r="BE13" s="23"/>
      <c r="BF13" s="23"/>
    </row>
    <row r="14" spans="1:58" x14ac:dyDescent="0.15">
      <c r="A14" s="75"/>
      <c r="B14" s="75"/>
      <c r="C14" s="75"/>
      <c r="D14" s="16">
        <v>1819</v>
      </c>
      <c r="E14" s="19">
        <v>9.0718474076075659E-5</v>
      </c>
      <c r="F14" s="23">
        <f t="shared" ref="F14:F58" si="0">F13+E14/1000</f>
        <v>9.071847407607566E-8</v>
      </c>
      <c r="G14" s="6">
        <f t="shared" ref="G14:G45" si="1" xml:space="preserve"> - LN(F$1/F14 - 1)</f>
        <v>-20.027652087073477</v>
      </c>
      <c r="H14" s="6"/>
      <c r="I14" s="129">
        <f t="shared" ref="I14:I45" ca="1" si="2" xml:space="preserve"> (G14*(F$2-E$2)/LN(81) + AVERAGE(E$2:F$2) - D14)*12</f>
        <v>-1590.2162032130655</v>
      </c>
      <c r="J14" s="6"/>
      <c r="K14" s="6">
        <f t="shared" ref="K14:K45" si="3">NORMSINV(F14/F$5)</f>
        <v>-6.0265879902325787</v>
      </c>
      <c r="M14" s="30">
        <f t="shared" ref="M14:M45" si="4">NORMSINV(F14/F$6)</f>
        <v>-5.4286505267584495</v>
      </c>
      <c r="N14" s="6">
        <f t="shared" ref="N14:N45" ca="1" si="5">(M14*(F$7-E$7)/(NORMSINV(0.9)-NORMSINV(0.1))-(D14-AVERAGE(E$7:F$7)))*12</f>
        <v>-764.82978580533529</v>
      </c>
      <c r="O14" s="6"/>
      <c r="P14" s="6">
        <f t="shared" ref="P14:P45" si="6" xml:space="preserve"> - LN(F$10/F14 - 1)</f>
        <v>-17.416682462346078</v>
      </c>
      <c r="Q14" s="23"/>
      <c r="R14" s="23"/>
      <c r="S14" s="23"/>
      <c r="T14" s="23"/>
      <c r="U14" s="23"/>
      <c r="V14" s="23"/>
      <c r="W14" s="23"/>
      <c r="X14" s="23"/>
      <c r="Y14" s="23"/>
      <c r="Z14" s="23"/>
      <c r="AA14" s="23"/>
      <c r="AB14" s="23"/>
      <c r="AC14" s="23"/>
      <c r="AD14" s="23"/>
      <c r="AE14" s="23"/>
      <c r="AF14" s="23"/>
      <c r="AG14" s="23"/>
      <c r="AH14" s="23"/>
      <c r="AI14" s="23"/>
      <c r="AJ14" s="23"/>
      <c r="AL14" s="23"/>
      <c r="AM14" s="23"/>
      <c r="AN14" s="23"/>
      <c r="AO14" s="23"/>
      <c r="AP14" s="23"/>
      <c r="AQ14" s="23"/>
      <c r="AR14" s="23"/>
      <c r="AS14" s="23"/>
      <c r="AT14" s="23"/>
      <c r="AU14" s="23"/>
      <c r="AV14" s="23"/>
      <c r="AW14" s="23"/>
      <c r="AX14" s="23"/>
      <c r="AY14" s="23"/>
      <c r="AZ14" s="23"/>
      <c r="BA14" s="23"/>
      <c r="BB14" s="23"/>
      <c r="BC14" s="23"/>
      <c r="BD14" s="23"/>
      <c r="BE14" s="23"/>
      <c r="BF14" s="23"/>
    </row>
    <row r="15" spans="1:58" x14ac:dyDescent="0.15">
      <c r="A15" s="75"/>
      <c r="B15" s="75"/>
      <c r="C15" s="75"/>
      <c r="D15" s="16">
        <v>1820</v>
      </c>
      <c r="E15" s="19">
        <v>5.4431084445645398E-4</v>
      </c>
      <c r="F15" s="23">
        <f t="shared" si="0"/>
        <v>6.3502931853252962E-7</v>
      </c>
      <c r="G15" s="6">
        <f t="shared" si="1"/>
        <v>-18.081741925988528</v>
      </c>
      <c r="H15" s="6"/>
      <c r="I15" s="129">
        <f t="shared" ca="1" si="2"/>
        <v>-1216.1552986396337</v>
      </c>
      <c r="J15" s="6"/>
      <c r="K15" s="6">
        <f t="shared" si="3"/>
        <v>-5.7037208141422271</v>
      </c>
      <c r="M15" s="30">
        <f t="shared" si="4"/>
        <v>-5.0701644008807829</v>
      </c>
      <c r="N15" s="6">
        <f t="shared" ca="1" si="5"/>
        <v>-641.39757569587039</v>
      </c>
      <c r="O15" s="6"/>
      <c r="P15" s="6">
        <f t="shared" si="6"/>
        <v>-15.47077214954043</v>
      </c>
      <c r="Q15" s="23"/>
      <c r="R15" s="23"/>
      <c r="S15" s="23"/>
      <c r="T15" s="23"/>
      <c r="U15" s="23"/>
      <c r="V15" s="23"/>
      <c r="W15" s="23"/>
      <c r="X15" s="23"/>
      <c r="Y15" s="23"/>
      <c r="Z15" s="23"/>
      <c r="AA15" s="23"/>
      <c r="AB15" s="23"/>
      <c r="AC15" s="23"/>
      <c r="AD15" s="23"/>
      <c r="AE15" s="23"/>
      <c r="AF15" s="23"/>
      <c r="AG15" s="23"/>
      <c r="AH15" s="23"/>
      <c r="AI15" s="23"/>
      <c r="AJ15" s="23"/>
      <c r="AL15" s="23"/>
      <c r="AM15" s="23"/>
      <c r="AN15" s="23"/>
      <c r="AO15" s="23"/>
      <c r="AP15" s="23"/>
      <c r="AQ15" s="23"/>
      <c r="AR15" s="23"/>
      <c r="AS15" s="23"/>
      <c r="AT15" s="23"/>
      <c r="AU15" s="23"/>
      <c r="AV15" s="23"/>
      <c r="AW15" s="23"/>
      <c r="AX15" s="23"/>
      <c r="AY15" s="23"/>
      <c r="AZ15" s="23"/>
      <c r="BA15" s="23"/>
      <c r="BB15" s="23"/>
      <c r="BC15" s="23"/>
      <c r="BD15" s="23"/>
      <c r="BE15" s="23"/>
      <c r="BF15" s="23"/>
    </row>
    <row r="16" spans="1:58" x14ac:dyDescent="0.15">
      <c r="A16" s="75"/>
      <c r="B16" s="75"/>
      <c r="C16" s="75"/>
      <c r="D16" s="16">
        <v>1821</v>
      </c>
      <c r="E16" s="19">
        <v>9.9790321483683221E-4</v>
      </c>
      <c r="F16" s="23">
        <f t="shared" si="0"/>
        <v>1.6329325333693617E-6</v>
      </c>
      <c r="G16" s="6">
        <f t="shared" si="1"/>
        <v>-17.137280295093344</v>
      </c>
      <c r="H16" s="6"/>
      <c r="I16" s="129">
        <f t="shared" ca="1" si="2"/>
        <v>-1040.7778344328599</v>
      </c>
      <c r="J16" s="6"/>
      <c r="K16" s="6">
        <f t="shared" si="3"/>
        <v>-5.5406082206292702</v>
      </c>
      <c r="M16" s="30">
        <f t="shared" si="4"/>
        <v>-4.8873406895451712</v>
      </c>
      <c r="N16" s="6">
        <f t="shared" ca="1" si="5"/>
        <v>-584.32874011408239</v>
      </c>
      <c r="O16" s="6"/>
      <c r="P16" s="6">
        <f t="shared" si="6"/>
        <v>-14.52631024049056</v>
      </c>
      <c r="Q16" s="23"/>
      <c r="R16" s="23"/>
      <c r="S16" s="23"/>
      <c r="T16" s="23"/>
      <c r="U16" s="23"/>
      <c r="V16" s="23"/>
      <c r="W16" s="23"/>
      <c r="X16" s="23"/>
      <c r="Y16" s="23"/>
      <c r="Z16" s="23"/>
      <c r="AA16" s="23"/>
      <c r="AB16" s="23"/>
      <c r="AC16" s="23"/>
      <c r="AD16" s="23"/>
      <c r="AE16" s="23"/>
      <c r="AF16" s="23"/>
      <c r="AG16" s="23"/>
      <c r="AH16" s="23"/>
      <c r="AI16" s="23"/>
      <c r="AJ16" s="23"/>
    </row>
    <row r="17" spans="1:36" x14ac:dyDescent="0.15">
      <c r="A17" s="75"/>
      <c r="B17" s="75"/>
      <c r="C17" s="75"/>
      <c r="D17" s="16">
        <v>1822</v>
      </c>
      <c r="E17" s="19">
        <v>1.4514955852172105E-3</v>
      </c>
      <c r="F17" s="23">
        <f t="shared" si="0"/>
        <v>3.0844281185865722E-6</v>
      </c>
      <c r="G17" s="6">
        <f t="shared" si="1"/>
        <v>-16.501291496294318</v>
      </c>
      <c r="H17" s="6"/>
      <c r="I17" s="129">
        <f t="shared" ca="1" si="2"/>
        <v>-926.60016401768189</v>
      </c>
      <c r="J17" s="6"/>
      <c r="K17" s="6">
        <f t="shared" si="3"/>
        <v>-5.4281679994765204</v>
      </c>
      <c r="M17" s="30">
        <f t="shared" si="4"/>
        <v>-4.7605585331324862</v>
      </c>
      <c r="N17" s="6">
        <f t="shared" ca="1" si="5"/>
        <v>-548.43180239194237</v>
      </c>
      <c r="O17" s="6"/>
      <c r="P17" s="6">
        <f t="shared" si="6"/>
        <v>-13.890321037102739</v>
      </c>
      <c r="Q17" s="23"/>
      <c r="R17" s="23"/>
      <c r="S17" s="23"/>
      <c r="T17" s="23"/>
      <c r="U17" s="23"/>
      <c r="V17" s="23"/>
      <c r="W17" s="23"/>
      <c r="X17" s="23"/>
      <c r="Y17" s="23"/>
      <c r="Z17" s="23"/>
      <c r="AA17" s="23"/>
      <c r="AB17" s="23"/>
      <c r="AC17" s="23"/>
      <c r="AD17" s="23"/>
      <c r="AE17" s="23"/>
      <c r="AF17" s="23"/>
      <c r="AG17" s="23"/>
      <c r="AH17" s="23"/>
      <c r="AI17" s="23"/>
      <c r="AJ17" s="23"/>
    </row>
    <row r="18" spans="1:36" x14ac:dyDescent="0.15">
      <c r="A18" s="75"/>
      <c r="B18" s="75"/>
      <c r="C18" s="75"/>
      <c r="D18" s="16">
        <v>1823</v>
      </c>
      <c r="E18" s="19">
        <v>1.8143694815215133E-3</v>
      </c>
      <c r="F18" s="23">
        <f t="shared" si="0"/>
        <v>4.8987976001080858E-6</v>
      </c>
      <c r="G18" s="6">
        <f t="shared" si="1"/>
        <v>-16.038667934247417</v>
      </c>
      <c r="H18" s="6"/>
      <c r="I18" s="129">
        <f t="shared" ca="1" si="2"/>
        <v>-846.81747311419713</v>
      </c>
      <c r="J18" s="6"/>
      <c r="K18" s="6">
        <f t="shared" si="3"/>
        <v>-5.3449803400136533</v>
      </c>
      <c r="M18" s="30">
        <f t="shared" si="4"/>
        <v>-4.6663338136563572</v>
      </c>
      <c r="N18" s="6">
        <f t="shared" ca="1" si="5"/>
        <v>-524.83471484956078</v>
      </c>
      <c r="O18" s="6"/>
      <c r="P18" s="6">
        <f t="shared" si="6"/>
        <v>-13.427696969319577</v>
      </c>
      <c r="Q18" s="23"/>
      <c r="R18" s="23"/>
      <c r="S18" s="23"/>
      <c r="T18" s="23"/>
      <c r="U18" s="23"/>
      <c r="V18" s="23"/>
      <c r="W18" s="23"/>
      <c r="X18" s="23"/>
      <c r="Y18" s="23"/>
      <c r="Z18" s="23"/>
      <c r="AA18" s="23"/>
      <c r="AB18" s="23"/>
      <c r="AC18" s="23"/>
      <c r="AD18" s="23"/>
      <c r="AE18" s="23"/>
      <c r="AF18" s="23"/>
      <c r="AG18" s="23"/>
      <c r="AH18" s="23"/>
      <c r="AI18" s="23"/>
      <c r="AJ18" s="23"/>
    </row>
    <row r="19" spans="1:36" x14ac:dyDescent="0.15">
      <c r="A19" s="75"/>
      <c r="B19" s="75"/>
      <c r="C19" s="75"/>
      <c r="D19" s="16">
        <v>1824</v>
      </c>
      <c r="E19" s="19">
        <v>2.2679618519018912E-3</v>
      </c>
      <c r="F19" s="23">
        <f t="shared" si="0"/>
        <v>7.1667594520099776E-6</v>
      </c>
      <c r="G19" s="6">
        <f t="shared" si="1"/>
        <v>-15.658204078221182</v>
      </c>
      <c r="H19" s="6"/>
      <c r="I19" s="129">
        <f t="shared" ca="1" si="2"/>
        <v>-783.33494398598123</v>
      </c>
      <c r="J19" s="6"/>
      <c r="K19" s="6">
        <f t="shared" si="3"/>
        <v>-5.2756433406143044</v>
      </c>
      <c r="M19" s="30">
        <f t="shared" si="4"/>
        <v>-4.5875044910486107</v>
      </c>
      <c r="N19" s="6">
        <f t="shared" ca="1" si="5"/>
        <v>-507.05384297882574</v>
      </c>
      <c r="O19" s="6"/>
      <c r="P19" s="6">
        <f t="shared" si="6"/>
        <v>-13.047232481122599</v>
      </c>
      <c r="Q19" s="23"/>
      <c r="R19" s="23"/>
      <c r="S19" s="23"/>
      <c r="T19" s="23"/>
      <c r="U19" s="23"/>
      <c r="V19" s="23"/>
      <c r="W19" s="23"/>
      <c r="X19" s="23"/>
      <c r="Y19" s="23"/>
      <c r="Z19" s="23"/>
      <c r="AA19" s="23"/>
      <c r="AB19" s="23"/>
      <c r="AC19" s="23"/>
      <c r="AD19" s="23"/>
      <c r="AE19" s="23"/>
      <c r="AF19" s="23"/>
      <c r="AG19" s="23"/>
      <c r="AH19" s="23"/>
      <c r="AI19" s="23"/>
      <c r="AJ19" s="23"/>
    </row>
    <row r="20" spans="1:36" x14ac:dyDescent="0.15">
      <c r="A20" s="75"/>
      <c r="B20" s="75"/>
      <c r="C20" s="75"/>
      <c r="D20" s="16">
        <v>1825</v>
      </c>
      <c r="E20" s="19">
        <v>2.7215542222822696E-3</v>
      </c>
      <c r="F20" s="23">
        <f t="shared" si="0"/>
        <v>9.8883136742922468E-6</v>
      </c>
      <c r="G20" s="6">
        <f t="shared" si="1"/>
        <v>-15.336303988310872</v>
      </c>
      <c r="H20" s="6"/>
      <c r="I20" s="129">
        <f t="shared" ca="1" si="2"/>
        <v>-731.47123517850196</v>
      </c>
      <c r="J20" s="6"/>
      <c r="K20" s="6">
        <f t="shared" si="3"/>
        <v>-5.2163042171607241</v>
      </c>
      <c r="M20" s="30">
        <f t="shared" si="4"/>
        <v>-4.5198204436873759</v>
      </c>
      <c r="N20" s="6">
        <f t="shared" ca="1" si="5"/>
        <v>-493.48353645484644</v>
      </c>
      <c r="O20" s="6"/>
      <c r="P20" s="6">
        <f t="shared" si="6"/>
        <v>-12.725331632606787</v>
      </c>
      <c r="Q20" s="23"/>
      <c r="R20" s="23"/>
      <c r="S20" s="23"/>
      <c r="T20" s="23"/>
      <c r="U20" s="23"/>
      <c r="V20" s="23"/>
      <c r="W20" s="23"/>
      <c r="X20" s="23"/>
      <c r="Y20" s="23"/>
      <c r="Z20" s="23"/>
      <c r="AA20" s="23"/>
      <c r="AB20" s="23"/>
      <c r="AC20" s="23"/>
      <c r="AD20" s="23"/>
      <c r="AE20" s="23"/>
      <c r="AF20" s="23"/>
      <c r="AG20" s="23"/>
      <c r="AH20" s="23"/>
      <c r="AI20" s="23"/>
      <c r="AJ20" s="23"/>
    </row>
    <row r="21" spans="1:36" x14ac:dyDescent="0.15">
      <c r="A21" s="75"/>
      <c r="B21" s="75"/>
      <c r="C21" s="75"/>
      <c r="D21" s="16">
        <v>1826</v>
      </c>
      <c r="E21" s="19">
        <v>3.1751465926626483E-3</v>
      </c>
      <c r="F21" s="23">
        <f t="shared" si="0"/>
        <v>1.3063460266954895E-5</v>
      </c>
      <c r="G21" s="6">
        <f t="shared" si="1"/>
        <v>-15.057838500791124</v>
      </c>
      <c r="H21" s="6"/>
      <c r="I21" s="129">
        <f t="shared" ca="1" si="2"/>
        <v>-688.22478025253804</v>
      </c>
      <c r="J21" s="6"/>
      <c r="K21" s="6">
        <f t="shared" si="3"/>
        <v>-5.1644566786959665</v>
      </c>
      <c r="M21" s="30">
        <f t="shared" si="4"/>
        <v>-4.4605077231685595</v>
      </c>
      <c r="N21" s="6">
        <f t="shared" ca="1" si="5"/>
        <v>-483.07582734810808</v>
      </c>
      <c r="O21" s="6"/>
      <c r="P21" s="6">
        <f t="shared" si="6"/>
        <v>-12.446865260046444</v>
      </c>
      <c r="Q21" s="23"/>
      <c r="R21" s="23"/>
      <c r="S21" s="23"/>
      <c r="T21" s="23"/>
      <c r="U21" s="23"/>
      <c r="V21" s="23"/>
      <c r="W21" s="23"/>
      <c r="X21" s="23"/>
      <c r="Y21" s="23"/>
      <c r="Z21" s="23"/>
      <c r="AA21" s="23"/>
      <c r="AB21" s="23"/>
      <c r="AC21" s="23"/>
      <c r="AD21" s="23"/>
      <c r="AE21" s="23"/>
      <c r="AF21" s="23"/>
      <c r="AG21" s="23"/>
      <c r="AH21" s="23"/>
      <c r="AI21" s="23"/>
      <c r="AJ21" s="23"/>
    </row>
    <row r="22" spans="1:36" x14ac:dyDescent="0.15">
      <c r="D22" s="16">
        <v>1827</v>
      </c>
      <c r="E22" s="19">
        <v>3.6287389630430267E-3</v>
      </c>
      <c r="F22" s="23">
        <f t="shared" si="0"/>
        <v>1.6692199229997922E-5</v>
      </c>
      <c r="G22" s="6">
        <f t="shared" si="1"/>
        <v>-14.812715962560544</v>
      </c>
      <c r="H22" s="6"/>
      <c r="I22" s="129">
        <f t="shared" ca="1" si="2"/>
        <v>-651.59343501722287</v>
      </c>
      <c r="J22" s="6"/>
      <c r="K22" s="6">
        <f t="shared" si="3"/>
        <v>-5.1184106303053101</v>
      </c>
      <c r="M22" s="30">
        <f t="shared" si="4"/>
        <v>-4.407691093362927</v>
      </c>
      <c r="N22" s="6">
        <f t="shared" ca="1" si="5"/>
        <v>-475.12227157911536</v>
      </c>
      <c r="O22" s="6"/>
      <c r="P22" s="6">
        <f t="shared" si="6"/>
        <v>-12.201741710339785</v>
      </c>
      <c r="Q22" s="23"/>
      <c r="R22" s="23"/>
      <c r="S22" s="23"/>
      <c r="T22" s="23"/>
      <c r="U22" s="23"/>
      <c r="V22" s="23"/>
      <c r="W22" s="23"/>
      <c r="X22" s="23"/>
      <c r="Y22" s="23"/>
      <c r="Z22" s="23"/>
      <c r="AA22" s="23"/>
      <c r="AB22" s="23"/>
      <c r="AC22" s="23"/>
      <c r="AD22" s="23"/>
      <c r="AE22" s="23"/>
      <c r="AF22" s="23"/>
      <c r="AG22" s="23"/>
      <c r="AH22" s="23"/>
      <c r="AI22" s="23"/>
      <c r="AJ22" s="23"/>
    </row>
    <row r="23" spans="1:36" x14ac:dyDescent="0.15">
      <c r="D23" s="16">
        <v>1828</v>
      </c>
      <c r="E23" s="19">
        <v>4.082331333423405E-3</v>
      </c>
      <c r="F23" s="23">
        <f t="shared" si="0"/>
        <v>2.0774530563421327E-5</v>
      </c>
      <c r="G23" s="6">
        <f t="shared" si="1"/>
        <v>-14.593929626392987</v>
      </c>
      <c r="H23" s="6"/>
      <c r="I23" s="129">
        <f t="shared" ca="1" si="2"/>
        <v>-620.18708844567118</v>
      </c>
      <c r="J23" s="6"/>
      <c r="K23" s="6">
        <f t="shared" si="3"/>
        <v>-5.0769821399664661</v>
      </c>
      <c r="M23" s="30">
        <f t="shared" si="4"/>
        <v>-4.3600542639856652</v>
      </c>
      <c r="N23" s="6">
        <f t="shared" ca="1" si="5"/>
        <v>-469.12558880826896</v>
      </c>
      <c r="O23" s="6"/>
      <c r="P23" s="6">
        <f t="shared" si="6"/>
        <v>-11.982954236260225</v>
      </c>
      <c r="Q23" s="23"/>
      <c r="R23" s="23"/>
      <c r="S23" s="23"/>
      <c r="T23" s="23"/>
      <c r="U23" s="23"/>
      <c r="V23" s="23"/>
      <c r="W23" s="23"/>
      <c r="X23" s="23"/>
      <c r="Y23" s="23"/>
      <c r="Z23" s="23"/>
      <c r="AA23" s="23"/>
      <c r="AB23" s="23"/>
      <c r="AC23" s="23"/>
      <c r="AD23" s="23"/>
      <c r="AE23" s="23"/>
      <c r="AF23" s="23"/>
      <c r="AG23" s="23"/>
      <c r="AH23" s="23"/>
      <c r="AI23" s="23"/>
      <c r="AJ23" s="23"/>
    </row>
    <row r="24" spans="1:36" x14ac:dyDescent="0.15">
      <c r="D24" s="16">
        <v>1829</v>
      </c>
      <c r="E24" s="19">
        <v>4.5359237038037825E-3</v>
      </c>
      <c r="F24" s="23">
        <f t="shared" si="0"/>
        <v>2.531045426722511E-5</v>
      </c>
      <c r="G24" s="6">
        <f t="shared" si="1"/>
        <v>-14.39643974787885</v>
      </c>
      <c r="H24" s="6"/>
      <c r="I24" s="129">
        <f t="shared" ca="1" si="2"/>
        <v>-593.00587511527101</v>
      </c>
      <c r="J24" s="6"/>
      <c r="K24" s="6">
        <f t="shared" si="3"/>
        <v>-5.0393131577077765</v>
      </c>
      <c r="M24" s="30">
        <f t="shared" si="4"/>
        <v>-4.3166416025108116</v>
      </c>
      <c r="N24" s="6">
        <f t="shared" ca="1" si="5"/>
        <v>-464.72475132570514</v>
      </c>
      <c r="O24" s="6"/>
      <c r="P24" s="6">
        <f t="shared" si="6"/>
        <v>-11.785463093397656</v>
      </c>
      <c r="Q24" s="23"/>
      <c r="R24" s="23"/>
      <c r="S24" s="23"/>
      <c r="T24" s="23"/>
      <c r="U24" s="23"/>
      <c r="V24" s="23"/>
      <c r="W24" s="23"/>
      <c r="X24" s="23"/>
      <c r="Y24" s="23"/>
      <c r="Z24" s="23"/>
      <c r="AA24" s="23"/>
      <c r="AB24" s="23"/>
      <c r="AC24" s="23"/>
      <c r="AD24" s="23"/>
      <c r="AE24" s="23"/>
      <c r="AF24" s="23"/>
      <c r="AG24" s="23"/>
      <c r="AH24" s="23"/>
      <c r="AI24" s="23"/>
      <c r="AJ24" s="23"/>
    </row>
    <row r="25" spans="1:36" x14ac:dyDescent="0.15">
      <c r="D25" s="16">
        <v>1830</v>
      </c>
      <c r="E25" s="19">
        <v>4.9895160741841608E-3</v>
      </c>
      <c r="F25" s="23">
        <f t="shared" si="0"/>
        <v>3.029997034140927E-5</v>
      </c>
      <c r="G25" s="6">
        <f t="shared" si="1"/>
        <v>-14.216510426451789</v>
      </c>
      <c r="H25" s="6"/>
      <c r="I25" s="129">
        <f t="shared" ca="1" si="2"/>
        <v>-569.30860708174168</v>
      </c>
      <c r="J25" s="6"/>
      <c r="K25" s="6">
        <f t="shared" si="3"/>
        <v>-5.0047633758732646</v>
      </c>
      <c r="M25" s="30">
        <f t="shared" si="4"/>
        <v>-4.2767388899405212</v>
      </c>
      <c r="N25" s="6">
        <f t="shared" ca="1" si="5"/>
        <v>-461.6499348609774</v>
      </c>
      <c r="O25" s="6"/>
      <c r="P25" s="6">
        <f t="shared" si="6"/>
        <v>-11.605532381185183</v>
      </c>
      <c r="Q25" s="23"/>
      <c r="R25" s="23"/>
      <c r="S25" s="23"/>
      <c r="T25" s="23"/>
      <c r="U25" s="23"/>
      <c r="V25" s="23"/>
      <c r="W25" s="23"/>
      <c r="X25" s="23"/>
      <c r="Y25" s="23"/>
      <c r="Z25" s="23"/>
      <c r="AA25" s="23"/>
      <c r="AB25" s="23"/>
      <c r="AC25" s="23"/>
      <c r="AD25" s="23"/>
      <c r="AE25" s="23"/>
      <c r="AF25" s="23"/>
      <c r="AG25" s="23"/>
      <c r="AH25" s="23"/>
      <c r="AI25" s="23"/>
      <c r="AJ25" s="23"/>
    </row>
    <row r="26" spans="1:36" x14ac:dyDescent="0.15">
      <c r="D26" s="16">
        <v>1831</v>
      </c>
      <c r="E26" s="19">
        <v>5.4431084445645391E-3</v>
      </c>
      <c r="F26" s="23">
        <f t="shared" si="0"/>
        <v>3.5743078785973811E-5</v>
      </c>
      <c r="G26" s="6">
        <f t="shared" si="1"/>
        <v>-14.051300389834115</v>
      </c>
      <c r="H26" s="6"/>
      <c r="I26" s="129">
        <f t="shared" ca="1" si="2"/>
        <v>-548.53158712637742</v>
      </c>
      <c r="J26" s="6"/>
      <c r="K26" s="6">
        <f t="shared" si="3"/>
        <v>-4.972842913897825</v>
      </c>
      <c r="M26" s="30">
        <f t="shared" si="4"/>
        <v>-4.2397989458541216</v>
      </c>
      <c r="N26" s="6">
        <f t="shared" ca="1" si="5"/>
        <v>-459.69442052498232</v>
      </c>
      <c r="O26" s="6"/>
      <c r="P26" s="6">
        <f t="shared" si="6"/>
        <v>-11.440320827344502</v>
      </c>
      <c r="Q26" s="23"/>
      <c r="R26" s="23"/>
      <c r="S26" s="23"/>
      <c r="T26" s="23"/>
      <c r="U26" s="23"/>
      <c r="V26" s="23"/>
      <c r="W26" s="23"/>
      <c r="X26" s="23"/>
      <c r="Y26" s="23"/>
      <c r="Z26" s="23"/>
      <c r="AA26" s="23"/>
      <c r="AB26" s="23"/>
      <c r="AC26" s="23"/>
      <c r="AD26" s="23"/>
      <c r="AE26" s="23"/>
      <c r="AF26" s="23"/>
      <c r="AG26" s="23"/>
      <c r="AH26" s="23"/>
      <c r="AI26" s="23"/>
      <c r="AJ26" s="23"/>
    </row>
    <row r="27" spans="1:36" x14ac:dyDescent="0.15">
      <c r="D27" s="16">
        <v>1832</v>
      </c>
      <c r="E27" s="19">
        <v>5.8967008149449184E-3</v>
      </c>
      <c r="F27" s="23">
        <f t="shared" si="0"/>
        <v>4.1639779600918732E-5</v>
      </c>
      <c r="G27" s="6">
        <f t="shared" si="1"/>
        <v>-13.898600958750341</v>
      </c>
      <c r="H27" s="6"/>
      <c r="I27" s="129">
        <f t="shared" ca="1" si="2"/>
        <v>-530.23662198822149</v>
      </c>
      <c r="J27" s="6"/>
      <c r="K27" s="6">
        <f t="shared" si="3"/>
        <v>-4.9431688996119245</v>
      </c>
      <c r="M27" s="30">
        <f t="shared" si="4"/>
        <v>-4.2053935772853865</v>
      </c>
      <c r="N27" s="6">
        <f t="shared" ca="1" si="5"/>
        <v>-458.69644161160954</v>
      </c>
      <c r="O27" s="6"/>
      <c r="P27" s="6">
        <f t="shared" si="6"/>
        <v>-11.287619752599463</v>
      </c>
      <c r="Q27" s="23"/>
      <c r="R27" s="23"/>
      <c r="S27" s="23"/>
      <c r="T27" s="23"/>
      <c r="U27" s="23"/>
      <c r="V27" s="23"/>
      <c r="W27" s="23"/>
      <c r="X27" s="23"/>
      <c r="Y27" s="23"/>
      <c r="Z27" s="23"/>
      <c r="AA27" s="23"/>
      <c r="AB27" s="23"/>
      <c r="AC27" s="23"/>
      <c r="AD27" s="23"/>
      <c r="AE27" s="23"/>
      <c r="AF27" s="23"/>
      <c r="AG27" s="23"/>
      <c r="AH27" s="23"/>
      <c r="AI27" s="23"/>
      <c r="AJ27" s="23"/>
    </row>
    <row r="28" spans="1:36" x14ac:dyDescent="0.15">
      <c r="D28" s="16">
        <v>1833</v>
      </c>
      <c r="E28" s="19">
        <v>6.3502931853252967E-3</v>
      </c>
      <c r="F28" s="23">
        <f t="shared" si="0"/>
        <v>4.7990072786244025E-5</v>
      </c>
      <c r="G28" s="6">
        <f t="shared" si="1"/>
        <v>-13.756662596606704</v>
      </c>
      <c r="H28" s="6"/>
      <c r="I28" s="129">
        <f t="shared" ca="1" si="2"/>
        <v>-514.07661050429488</v>
      </c>
      <c r="J28" s="6"/>
      <c r="K28" s="6">
        <f t="shared" si="3"/>
        <v>-4.9154365482820461</v>
      </c>
      <c r="M28" s="30">
        <f t="shared" si="4"/>
        <v>-4.1731815268394135</v>
      </c>
      <c r="N28" s="6">
        <f t="shared" ca="1" si="5"/>
        <v>-458.52707474036731</v>
      </c>
      <c r="O28" s="6"/>
      <c r="P28" s="6">
        <f t="shared" si="6"/>
        <v>-11.145679620355576</v>
      </c>
      <c r="Q28" s="23"/>
      <c r="R28" s="23"/>
      <c r="S28" s="23"/>
      <c r="T28" s="23"/>
      <c r="U28" s="23"/>
      <c r="V28" s="23"/>
      <c r="W28" s="23"/>
      <c r="X28" s="23"/>
      <c r="Y28" s="23"/>
      <c r="Z28" s="23"/>
      <c r="AA28" s="23"/>
      <c r="AB28" s="23"/>
      <c r="AC28" s="23"/>
      <c r="AD28" s="23"/>
      <c r="AE28" s="23"/>
      <c r="AF28" s="23"/>
      <c r="AG28" s="23"/>
      <c r="AH28" s="23"/>
      <c r="AI28" s="23"/>
      <c r="AJ28" s="23"/>
    </row>
    <row r="29" spans="1:36" x14ac:dyDescent="0.15">
      <c r="D29" s="16">
        <v>1834</v>
      </c>
      <c r="E29" s="19">
        <v>6.803885555705675E-3</v>
      </c>
      <c r="F29" s="23">
        <f t="shared" si="0"/>
        <v>5.4793958341949704E-5</v>
      </c>
      <c r="G29" s="6">
        <f t="shared" si="1"/>
        <v>-13.624076680159575</v>
      </c>
      <c r="H29" s="6"/>
      <c r="I29" s="129">
        <f t="shared" ca="1" si="2"/>
        <v>-499.77208737629098</v>
      </c>
      <c r="J29" s="6"/>
      <c r="K29" s="6">
        <f t="shared" si="3"/>
        <v>-4.88939933975968</v>
      </c>
      <c r="M29" s="30">
        <f t="shared" si="4"/>
        <v>-4.1428864763938043</v>
      </c>
      <c r="N29" s="6">
        <f t="shared" ca="1" si="5"/>
        <v>-459.08192989080999</v>
      </c>
      <c r="O29" s="6"/>
      <c r="P29" s="6">
        <f t="shared" si="6"/>
        <v>-11.013091807368438</v>
      </c>
      <c r="Q29" s="23"/>
      <c r="R29" s="23"/>
      <c r="S29" s="23"/>
      <c r="T29" s="23"/>
      <c r="U29" s="23"/>
      <c r="V29" s="23"/>
      <c r="W29" s="23"/>
      <c r="X29" s="23"/>
      <c r="Y29" s="23"/>
      <c r="Z29" s="23"/>
      <c r="AA29" s="23"/>
      <c r="AB29" s="23"/>
      <c r="AC29" s="23"/>
      <c r="AD29" s="23"/>
      <c r="AE29" s="23"/>
      <c r="AF29" s="23"/>
      <c r="AG29" s="23"/>
      <c r="AH29" s="23"/>
      <c r="AI29" s="23"/>
      <c r="AJ29" s="23"/>
    </row>
    <row r="30" spans="1:36" x14ac:dyDescent="0.15">
      <c r="D30" s="16">
        <v>1835</v>
      </c>
      <c r="E30" s="19">
        <v>7.2574779260860534E-3</v>
      </c>
      <c r="F30" s="23">
        <f t="shared" si="0"/>
        <v>6.2051436268035755E-5</v>
      </c>
      <c r="G30" s="6">
        <f t="shared" si="1"/>
        <v>-13.499692800076495</v>
      </c>
      <c r="H30" s="6"/>
      <c r="I30" s="129">
        <f t="shared" ca="1" si="2"/>
        <v>-487.09481592792417</v>
      </c>
      <c r="J30" s="6"/>
      <c r="K30" s="6">
        <f t="shared" si="3"/>
        <v>-4.8648550835739686</v>
      </c>
      <c r="M30" s="30">
        <f t="shared" si="4"/>
        <v>-4.1142815669129762</v>
      </c>
      <c r="N30" s="6">
        <f t="shared" ca="1" si="5"/>
        <v>-460.27530215456193</v>
      </c>
      <c r="O30" s="6"/>
      <c r="P30" s="6">
        <f t="shared" si="6"/>
        <v>-10.888705904304755</v>
      </c>
      <c r="Q30" s="23"/>
      <c r="R30" s="23"/>
      <c r="S30" s="23"/>
      <c r="T30" s="23"/>
      <c r="U30" s="23"/>
      <c r="V30" s="23"/>
      <c r="W30" s="23"/>
      <c r="X30" s="23"/>
      <c r="Y30" s="23"/>
      <c r="Z30" s="23"/>
      <c r="AA30" s="23"/>
      <c r="AB30" s="23"/>
      <c r="AC30" s="23"/>
      <c r="AD30" s="23"/>
      <c r="AE30" s="23"/>
      <c r="AF30" s="23"/>
      <c r="AG30" s="23"/>
      <c r="AH30" s="23"/>
      <c r="AI30" s="23"/>
      <c r="AJ30" s="23"/>
    </row>
    <row r="31" spans="1:36" x14ac:dyDescent="0.15">
      <c r="D31" s="16">
        <v>1836</v>
      </c>
      <c r="E31" s="19">
        <v>7.7110702964664317E-3</v>
      </c>
      <c r="F31" s="23">
        <f t="shared" si="0"/>
        <v>6.9762506564502192E-5</v>
      </c>
      <c r="G31" s="6">
        <f t="shared" si="1"/>
        <v>-13.38255957777332</v>
      </c>
      <c r="H31" s="6"/>
      <c r="I31" s="129">
        <f t="shared" ca="1" si="2"/>
        <v>-475.85604639873327</v>
      </c>
      <c r="J31" s="6"/>
      <c r="K31" s="6">
        <f t="shared" si="3"/>
        <v>-4.8416359012319408</v>
      </c>
      <c r="M31" s="30">
        <f t="shared" si="4"/>
        <v>-4.0871782584224228</v>
      </c>
      <c r="N31" s="6">
        <f t="shared" ca="1" si="5"/>
        <v>-462.0359631531777</v>
      </c>
      <c r="O31" s="6"/>
      <c r="P31" s="6">
        <f t="shared" si="6"/>
        <v>-10.771570532579492</v>
      </c>
      <c r="Q31" s="23"/>
      <c r="R31" s="23"/>
      <c r="S31" s="23"/>
      <c r="T31" s="23"/>
      <c r="U31" s="23"/>
      <c r="V31" s="23"/>
      <c r="W31" s="23"/>
      <c r="X31" s="23"/>
      <c r="Y31" s="23"/>
      <c r="Z31" s="23"/>
      <c r="AA31" s="23"/>
      <c r="AB31" s="23"/>
      <c r="AC31" s="23"/>
      <c r="AD31" s="23"/>
      <c r="AE31" s="23"/>
      <c r="AF31" s="23"/>
      <c r="AG31" s="23"/>
      <c r="AH31" s="23"/>
      <c r="AI31" s="23"/>
      <c r="AJ31" s="23"/>
    </row>
    <row r="32" spans="1:36" x14ac:dyDescent="0.15">
      <c r="D32" s="16">
        <v>1837</v>
      </c>
      <c r="E32" s="19">
        <v>8.16466266684681E-3</v>
      </c>
      <c r="F32" s="23">
        <f t="shared" si="0"/>
        <v>7.7927169231349001E-5</v>
      </c>
      <c r="G32" s="6">
        <f t="shared" si="1"/>
        <v>-13.271881444849884</v>
      </c>
      <c r="H32" s="6"/>
      <c r="I32" s="129">
        <f t="shared" ca="1" si="2"/>
        <v>-465.8979411545024</v>
      </c>
      <c r="J32" s="6"/>
      <c r="K32" s="6">
        <f t="shared" si="3"/>
        <v>-4.8196008798641268</v>
      </c>
      <c r="M32" s="30">
        <f t="shared" si="4"/>
        <v>-4.0614181528623714</v>
      </c>
      <c r="N32" s="6">
        <f t="shared" ca="1" si="5"/>
        <v>-464.30407180003374</v>
      </c>
      <c r="O32" s="6"/>
      <c r="P32" s="6">
        <f t="shared" si="6"/>
        <v>-10.660890123791543</v>
      </c>
      <c r="Q32" s="23"/>
      <c r="R32" s="23"/>
      <c r="S32" s="23"/>
      <c r="T32" s="23"/>
      <c r="U32" s="23"/>
      <c r="V32" s="23"/>
      <c r="W32" s="23"/>
      <c r="X32" s="23"/>
      <c r="Y32" s="23"/>
      <c r="Z32" s="23"/>
      <c r="AA32" s="23"/>
      <c r="AB32" s="23"/>
      <c r="AC32" s="23"/>
      <c r="AD32" s="23"/>
      <c r="AE32" s="23"/>
      <c r="AF32" s="23"/>
      <c r="AG32" s="23"/>
      <c r="AH32" s="23"/>
      <c r="AI32" s="23"/>
      <c r="AJ32" s="23"/>
    </row>
    <row r="33" spans="4:36" x14ac:dyDescent="0.15">
      <c r="D33" s="16">
        <v>1838</v>
      </c>
      <c r="E33" s="19">
        <v>8.6182550372271866E-3</v>
      </c>
      <c r="F33" s="23">
        <f t="shared" si="0"/>
        <v>8.6545424268576182E-5</v>
      </c>
      <c r="G33" s="6">
        <f t="shared" si="1"/>
        <v>-13.166986504916279</v>
      </c>
      <c r="H33" s="6"/>
      <c r="I33" s="129">
        <f t="shared" ca="1" si="2"/>
        <v>-457.08719860030124</v>
      </c>
      <c r="J33" s="6"/>
      <c r="K33" s="6">
        <f t="shared" si="3"/>
        <v>-4.7986305883982308</v>
      </c>
      <c r="M33" s="30">
        <f t="shared" si="4"/>
        <v>-4.0368668847124844</v>
      </c>
      <c r="N33" s="6">
        <f t="shared" ca="1" si="5"/>
        <v>-467.02886624392272</v>
      </c>
      <c r="O33" s="6"/>
      <c r="P33" s="6">
        <f t="shared" si="6"/>
        <v>-10.555992781549998</v>
      </c>
      <c r="Q33" s="23"/>
      <c r="R33" s="23"/>
      <c r="S33" s="23"/>
      <c r="T33" s="23"/>
      <c r="U33" s="23"/>
      <c r="V33" s="23"/>
      <c r="W33" s="23"/>
      <c r="X33" s="23"/>
      <c r="Y33" s="23"/>
      <c r="Z33" s="23"/>
      <c r="AA33" s="23"/>
      <c r="AB33" s="23"/>
      <c r="AC33" s="23"/>
      <c r="AD33" s="23"/>
      <c r="AE33" s="23"/>
      <c r="AF33" s="23"/>
      <c r="AG33" s="23"/>
      <c r="AH33" s="23"/>
      <c r="AI33" s="23"/>
      <c r="AJ33" s="23"/>
    </row>
    <row r="34" spans="4:36" x14ac:dyDescent="0.15">
      <c r="D34" s="16">
        <v>1839</v>
      </c>
      <c r="E34" s="19">
        <v>9.162565881683642E-3</v>
      </c>
      <c r="F34" s="23">
        <f t="shared" si="0"/>
        <v>9.5707990150259821E-5</v>
      </c>
      <c r="G34" s="6">
        <f t="shared" si="1"/>
        <v>-13.066353927955129</v>
      </c>
      <c r="H34" s="6"/>
      <c r="I34" s="129">
        <f t="shared" ca="1" si="2"/>
        <v>-449.12209205626914</v>
      </c>
      <c r="J34" s="6"/>
      <c r="K34" s="6">
        <f t="shared" si="3"/>
        <v>-4.7784322079770831</v>
      </c>
      <c r="M34" s="30">
        <f t="shared" si="4"/>
        <v>-4.0131857334871386</v>
      </c>
      <c r="N34" s="6">
        <f t="shared" ca="1" si="5"/>
        <v>-470.08238152144412</v>
      </c>
      <c r="O34" s="6"/>
      <c r="P34" s="6">
        <f t="shared" si="6"/>
        <v>-10.455357650548862</v>
      </c>
      <c r="Q34" s="23"/>
      <c r="R34" s="23"/>
      <c r="S34" s="23"/>
      <c r="T34" s="23"/>
      <c r="U34" s="23"/>
      <c r="V34" s="23"/>
      <c r="W34" s="23"/>
      <c r="X34" s="23"/>
      <c r="Y34" s="23"/>
      <c r="Z34" s="23"/>
      <c r="AA34" s="23"/>
      <c r="AB34" s="23"/>
      <c r="AC34" s="23"/>
      <c r="AD34" s="23"/>
      <c r="AE34" s="23"/>
      <c r="AF34" s="23"/>
      <c r="AG34" s="23"/>
      <c r="AH34" s="23"/>
      <c r="AI34" s="23"/>
      <c r="AJ34" s="23"/>
    </row>
    <row r="35" spans="4:36" x14ac:dyDescent="0.15">
      <c r="D35" s="16">
        <v>1840</v>
      </c>
      <c r="E35" s="19">
        <v>1.1786144151963751E-2</v>
      </c>
      <c r="F35" s="23">
        <f t="shared" si="0"/>
        <v>1.0749413430222357E-4</v>
      </c>
      <c r="G35" s="6">
        <f t="shared" si="1"/>
        <v>-12.950219172641239</v>
      </c>
      <c r="H35" s="6"/>
      <c r="I35" s="129">
        <f t="shared" ca="1" si="2"/>
        <v>-438.0814144414835</v>
      </c>
      <c r="J35" s="6"/>
      <c r="K35" s="6">
        <f t="shared" si="3"/>
        <v>-4.755023493323046</v>
      </c>
      <c r="M35" s="30">
        <f t="shared" si="4"/>
        <v>-3.9856987734944207</v>
      </c>
      <c r="N35" s="6">
        <f t="shared" ca="1" si="5"/>
        <v>-471.69810310093266</v>
      </c>
      <c r="O35" s="6"/>
      <c r="P35" s="6">
        <f t="shared" si="6"/>
        <v>-10.33921960986866</v>
      </c>
      <c r="Q35" s="23"/>
      <c r="R35" s="23"/>
      <c r="S35" s="23"/>
      <c r="T35" s="23"/>
      <c r="U35" s="23"/>
      <c r="V35" s="23"/>
      <c r="W35" s="23"/>
      <c r="X35" s="23"/>
      <c r="Y35" s="23"/>
      <c r="Z35" s="23"/>
      <c r="AA35" s="23"/>
      <c r="AB35" s="23"/>
      <c r="AC35" s="23"/>
      <c r="AD35" s="23"/>
      <c r="AE35" s="23"/>
      <c r="AF35" s="23"/>
      <c r="AG35" s="23"/>
      <c r="AH35" s="23"/>
      <c r="AI35" s="23"/>
      <c r="AJ35" s="23"/>
    </row>
    <row r="36" spans="4:36" x14ac:dyDescent="0.15">
      <c r="D36" s="16">
        <v>1841</v>
      </c>
      <c r="E36" s="19">
        <v>1.5875732963313242E-2</v>
      </c>
      <c r="F36" s="23">
        <f t="shared" si="0"/>
        <v>1.233698672655368E-4</v>
      </c>
      <c r="G36" s="6">
        <f t="shared" si="1"/>
        <v>-12.812468209047234</v>
      </c>
      <c r="H36" s="6"/>
      <c r="I36" s="129">
        <f t="shared" ca="1" si="2"/>
        <v>-422.75216632177035</v>
      </c>
      <c r="J36" s="6"/>
      <c r="K36" s="6">
        <f t="shared" si="3"/>
        <v>-4.7271185292437821</v>
      </c>
      <c r="M36" s="30">
        <f t="shared" si="4"/>
        <v>-3.9528723677423319</v>
      </c>
      <c r="N36" s="6">
        <f t="shared" ca="1" si="5"/>
        <v>-471.29663938997015</v>
      </c>
      <c r="O36" s="6"/>
      <c r="P36" s="6">
        <f t="shared" si="6"/>
        <v>-10.201464220923112</v>
      </c>
    </row>
    <row r="37" spans="4:36" x14ac:dyDescent="0.15">
      <c r="D37" s="16">
        <v>1842</v>
      </c>
      <c r="E37" s="19">
        <v>2.0774530563421326E-2</v>
      </c>
      <c r="F37" s="23">
        <f t="shared" si="0"/>
        <v>1.4414439782895814E-4</v>
      </c>
      <c r="G37" s="6">
        <f t="shared" si="1"/>
        <v>-12.656839084245643</v>
      </c>
      <c r="H37" s="6"/>
      <c r="I37" s="129">
        <f t="shared" ca="1" si="2"/>
        <v>-403.87596149976616</v>
      </c>
      <c r="J37" s="6"/>
      <c r="K37" s="6">
        <f t="shared" si="3"/>
        <v>-4.6954072838454746</v>
      </c>
      <c r="M37" s="30">
        <f t="shared" si="4"/>
        <v>-3.9154876867547723</v>
      </c>
      <c r="N37" s="6">
        <f t="shared" ca="1" si="5"/>
        <v>-469.17310822684135</v>
      </c>
      <c r="O37" s="6"/>
      <c r="P37" s="6">
        <f t="shared" si="6"/>
        <v>-10.045829305198657</v>
      </c>
    </row>
    <row r="38" spans="4:36" x14ac:dyDescent="0.15">
      <c r="D38" s="16">
        <v>1843</v>
      </c>
      <c r="E38" s="19">
        <v>3.2023621348854704E-2</v>
      </c>
      <c r="F38" s="23">
        <f t="shared" si="0"/>
        <v>1.7616801917781286E-4</v>
      </c>
      <c r="G38" s="6">
        <f t="shared" si="1"/>
        <v>-12.456215742281207</v>
      </c>
      <c r="H38" s="6"/>
      <c r="I38" s="129">
        <f t="shared" ca="1" si="2"/>
        <v>-376.07308137391738</v>
      </c>
      <c r="J38" s="6"/>
      <c r="K38" s="6">
        <f t="shared" si="3"/>
        <v>-4.6542333180619897</v>
      </c>
      <c r="M38" s="30">
        <f t="shared" si="4"/>
        <v>-3.8668158962729158</v>
      </c>
      <c r="N38" s="6">
        <f t="shared" ca="1" si="5"/>
        <v>-462.78542826069378</v>
      </c>
      <c r="O38" s="6"/>
      <c r="P38" s="6">
        <f t="shared" si="6"/>
        <v>-9.8451970365390284</v>
      </c>
    </row>
    <row r="39" spans="4:36" x14ac:dyDescent="0.15">
      <c r="D39" s="16">
        <v>1844</v>
      </c>
      <c r="E39" s="19">
        <v>4.3272712134288092E-2</v>
      </c>
      <c r="F39" s="23">
        <f t="shared" si="0"/>
        <v>2.1944073131210094E-4</v>
      </c>
      <c r="G39" s="6">
        <f t="shared" si="1"/>
        <v>-12.236570800733071</v>
      </c>
      <c r="H39" s="6"/>
      <c r="I39" s="129">
        <f t="shared" ca="1" si="2"/>
        <v>-344.49639087975265</v>
      </c>
      <c r="J39" s="6"/>
      <c r="K39" s="6">
        <f t="shared" si="3"/>
        <v>-4.6087662180424163</v>
      </c>
      <c r="M39" s="30">
        <f t="shared" si="4"/>
        <v>-3.8128913587781397</v>
      </c>
      <c r="N39" s="6">
        <f t="shared" ca="1" si="5"/>
        <v>-454.41331685981805</v>
      </c>
      <c r="O39" s="6"/>
      <c r="P39" s="6">
        <f t="shared" si="6"/>
        <v>-9.6255400324260787</v>
      </c>
    </row>
    <row r="40" spans="4:36" x14ac:dyDescent="0.15">
      <c r="D40" s="16">
        <v>1845</v>
      </c>
      <c r="E40" s="19">
        <v>5.9057726623525257E-2</v>
      </c>
      <c r="F40" s="23">
        <f t="shared" si="0"/>
        <v>2.7849845793562618E-4</v>
      </c>
      <c r="G40" s="6">
        <f t="shared" si="1"/>
        <v>-11.998239152446661</v>
      </c>
      <c r="H40" s="6"/>
      <c r="I40" s="129">
        <f t="shared" ca="1" si="2"/>
        <v>-309.21233143754762</v>
      </c>
      <c r="J40" s="6"/>
      <c r="K40" s="6">
        <f t="shared" si="3"/>
        <v>-4.5589581662206777</v>
      </c>
      <c r="M40" s="30">
        <f t="shared" si="4"/>
        <v>-3.7535964543658791</v>
      </c>
      <c r="N40" s="6">
        <f t="shared" ca="1" si="5"/>
        <v>-444.01233848688577</v>
      </c>
      <c r="O40" s="6"/>
      <c r="P40" s="6">
        <f t="shared" si="6"/>
        <v>-9.3871919211219428</v>
      </c>
    </row>
    <row r="41" spans="4:36" x14ac:dyDescent="0.15">
      <c r="D41" s="16">
        <v>1846</v>
      </c>
      <c r="E41" s="19">
        <v>7.7564295335044692E-2</v>
      </c>
      <c r="F41" s="23">
        <f t="shared" si="0"/>
        <v>3.5606275327067086E-4</v>
      </c>
      <c r="G41" s="6">
        <f t="shared" si="1"/>
        <v>-11.75254297197821</v>
      </c>
      <c r="H41" s="6"/>
      <c r="I41" s="129">
        <f t="shared" ca="1" si="2"/>
        <v>-272.46717784371594</v>
      </c>
      <c r="J41" s="6"/>
      <c r="K41" s="6">
        <f t="shared" si="3"/>
        <v>-4.5070808426211961</v>
      </c>
      <c r="M41" s="30">
        <f t="shared" si="4"/>
        <v>-3.6915816758870514</v>
      </c>
      <c r="N41" s="6">
        <f t="shared" ca="1" si="5"/>
        <v>-432.58382088868251</v>
      </c>
      <c r="O41" s="6"/>
      <c r="P41" s="6">
        <f t="shared" si="6"/>
        <v>-9.1414741182407333</v>
      </c>
    </row>
    <row r="42" spans="4:36" x14ac:dyDescent="0.15">
      <c r="D42" s="16">
        <v>1847</v>
      </c>
      <c r="E42" s="19">
        <v>9.0627755601999579E-2</v>
      </c>
      <c r="F42" s="23">
        <f t="shared" si="0"/>
        <v>4.4669050887267042E-4</v>
      </c>
      <c r="G42" s="6">
        <f t="shared" si="1"/>
        <v>-11.525781976650679</v>
      </c>
      <c r="H42" s="6"/>
      <c r="I42" s="129">
        <f t="shared" ca="1" si="2"/>
        <v>-239.47869033342522</v>
      </c>
      <c r="J42" s="6"/>
      <c r="K42" s="6">
        <f t="shared" si="3"/>
        <v>-4.4587095361804927</v>
      </c>
      <c r="M42" s="30">
        <f t="shared" si="4"/>
        <v>-3.6335126181526785</v>
      </c>
      <c r="N42" s="6">
        <f t="shared" ca="1" si="5"/>
        <v>-422.64595423153895</v>
      </c>
      <c r="O42" s="6"/>
      <c r="P42" s="6">
        <f t="shared" si="6"/>
        <v>-8.914687858144724</v>
      </c>
    </row>
    <row r="43" spans="4:36" x14ac:dyDescent="0.15">
      <c r="D43" s="16">
        <v>1848</v>
      </c>
      <c r="E43" s="19">
        <v>9.7477000394743302E-2</v>
      </c>
      <c r="F43" s="23">
        <f t="shared" si="0"/>
        <v>5.4416750926741374E-4</v>
      </c>
      <c r="G43" s="6">
        <f t="shared" si="1"/>
        <v>-11.328388682340011</v>
      </c>
      <c r="H43" s="6"/>
      <c r="I43" s="129">
        <f t="shared" ca="1" si="2"/>
        <v>-212.31663892822507</v>
      </c>
      <c r="J43" s="6"/>
      <c r="K43" s="6">
        <f t="shared" si="3"/>
        <v>-4.4162071257602991</v>
      </c>
      <c r="M43" s="30">
        <f t="shared" si="4"/>
        <v>-3.5822858875453147</v>
      </c>
      <c r="N43" s="6">
        <f t="shared" ca="1" si="5"/>
        <v>-415.29304531253388</v>
      </c>
      <c r="O43" s="6"/>
      <c r="P43" s="6">
        <f t="shared" si="6"/>
        <v>-8.7172673888406749</v>
      </c>
    </row>
    <row r="44" spans="4:36" x14ac:dyDescent="0.15">
      <c r="D44" s="16">
        <v>1849</v>
      </c>
      <c r="E44" s="19">
        <v>0.1042083111711881</v>
      </c>
      <c r="F44" s="23">
        <f t="shared" si="0"/>
        <v>6.483758204386019E-4</v>
      </c>
      <c r="G44" s="6">
        <f t="shared" si="1"/>
        <v>-11.153173002093849</v>
      </c>
      <c r="H44" s="6"/>
      <c r="I44" s="129">
        <f t="shared" ca="1" si="2"/>
        <v>-189.55453872234193</v>
      </c>
      <c r="J44" s="6"/>
      <c r="K44" s="6">
        <f t="shared" si="3"/>
        <v>-4.3781633338356825</v>
      </c>
      <c r="M44" s="30">
        <f t="shared" si="4"/>
        <v>-3.5362659378057226</v>
      </c>
      <c r="N44" s="6">
        <f t="shared" ca="1" si="5"/>
        <v>-409.90720231205404</v>
      </c>
      <c r="O44" s="6"/>
      <c r="P44" s="6">
        <f t="shared" si="6"/>
        <v>-8.5420226560755257</v>
      </c>
    </row>
    <row r="45" spans="4:36" x14ac:dyDescent="0.15">
      <c r="D45" s="16">
        <v>1850</v>
      </c>
      <c r="E45" s="19">
        <v>0.11556626412551278</v>
      </c>
      <c r="F45" s="23">
        <f t="shared" si="0"/>
        <v>7.639420845641147E-4</v>
      </c>
      <c r="G45" s="6">
        <f t="shared" si="1"/>
        <v>-10.989148965260569</v>
      </c>
      <c r="H45" s="6"/>
      <c r="I45" s="129">
        <f t="shared" ca="1" si="2"/>
        <v>-169.01281644861956</v>
      </c>
      <c r="J45" s="6"/>
      <c r="K45" s="6">
        <f t="shared" si="3"/>
        <v>-4.3422732227991654</v>
      </c>
      <c r="M45" s="30">
        <f t="shared" si="4"/>
        <v>-3.4927017691668492</v>
      </c>
      <c r="N45" s="6">
        <f t="shared" ca="1" si="5"/>
        <v>-405.44912704931011</v>
      </c>
      <c r="O45" s="6"/>
      <c r="P45" s="6">
        <f t="shared" si="6"/>
        <v>-8.3779663990650164</v>
      </c>
    </row>
    <row r="46" spans="4:36" x14ac:dyDescent="0.15">
      <c r="D46" s="16">
        <v>1851</v>
      </c>
      <c r="E46" s="19">
        <v>0.14065899405495533</v>
      </c>
      <c r="F46" s="23">
        <f t="shared" si="0"/>
        <v>9.0460107861907002E-4</v>
      </c>
      <c r="G46" s="6">
        <f t="shared" ref="G46:G77" si="7" xml:space="preserve"> - LN(F$1/F46 - 1)</f>
        <v>-10.820143787879443</v>
      </c>
      <c r="H46" s="6"/>
      <c r="I46" s="129">
        <f t="shared" ref="I46:I77" ca="1" si="8" xml:space="preserve"> (G46*(F$2-E$2)/LN(81) + AVERAGE(E$2:F$2) - D46)*12</f>
        <v>-147.48285552741618</v>
      </c>
      <c r="J46" s="6"/>
      <c r="K46" s="6">
        <f t="shared" ref="K46:K77" si="9">NORMSINV(F46/F$5)</f>
        <v>-4.305007279318656</v>
      </c>
      <c r="M46" s="30">
        <f t="shared" ref="M46:M77" si="10">NORMSINV(F46/F$6)</f>
        <v>-3.4473091411969454</v>
      </c>
      <c r="N46" s="6">
        <f t="shared" ref="N46:N77" ca="1" si="11">(M46*(F$7-E$7)/(NORMSINV(0.9)-NORMSINV(0.1))-(D46-AVERAGE(E$7:F$7)))*12</f>
        <v>-400.30027947929659</v>
      </c>
      <c r="O46" s="6"/>
      <c r="P46" s="6">
        <f t="shared" ref="P46:P77" si="12" xml:space="preserve"> - LN(F$10/F46 - 1)</f>
        <v>-8.2089220039649504</v>
      </c>
    </row>
    <row r="47" spans="4:36" x14ac:dyDescent="0.15">
      <c r="D47" s="16">
        <v>1852</v>
      </c>
      <c r="E47" s="19">
        <v>0.15676152320345876</v>
      </c>
      <c r="F47" s="23">
        <f t="shared" si="0"/>
        <v>1.0613626018225288E-3</v>
      </c>
      <c r="G47" s="6">
        <f t="shared" si="7"/>
        <v>-10.660325537673506</v>
      </c>
      <c r="H47" s="6"/>
      <c r="I47" s="129">
        <f t="shared" ca="1" si="8"/>
        <v>-127.77554474003318</v>
      </c>
      <c r="J47" s="6"/>
      <c r="K47" s="6">
        <f t="shared" si="9"/>
        <v>-4.2694940873312248</v>
      </c>
      <c r="M47" s="30">
        <f t="shared" si="10"/>
        <v>-3.403896518443887</v>
      </c>
      <c r="N47" s="6">
        <f t="shared" ca="1" si="11"/>
        <v>-395.89945662541163</v>
      </c>
      <c r="O47" s="6"/>
      <c r="P47" s="6">
        <f t="shared" si="12"/>
        <v>-8.0490600443273586</v>
      </c>
    </row>
    <row r="48" spans="4:36" x14ac:dyDescent="0.15">
      <c r="D48" s="16">
        <v>1853</v>
      </c>
      <c r="E48" s="19">
        <v>0.17751791007206486</v>
      </c>
      <c r="F48" s="23">
        <f t="shared" si="0"/>
        <v>1.2388805118945937E-3</v>
      </c>
      <c r="G48" s="6">
        <f t="shared" si="7"/>
        <v>-10.505667011488969</v>
      </c>
      <c r="H48" s="6"/>
      <c r="I48" s="129">
        <f t="shared" ca="1" si="8"/>
        <v>-109.09190285724981</v>
      </c>
      <c r="J48" s="6"/>
      <c r="K48" s="6">
        <f t="shared" si="9"/>
        <v>-4.2348691180887785</v>
      </c>
      <c r="M48" s="30">
        <f t="shared" si="10"/>
        <v>-3.3614194604313434</v>
      </c>
      <c r="N48" s="6">
        <f t="shared" ca="1" si="11"/>
        <v>-391.85208008747031</v>
      </c>
      <c r="O48" s="6"/>
      <c r="P48" s="6">
        <f t="shared" si="12"/>
        <v>-7.8943520185861109</v>
      </c>
    </row>
    <row r="49" spans="4:16" x14ac:dyDescent="0.15">
      <c r="D49" s="16">
        <v>1854</v>
      </c>
      <c r="E49" s="19">
        <v>0.19395609757464977</v>
      </c>
      <c r="F49" s="23">
        <f t="shared" si="0"/>
        <v>1.4328366094692436E-3</v>
      </c>
      <c r="G49" s="6">
        <f t="shared" si="7"/>
        <v>-10.360214761214506</v>
      </c>
      <c r="H49" s="6"/>
      <c r="I49" s="129">
        <f t="shared" ca="1" si="8"/>
        <v>-92.234749821013793</v>
      </c>
      <c r="J49" s="6"/>
      <c r="K49" s="6">
        <f t="shared" si="9"/>
        <v>-4.2020683865520354</v>
      </c>
      <c r="M49" s="30">
        <f t="shared" si="10"/>
        <v>-3.3210393118572181</v>
      </c>
      <c r="N49" s="6">
        <f t="shared" ca="1" si="11"/>
        <v>-388.59689342563405</v>
      </c>
      <c r="O49" s="6"/>
      <c r="P49" s="6">
        <f t="shared" si="12"/>
        <v>-7.7488456818426368</v>
      </c>
    </row>
    <row r="50" spans="4:16" x14ac:dyDescent="0.15">
      <c r="D50" s="16">
        <v>1855</v>
      </c>
      <c r="E50" s="19">
        <v>0.20683812089345252</v>
      </c>
      <c r="F50" s="23">
        <f t="shared" si="0"/>
        <v>1.6396747303626961E-3</v>
      </c>
      <c r="G50" s="6">
        <f t="shared" si="7"/>
        <v>-10.225368425212935</v>
      </c>
      <c r="H50" s="6"/>
      <c r="I50" s="129">
        <f t="shared" ca="1" si="8"/>
        <v>-77.481768364687923</v>
      </c>
      <c r="J50" s="6"/>
      <c r="K50" s="6">
        <f t="shared" si="9"/>
        <v>-4.1714500303940598</v>
      </c>
      <c r="M50" s="30">
        <f t="shared" si="10"/>
        <v>-3.2832183455408592</v>
      </c>
      <c r="N50" s="6">
        <f t="shared" ca="1" si="11"/>
        <v>-386.30853834868446</v>
      </c>
      <c r="O50" s="6"/>
      <c r="P50" s="6">
        <f t="shared" si="12"/>
        <v>-7.6139416633651651</v>
      </c>
    </row>
    <row r="51" spans="4:16" x14ac:dyDescent="0.15">
      <c r="D51" s="16">
        <v>1856</v>
      </c>
      <c r="E51" s="19">
        <v>0.22489109723459155</v>
      </c>
      <c r="F51" s="23">
        <f t="shared" si="0"/>
        <v>1.8645658275972877E-3</v>
      </c>
      <c r="G51" s="6">
        <f t="shared" si="7"/>
        <v>-10.096833116018852</v>
      </c>
      <c r="H51" s="6"/>
      <c r="I51" s="129">
        <f t="shared" ca="1" si="8"/>
        <v>-63.980869746930694</v>
      </c>
      <c r="J51" s="6"/>
      <c r="K51" s="6">
        <f t="shared" si="9"/>
        <v>-4.1420734561411798</v>
      </c>
      <c r="M51" s="30">
        <f t="shared" si="10"/>
        <v>-3.246812283339688</v>
      </c>
      <c r="N51" s="6">
        <f t="shared" ca="1" si="11"/>
        <v>-384.55471885785778</v>
      </c>
      <c r="O51" s="6"/>
      <c r="P51" s="6">
        <f t="shared" si="12"/>
        <v>-7.4853436327539313</v>
      </c>
    </row>
    <row r="52" spans="4:16" x14ac:dyDescent="0.15">
      <c r="D52" s="16">
        <v>1857</v>
      </c>
      <c r="E52" s="19">
        <v>0.24757071575361048</v>
      </c>
      <c r="F52" s="23">
        <f t="shared" si="0"/>
        <v>2.1121365433508983E-3</v>
      </c>
      <c r="G52" s="6">
        <f t="shared" si="7"/>
        <v>-9.9721558551149041</v>
      </c>
      <c r="H52" s="6"/>
      <c r="I52" s="129">
        <f t="shared" ca="1" si="8"/>
        <v>-51.245392700300727</v>
      </c>
      <c r="J52" s="6"/>
      <c r="K52" s="6">
        <f t="shared" si="9"/>
        <v>-4.1133969495147058</v>
      </c>
      <c r="M52" s="30">
        <f t="shared" si="10"/>
        <v>-3.2111583296463517</v>
      </c>
      <c r="N52" s="6">
        <f t="shared" ca="1" si="11"/>
        <v>-383.08503788761891</v>
      </c>
      <c r="O52" s="6"/>
      <c r="P52" s="6">
        <f t="shared" si="12"/>
        <v>-7.3605973198883641</v>
      </c>
    </row>
    <row r="53" spans="4:16" x14ac:dyDescent="0.15">
      <c r="D53" s="16">
        <v>1858</v>
      </c>
      <c r="E53" s="19">
        <v>0.27052248969485759</v>
      </c>
      <c r="F53" s="23">
        <f t="shared" si="0"/>
        <v>2.3826590330457559E-3</v>
      </c>
      <c r="G53" s="6">
        <f t="shared" si="7"/>
        <v>-9.8516327862412929</v>
      </c>
      <c r="H53" s="6"/>
      <c r="I53" s="129">
        <f t="shared" ca="1" si="8"/>
        <v>-39.3340909753706</v>
      </c>
      <c r="J53" s="6"/>
      <c r="K53" s="6">
        <f t="shared" si="9"/>
        <v>-4.0855027208907826</v>
      </c>
      <c r="M53" s="30">
        <f t="shared" si="10"/>
        <v>-3.1763645958630451</v>
      </c>
      <c r="N53" s="6">
        <f t="shared" ca="1" si="11"/>
        <v>-381.94033876517199</v>
      </c>
      <c r="O53" s="6"/>
      <c r="P53" s="6">
        <f t="shared" si="12"/>
        <v>-7.2399987910709767</v>
      </c>
    </row>
    <row r="54" spans="4:16" x14ac:dyDescent="0.15">
      <c r="D54" s="16">
        <v>1859</v>
      </c>
      <c r="E54" s="19">
        <v>0.29526504631436651</v>
      </c>
      <c r="F54" s="23">
        <f t="shared" si="0"/>
        <v>2.6779240793601226E-3</v>
      </c>
      <c r="G54" s="6">
        <f t="shared" si="7"/>
        <v>-9.7348014680167534</v>
      </c>
      <c r="H54" s="6"/>
      <c r="I54" s="129">
        <f t="shared" ca="1" si="8"/>
        <v>-28.155218025179238</v>
      </c>
      <c r="J54" s="6"/>
      <c r="K54" s="6">
        <f t="shared" si="9"/>
        <v>-4.0582974535881382</v>
      </c>
      <c r="M54" s="30">
        <f t="shared" si="10"/>
        <v>-3.1423206380191555</v>
      </c>
      <c r="N54" s="6">
        <f t="shared" ca="1" si="11"/>
        <v>-381.07889694400416</v>
      </c>
      <c r="O54" s="6"/>
      <c r="P54" s="6">
        <f t="shared" si="12"/>
        <v>-7.1230851036474849</v>
      </c>
    </row>
    <row r="55" spans="4:16" x14ac:dyDescent="0.15">
      <c r="D55" s="16">
        <v>1860</v>
      </c>
      <c r="E55" s="19">
        <v>0.31917480734185699</v>
      </c>
      <c r="F55" s="23">
        <f t="shared" si="0"/>
        <v>2.9970988867019793E-3</v>
      </c>
      <c r="G55" s="6">
        <f t="shared" si="7"/>
        <v>-9.6221915276908927</v>
      </c>
      <c r="H55" s="6"/>
      <c r="I55" s="129">
        <f t="shared" ca="1" si="8"/>
        <v>-17.813849808098894</v>
      </c>
      <c r="J55" s="6"/>
      <c r="K55" s="6">
        <f t="shared" si="9"/>
        <v>-4.0319182797805047</v>
      </c>
      <c r="M55" s="30">
        <f t="shared" si="10"/>
        <v>-3.109204397401129</v>
      </c>
      <c r="N55" s="6">
        <f t="shared" ca="1" si="11"/>
        <v>-380.56793673198558</v>
      </c>
      <c r="O55" s="6"/>
      <c r="P55" s="6">
        <f t="shared" si="12"/>
        <v>-7.0103861152477416</v>
      </c>
    </row>
    <row r="56" spans="4:16" x14ac:dyDescent="0.15">
      <c r="D56" s="16">
        <v>1861</v>
      </c>
      <c r="E56" s="19">
        <v>0.35418941678099991</v>
      </c>
      <c r="F56" s="23">
        <f t="shared" si="0"/>
        <v>3.3512883034829792E-3</v>
      </c>
      <c r="G56" s="6">
        <f t="shared" si="7"/>
        <v>-9.5104836422236225</v>
      </c>
      <c r="H56" s="6"/>
      <c r="I56" s="129">
        <f t="shared" ca="1" si="8"/>
        <v>-7.651445718776813</v>
      </c>
      <c r="J56" s="6"/>
      <c r="K56" s="6">
        <f t="shared" si="9"/>
        <v>-4.0055956074446417</v>
      </c>
      <c r="M56" s="30">
        <f t="shared" si="10"/>
        <v>-3.0760523410750258</v>
      </c>
      <c r="N56" s="6">
        <f t="shared" ca="1" si="11"/>
        <v>-380.04344572992716</v>
      </c>
      <c r="O56" s="6"/>
      <c r="P56" s="6">
        <f t="shared" si="12"/>
        <v>-6.8985794020628539</v>
      </c>
    </row>
    <row r="57" spans="4:16" x14ac:dyDescent="0.15">
      <c r="D57" s="16">
        <v>1862</v>
      </c>
      <c r="E57" s="19">
        <v>0.39504448158116062</v>
      </c>
      <c r="F57" s="23">
        <f t="shared" si="0"/>
        <v>3.7463327850641398E-3</v>
      </c>
      <c r="G57" s="6">
        <f t="shared" si="7"/>
        <v>-9.3990423133840206</v>
      </c>
      <c r="H57" s="6"/>
      <c r="I57" s="129">
        <f t="shared" ca="1" si="8"/>
        <v>2.4580745864650453</v>
      </c>
      <c r="J57" s="6"/>
      <c r="K57" s="6">
        <f t="shared" si="9"/>
        <v>-3.979179456415932</v>
      </c>
      <c r="M57" s="30">
        <f t="shared" si="10"/>
        <v>-3.0426725856678574</v>
      </c>
      <c r="N57" s="6">
        <f t="shared" ca="1" si="11"/>
        <v>-379.4329324593275</v>
      </c>
      <c r="O57" s="6"/>
      <c r="P57" s="6">
        <f t="shared" si="12"/>
        <v>-6.7870278325707174</v>
      </c>
    </row>
    <row r="58" spans="4:16" x14ac:dyDescent="0.15">
      <c r="D58" s="16">
        <v>1863</v>
      </c>
      <c r="E58" s="19">
        <v>0.4545821089325483</v>
      </c>
      <c r="F58" s="23">
        <f t="shared" si="0"/>
        <v>4.2009148939966883E-3</v>
      </c>
      <c r="G58" s="6">
        <f t="shared" si="7"/>
        <v>-9.2845073699800746</v>
      </c>
      <c r="H58" s="6"/>
      <c r="I58" s="129">
        <f t="shared" ca="1" si="8"/>
        <v>13.181355825274295</v>
      </c>
      <c r="J58" s="6"/>
      <c r="K58" s="6">
        <f t="shared" si="9"/>
        <v>-3.9518644701830672</v>
      </c>
      <c r="M58" s="30">
        <f t="shared" si="10"/>
        <v>-3.0080381443562092</v>
      </c>
      <c r="N58" s="6">
        <f t="shared" ca="1" si="11"/>
        <v>-378.34841232271361</v>
      </c>
      <c r="O58" s="6"/>
      <c r="P58" s="6">
        <f t="shared" si="12"/>
        <v>-6.672366016590459</v>
      </c>
    </row>
    <row r="59" spans="4:16" x14ac:dyDescent="0.15">
      <c r="D59" s="16">
        <v>1864</v>
      </c>
      <c r="E59" s="19">
        <v>0.48855527028929785</v>
      </c>
      <c r="F59" s="23">
        <f t="shared" ref="F59:F122" si="13">F58+E59/1000</f>
        <v>4.6894701642859861E-3</v>
      </c>
      <c r="G59" s="6">
        <f t="shared" si="7"/>
        <v>-9.1744793002820426</v>
      </c>
      <c r="H59" s="6"/>
      <c r="I59" s="129">
        <f t="shared" ca="1" si="8"/>
        <v>23.010491088337403</v>
      </c>
      <c r="J59" s="6"/>
      <c r="K59" s="6">
        <f t="shared" si="9"/>
        <v>-3.9254635038760517</v>
      </c>
      <c r="M59" s="30">
        <f t="shared" si="10"/>
        <v>-2.9744446819684045</v>
      </c>
      <c r="N59" s="6">
        <f t="shared" ca="1" si="11"/>
        <v>-377.6571628489134</v>
      </c>
      <c r="O59" s="6"/>
      <c r="P59" s="6">
        <f t="shared" si="12"/>
        <v>-6.5622015717117144</v>
      </c>
    </row>
    <row r="60" spans="4:16" x14ac:dyDescent="0.15">
      <c r="D60" s="16">
        <v>1865</v>
      </c>
      <c r="E60" s="19">
        <v>0.55202826504610569</v>
      </c>
      <c r="F60" s="23">
        <f t="shared" si="13"/>
        <v>5.2414984293320914E-3</v>
      </c>
      <c r="G60" s="6">
        <f t="shared" si="7"/>
        <v>-9.0631792862059246</v>
      </c>
      <c r="H60" s="6"/>
      <c r="I60" s="129">
        <f t="shared" ca="1" si="8"/>
        <v>33.091975101610842</v>
      </c>
      <c r="J60" s="6"/>
      <c r="K60" s="6">
        <f t="shared" si="9"/>
        <v>-3.8985941537703077</v>
      </c>
      <c r="M60" s="30">
        <f t="shared" si="10"/>
        <v>-2.9401329331826602</v>
      </c>
      <c r="N60" s="6">
        <f t="shared" ca="1" si="11"/>
        <v>-376.69455248457291</v>
      </c>
      <c r="O60" s="6"/>
      <c r="P60" s="6">
        <f t="shared" si="12"/>
        <v>-6.4507474386931385</v>
      </c>
    </row>
    <row r="61" spans="4:16" x14ac:dyDescent="0.15">
      <c r="D61" s="16">
        <v>1866</v>
      </c>
      <c r="E61" s="19">
        <v>0.63801667788385485</v>
      </c>
      <c r="F61" s="23">
        <f t="shared" si="13"/>
        <v>5.8795151072159463E-3</v>
      </c>
      <c r="G61" s="6">
        <f t="shared" si="7"/>
        <v>-8.9482983073751665</v>
      </c>
      <c r="H61" s="6"/>
      <c r="I61" s="129">
        <f t="shared" ca="1" si="8"/>
        <v>43.883908404921385</v>
      </c>
      <c r="J61" s="6"/>
      <c r="K61" s="6">
        <f t="shared" si="9"/>
        <v>-3.870685073655078</v>
      </c>
      <c r="M61" s="30">
        <f t="shared" si="10"/>
        <v>-2.9043592169146115</v>
      </c>
      <c r="N61" s="6">
        <f t="shared" ca="1" si="11"/>
        <v>-375.17962649922504</v>
      </c>
      <c r="O61" s="6"/>
      <c r="P61" s="6">
        <f t="shared" si="12"/>
        <v>-6.3356882998174608</v>
      </c>
    </row>
    <row r="62" spans="4:16" x14ac:dyDescent="0.15">
      <c r="D62" s="16">
        <v>1867</v>
      </c>
      <c r="E62" s="19">
        <v>0.80616609113808335</v>
      </c>
      <c r="F62" s="23">
        <f t="shared" si="13"/>
        <v>6.68568119835403E-3</v>
      </c>
      <c r="G62" s="6">
        <f t="shared" si="7"/>
        <v>-8.8197866769477891</v>
      </c>
      <c r="H62" s="6"/>
      <c r="I62" s="129">
        <f t="shared" ca="1" si="8"/>
        <v>57.380109248714689</v>
      </c>
      <c r="J62" s="6"/>
      <c r="K62" s="6">
        <f t="shared" si="9"/>
        <v>-3.8392495641722668</v>
      </c>
      <c r="M62" s="30">
        <f t="shared" si="10"/>
        <v>-2.8638966393841017</v>
      </c>
      <c r="N62" s="6">
        <f t="shared" ca="1" si="11"/>
        <v>-371.89329906251822</v>
      </c>
      <c r="O62" s="6"/>
      <c r="P62" s="6">
        <f t="shared" si="12"/>
        <v>-6.2069515026431725</v>
      </c>
    </row>
    <row r="63" spans="4:16" x14ac:dyDescent="0.15">
      <c r="D63" s="16">
        <v>1868</v>
      </c>
      <c r="E63" s="19">
        <v>0.94200702703485828</v>
      </c>
      <c r="F63" s="23">
        <f t="shared" si="13"/>
        <v>7.6276882253888886E-3</v>
      </c>
      <c r="G63" s="6">
        <f t="shared" si="7"/>
        <v>-8.6879491450478969</v>
      </c>
      <c r="H63" s="6"/>
      <c r="I63" s="129">
        <f t="shared" ca="1" si="8"/>
        <v>71.5361558329123</v>
      </c>
      <c r="J63" s="6"/>
      <c r="K63" s="6">
        <f t="shared" si="9"/>
        <v>-3.8067596854410994</v>
      </c>
      <c r="M63" s="30">
        <f t="shared" si="10"/>
        <v>-2.8218830455593857</v>
      </c>
      <c r="N63" s="6">
        <f t="shared" ca="1" si="11"/>
        <v>-368.02101431958124</v>
      </c>
      <c r="O63" s="6"/>
      <c r="P63" s="6">
        <f t="shared" si="12"/>
        <v>-6.0748507884335332</v>
      </c>
    </row>
    <row r="64" spans="4:16" x14ac:dyDescent="0.15">
      <c r="D64" s="16">
        <v>1869</v>
      </c>
      <c r="E64" s="19">
        <v>1.1040746737870266</v>
      </c>
      <c r="F64" s="23">
        <f t="shared" si="13"/>
        <v>8.7317628991759148E-3</v>
      </c>
      <c r="G64" s="6">
        <f t="shared" si="7"/>
        <v>-8.5527422691299702</v>
      </c>
      <c r="H64" s="6"/>
      <c r="I64" s="129">
        <f t="shared" ca="1" si="8"/>
        <v>86.360666987279728</v>
      </c>
      <c r="J64" s="6"/>
      <c r="K64" s="6">
        <f t="shared" si="9"/>
        <v>-3.7731805686895212</v>
      </c>
      <c r="M64" s="30">
        <f t="shared" si="10"/>
        <v>-2.7782466412797491</v>
      </c>
      <c r="N64" s="6">
        <f t="shared" ca="1" si="11"/>
        <v>-363.53564920718634</v>
      </c>
      <c r="O64" s="6"/>
      <c r="P64" s="6">
        <f t="shared" si="12"/>
        <v>-5.9393353488436951</v>
      </c>
    </row>
    <row r="65" spans="4:16" x14ac:dyDescent="0.15">
      <c r="D65" s="16">
        <v>1870</v>
      </c>
      <c r="E65" s="19">
        <v>1.1681373386253291</v>
      </c>
      <c r="F65" s="23">
        <f t="shared" si="13"/>
        <v>9.8999002378012436E-3</v>
      </c>
      <c r="G65" s="6">
        <f t="shared" si="7"/>
        <v>-8.4271590523178421</v>
      </c>
      <c r="H65" s="6"/>
      <c r="I65" s="129">
        <f t="shared" ca="1" si="8"/>
        <v>99.275882114530759</v>
      </c>
      <c r="J65" s="6"/>
      <c r="K65" s="6">
        <f t="shared" si="9"/>
        <v>-3.7417514816286204</v>
      </c>
      <c r="M65" s="30">
        <f t="shared" si="10"/>
        <v>-2.737199921698803</v>
      </c>
      <c r="N65" s="6">
        <f t="shared" ca="1" si="11"/>
        <v>-360.02863917442431</v>
      </c>
      <c r="O65" s="6"/>
      <c r="P65" s="6">
        <f t="shared" si="12"/>
        <v>-5.8134255442092995</v>
      </c>
    </row>
    <row r="66" spans="4:16" x14ac:dyDescent="0.15">
      <c r="D66" s="16">
        <v>1871</v>
      </c>
      <c r="E66" s="19">
        <v>1.6634883298076657</v>
      </c>
      <c r="F66" s="23">
        <f t="shared" si="13"/>
        <v>1.1563388567608909E-2</v>
      </c>
      <c r="G66" s="6">
        <f t="shared" si="7"/>
        <v>-8.2718030105102009</v>
      </c>
      <c r="H66" s="6"/>
      <c r="I66" s="129">
        <f t="shared" ca="1" si="8"/>
        <v>118.09790834711112</v>
      </c>
      <c r="J66" s="6"/>
      <c r="K66" s="6">
        <f t="shared" si="9"/>
        <v>-3.7025437919599171</v>
      </c>
      <c r="M66" s="30">
        <f t="shared" si="10"/>
        <v>-2.6857067106326489</v>
      </c>
      <c r="N66" s="6">
        <f t="shared" ca="1" si="11"/>
        <v>-352.57505679868063</v>
      </c>
      <c r="O66" s="6"/>
      <c r="P66" s="6">
        <f t="shared" si="12"/>
        <v>-5.657604211054502</v>
      </c>
    </row>
    <row r="67" spans="4:16" x14ac:dyDescent="0.15">
      <c r="D67" s="16">
        <v>1872</v>
      </c>
      <c r="E67" s="19">
        <v>2.1999184604211308</v>
      </c>
      <c r="F67" s="23">
        <f t="shared" si="13"/>
        <v>1.3763307028030039E-2</v>
      </c>
      <c r="G67" s="6">
        <f t="shared" si="7"/>
        <v>-8.097592186231207</v>
      </c>
      <c r="H67" s="6"/>
      <c r="I67" s="129">
        <f t="shared" ca="1" si="8"/>
        <v>140.66064909056422</v>
      </c>
      <c r="J67" s="6"/>
      <c r="K67" s="6">
        <f t="shared" si="9"/>
        <v>-3.6581354483773092</v>
      </c>
      <c r="M67" s="30">
        <f t="shared" si="10"/>
        <v>-2.6269810393316644</v>
      </c>
      <c r="N67" s="6">
        <f t="shared" ca="1" si="11"/>
        <v>-342.38912858463209</v>
      </c>
      <c r="O67" s="6"/>
      <c r="P67" s="6">
        <f t="shared" si="12"/>
        <v>-5.4827776662532104</v>
      </c>
    </row>
    <row r="68" spans="4:16" x14ac:dyDescent="0.15">
      <c r="D68" s="16">
        <v>1873</v>
      </c>
      <c r="E68" s="19">
        <v>2.6543209467750084</v>
      </c>
      <c r="F68" s="23">
        <f t="shared" si="13"/>
        <v>1.6417627974805046E-2</v>
      </c>
      <c r="G68" s="6">
        <f t="shared" si="7"/>
        <v>-7.9211840102760078</v>
      </c>
      <c r="H68" s="6"/>
      <c r="I68" s="129">
        <f t="shared" ca="1" si="8"/>
        <v>163.65933574393057</v>
      </c>
      <c r="J68" s="6"/>
      <c r="K68" s="6">
        <f t="shared" si="9"/>
        <v>-3.612676346810932</v>
      </c>
      <c r="M68" s="30">
        <f t="shared" si="10"/>
        <v>-2.5664013976101256</v>
      </c>
      <c r="N68" s="6">
        <f t="shared" ca="1" si="11"/>
        <v>-331.50279024754593</v>
      </c>
      <c r="O68" s="6"/>
      <c r="P68" s="6">
        <f t="shared" si="12"/>
        <v>-5.3056260052648048</v>
      </c>
    </row>
    <row r="69" spans="4:16" x14ac:dyDescent="0.15">
      <c r="D69" s="16">
        <v>1874</v>
      </c>
      <c r="E69" s="19">
        <v>3.1052561730496984</v>
      </c>
      <c r="F69" s="23">
        <f t="shared" si="13"/>
        <v>1.9522884147854747E-2</v>
      </c>
      <c r="G69" s="6">
        <f t="shared" si="7"/>
        <v>-7.7478836652913987</v>
      </c>
      <c r="H69" s="6"/>
      <c r="I69" s="129">
        <f t="shared" ca="1" si="8"/>
        <v>186.04144098477173</v>
      </c>
      <c r="J69" s="6"/>
      <c r="K69" s="6">
        <f t="shared" si="9"/>
        <v>-3.567522261662758</v>
      </c>
      <c r="M69" s="30">
        <f t="shared" si="10"/>
        <v>-2.5057383874160708</v>
      </c>
      <c r="N69" s="6">
        <f t="shared" ca="1" si="11"/>
        <v>-320.58495619647999</v>
      </c>
      <c r="O69" s="6"/>
      <c r="P69" s="6">
        <f t="shared" si="12"/>
        <v>-5.1314550535431049</v>
      </c>
    </row>
    <row r="70" spans="4:16" x14ac:dyDescent="0.15">
      <c r="D70" s="16">
        <v>1875</v>
      </c>
      <c r="E70" s="19">
        <v>3.2707820080336472</v>
      </c>
      <c r="F70" s="23">
        <f t="shared" si="13"/>
        <v>2.2793666155888393E-2</v>
      </c>
      <c r="G70" s="6">
        <f t="shared" si="7"/>
        <v>-7.5929159713539649</v>
      </c>
      <c r="H70" s="6"/>
      <c r="I70" s="129">
        <f t="shared" ca="1" si="8"/>
        <v>204.78642053089425</v>
      </c>
      <c r="J70" s="6"/>
      <c r="K70" s="6">
        <f t="shared" si="9"/>
        <v>-3.526715811259689</v>
      </c>
      <c r="M70" s="30">
        <f t="shared" si="10"/>
        <v>-2.4504741694451062</v>
      </c>
      <c r="N70" s="6">
        <f t="shared" ca="1" si="11"/>
        <v>-311.70672789279104</v>
      </c>
      <c r="O70" s="6"/>
      <c r="P70" s="6">
        <f t="shared" si="12"/>
        <v>-4.975569395295123</v>
      </c>
    </row>
    <row r="71" spans="4:16" x14ac:dyDescent="0.15">
      <c r="D71" s="16">
        <v>1876</v>
      </c>
      <c r="E71" s="19">
        <v>3.5936091411418065</v>
      </c>
      <c r="F71" s="23">
        <f t="shared" si="13"/>
        <v>2.6387275297030201E-2</v>
      </c>
      <c r="G71" s="6">
        <f t="shared" si="7"/>
        <v>-7.4464373065478267</v>
      </c>
      <c r="H71" s="6"/>
      <c r="I71" s="129">
        <f t="shared" ca="1" si="8"/>
        <v>221.8472101637708</v>
      </c>
      <c r="J71" s="6"/>
      <c r="K71" s="6">
        <f t="shared" si="9"/>
        <v>-3.4877614110115154</v>
      </c>
      <c r="M71" s="30">
        <f t="shared" si="10"/>
        <v>-2.3973065073828388</v>
      </c>
      <c r="N71" s="6">
        <f t="shared" ca="1" si="11"/>
        <v>-303.62055590547328</v>
      </c>
      <c r="O71" s="6"/>
      <c r="P71" s="6">
        <f t="shared" si="12"/>
        <v>-4.828081037042514</v>
      </c>
    </row>
    <row r="72" spans="4:16" x14ac:dyDescent="0.15">
      <c r="D72" s="16">
        <v>1877</v>
      </c>
      <c r="E72" s="19">
        <v>3.6957118765296895</v>
      </c>
      <c r="F72" s="23">
        <f t="shared" si="13"/>
        <v>3.0082987173559891E-2</v>
      </c>
      <c r="G72" s="6">
        <f t="shared" si="7"/>
        <v>-7.3152776736799625</v>
      </c>
      <c r="H72" s="6"/>
      <c r="I72" s="129">
        <f t="shared" ca="1" si="8"/>
        <v>235.86876425250284</v>
      </c>
      <c r="J72" s="6"/>
      <c r="K72" s="6">
        <f t="shared" si="9"/>
        <v>-3.4525562747672902</v>
      </c>
      <c r="M72" s="30">
        <f t="shared" si="10"/>
        <v>-2.3488935241446094</v>
      </c>
      <c r="N72" s="6">
        <f t="shared" ca="1" si="11"/>
        <v>-297.33065053774544</v>
      </c>
      <c r="O72" s="6"/>
      <c r="P72" s="6">
        <f t="shared" si="12"/>
        <v>-4.6958817909170723</v>
      </c>
    </row>
    <row r="73" spans="4:16" x14ac:dyDescent="0.15">
      <c r="D73" s="16">
        <v>1878</v>
      </c>
      <c r="E73" s="19">
        <v>3.8548674602640154</v>
      </c>
      <c r="F73" s="23">
        <f t="shared" si="13"/>
        <v>3.3937854633823906E-2</v>
      </c>
      <c r="G73" s="6">
        <f t="shared" si="7"/>
        <v>-7.1946211727327354</v>
      </c>
      <c r="H73" s="6"/>
      <c r="I73" s="129">
        <f t="shared" ca="1" si="8"/>
        <v>247.80653837480804</v>
      </c>
      <c r="J73" s="6"/>
      <c r="K73" s="6">
        <f t="shared" si="9"/>
        <v>-3.4198926135028382</v>
      </c>
      <c r="M73" s="30">
        <f t="shared" si="10"/>
        <v>-2.3036535970958778</v>
      </c>
      <c r="N73" s="6">
        <f t="shared" ca="1" si="11"/>
        <v>-292.23949173654967</v>
      </c>
      <c r="O73" s="6"/>
      <c r="P73" s="6">
        <f t="shared" si="12"/>
        <v>-4.5741395716084883</v>
      </c>
    </row>
    <row r="74" spans="4:16" x14ac:dyDescent="0.15">
      <c r="D74" s="16">
        <v>1879</v>
      </c>
      <c r="E74" s="19">
        <v>4.3266951511184253</v>
      </c>
      <c r="F74" s="23">
        <f t="shared" si="13"/>
        <v>3.8264549784942328E-2</v>
      </c>
      <c r="G74" s="6">
        <f t="shared" si="7"/>
        <v>-7.0745326462850269</v>
      </c>
      <c r="H74" s="6"/>
      <c r="I74" s="129">
        <f t="shared" ca="1" si="8"/>
        <v>259.63162859554268</v>
      </c>
      <c r="J74" s="6"/>
      <c r="K74" s="6">
        <f t="shared" si="9"/>
        <v>-3.3871121672278459</v>
      </c>
      <c r="M74" s="30">
        <f t="shared" si="10"/>
        <v>-2.2579267712111912</v>
      </c>
      <c r="N74" s="6">
        <f t="shared" ca="1" si="11"/>
        <v>-286.96438778185131</v>
      </c>
      <c r="O74" s="6"/>
      <c r="P74" s="6">
        <f t="shared" si="12"/>
        <v>-4.4528308105413599</v>
      </c>
    </row>
    <row r="75" spans="4:16" x14ac:dyDescent="0.15">
      <c r="D75" s="16">
        <v>1880</v>
      </c>
      <c r="E75" s="19">
        <v>5.4083188169411054</v>
      </c>
      <c r="F75" s="23">
        <f t="shared" si="13"/>
        <v>4.3672868601883436E-2</v>
      </c>
      <c r="G75" s="6">
        <f t="shared" si="7"/>
        <v>-6.9422098314627823</v>
      </c>
      <c r="H75" s="6"/>
      <c r="I75" s="129">
        <f t="shared" ca="1" si="8"/>
        <v>273.88395339839735</v>
      </c>
      <c r="J75" s="6"/>
      <c r="K75" s="6">
        <f t="shared" si="9"/>
        <v>-3.3506720421384224</v>
      </c>
      <c r="M75" s="30">
        <f t="shared" si="10"/>
        <v>-2.2066952876164394</v>
      </c>
      <c r="N75" s="6">
        <f t="shared" ca="1" si="11"/>
        <v>-279.60968323523309</v>
      </c>
      <c r="O75" s="6"/>
      <c r="P75" s="6">
        <f t="shared" si="12"/>
        <v>-4.3189802905732622</v>
      </c>
    </row>
    <row r="76" spans="4:16" x14ac:dyDescent="0.15">
      <c r="D76" s="16">
        <v>1881</v>
      </c>
      <c r="E76" s="19">
        <v>6.5865059481245822</v>
      </c>
      <c r="F76" s="23">
        <f t="shared" si="13"/>
        <v>5.0259374550008021E-2</v>
      </c>
      <c r="G76" s="6">
        <f t="shared" si="7"/>
        <v>-6.8015940797540573</v>
      </c>
      <c r="H76" s="6"/>
      <c r="I76" s="129">
        <f t="shared" ca="1" si="8"/>
        <v>289.78156418618346</v>
      </c>
      <c r="J76" s="6"/>
      <c r="K76" s="6">
        <f t="shared" si="9"/>
        <v>-3.3115708586314887</v>
      </c>
      <c r="M76" s="30">
        <f t="shared" si="10"/>
        <v>-2.1512315860417979</v>
      </c>
      <c r="N76" s="6">
        <f t="shared" ca="1" si="11"/>
        <v>-270.65609216747475</v>
      </c>
      <c r="O76" s="6"/>
      <c r="P76" s="6">
        <f t="shared" si="12"/>
        <v>-4.1765003749340739</v>
      </c>
    </row>
    <row r="77" spans="4:16" x14ac:dyDescent="0.15">
      <c r="D77" s="16">
        <v>1882</v>
      </c>
      <c r="E77" s="19">
        <v>9.221614536459759</v>
      </c>
      <c r="F77" s="23">
        <f t="shared" si="13"/>
        <v>5.9480989086467782E-2</v>
      </c>
      <c r="G77" s="6">
        <f t="shared" si="7"/>
        <v>-6.6329303658336052</v>
      </c>
      <c r="H77" s="6"/>
      <c r="I77" s="129">
        <f t="shared" ca="1" si="8"/>
        <v>311.24378010294367</v>
      </c>
      <c r="J77" s="6"/>
      <c r="K77" s="6">
        <f t="shared" si="9"/>
        <v>-3.2641425390927106</v>
      </c>
      <c r="M77" s="30">
        <f t="shared" si="10"/>
        <v>-2.0832346458163462</v>
      </c>
      <c r="N77" s="6">
        <f t="shared" ca="1" si="11"/>
        <v>-256.96757807821086</v>
      </c>
      <c r="O77" s="6"/>
      <c r="P77" s="6">
        <f t="shared" si="12"/>
        <v>-4.0052199194367049</v>
      </c>
    </row>
    <row r="78" spans="4:16" x14ac:dyDescent="0.15">
      <c r="D78" s="16">
        <v>1883</v>
      </c>
      <c r="E78" s="19">
        <v>10.681488879942638</v>
      </c>
      <c r="F78" s="23">
        <f t="shared" si="13"/>
        <v>7.0162477966410425E-2</v>
      </c>
      <c r="G78" s="6">
        <f t="shared" ref="G78:G109" si="14" xml:space="preserve"> - LN(F$1/F78 - 1)</f>
        <v>-6.4675370431884875</v>
      </c>
      <c r="H78" s="6"/>
      <c r="I78" s="129">
        <f t="shared" ref="I78:I109" ca="1" si="15" xml:space="preserve"> (G78*(F$2-E$2)/LN(81) + AVERAGE(E$2:F$2) - D78)*12</f>
        <v>332.05716328358176</v>
      </c>
      <c r="J78" s="6"/>
      <c r="K78" s="6">
        <f t="shared" ref="K78:K109" si="16">NORMSINV(F78/F$5)</f>
        <v>-3.2170570001734085</v>
      </c>
      <c r="M78" s="30">
        <f t="shared" ref="M78:M109" si="17">NORMSINV(F78/F$6)</f>
        <v>-2.0148963717949986</v>
      </c>
      <c r="N78" s="6">
        <f t="shared" ref="N78:N109" ca="1" si="18">(M78*(F$7-E$7)/(NORMSINV(0.9)-NORMSINV(0.1))-(D78-AVERAGE(E$7:F$7)))*12</f>
        <v>-243.15011174497909</v>
      </c>
      <c r="O78" s="6"/>
      <c r="P78" s="6">
        <f t="shared" ref="P78:P109" si="19" xml:space="preserve"> - LN(F$10/F78 - 1)</f>
        <v>-3.8367856735757955</v>
      </c>
    </row>
    <row r="79" spans="4:16" x14ac:dyDescent="0.15">
      <c r="D79" s="16">
        <v>1884</v>
      </c>
      <c r="E79" s="19">
        <v>11.210385748468823</v>
      </c>
      <c r="F79" s="23">
        <f t="shared" si="13"/>
        <v>8.1372863714879243E-2</v>
      </c>
      <c r="G79" s="6">
        <f t="shared" si="14"/>
        <v>-6.3190606889609677</v>
      </c>
      <c r="H79" s="6"/>
      <c r="I79" s="129">
        <f t="shared" ca="1" si="15"/>
        <v>349.51428662214494</v>
      </c>
      <c r="J79" s="6"/>
      <c r="K79" s="6">
        <f t="shared" si="16"/>
        <v>-3.1742850322519107</v>
      </c>
      <c r="M79" s="30">
        <f t="shared" si="17"/>
        <v>-1.9520504212433842</v>
      </c>
      <c r="N79" s="6">
        <f t="shared" ca="1" si="18"/>
        <v>-231.40758626007442</v>
      </c>
      <c r="O79" s="6"/>
      <c r="P79" s="6">
        <f t="shared" si="19"/>
        <v>-3.685106293033555</v>
      </c>
    </row>
    <row r="80" spans="4:16" x14ac:dyDescent="0.15">
      <c r="D80" s="16">
        <v>1885</v>
      </c>
      <c r="E80" s="19">
        <v>11.368619632506539</v>
      </c>
      <c r="F80" s="23">
        <f t="shared" si="13"/>
        <v>9.2741483347385786E-2</v>
      </c>
      <c r="G80" s="6">
        <f t="shared" si="14"/>
        <v>-6.1880349247865061</v>
      </c>
      <c r="H80" s="6"/>
      <c r="I80" s="129">
        <f t="shared" ca="1" si="15"/>
        <v>363.50928168985865</v>
      </c>
      <c r="J80" s="6"/>
      <c r="K80" s="6">
        <f t="shared" si="16"/>
        <v>-3.1361331967733901</v>
      </c>
      <c r="M80" s="30">
        <f t="shared" si="17"/>
        <v>-1.8953354882213083</v>
      </c>
      <c r="N80" s="6">
        <f t="shared" ca="1" si="18"/>
        <v>-221.98129338309093</v>
      </c>
      <c r="O80" s="6"/>
      <c r="P80" s="6">
        <f t="shared" si="19"/>
        <v>-3.5508201482696196</v>
      </c>
    </row>
    <row r="81" spans="4:16" x14ac:dyDescent="0.15">
      <c r="D81" s="16">
        <v>1886</v>
      </c>
      <c r="E81" s="19">
        <v>10.513058239418772</v>
      </c>
      <c r="F81" s="23">
        <f t="shared" si="13"/>
        <v>0.10325454158680455</v>
      </c>
      <c r="G81" s="6">
        <f t="shared" si="14"/>
        <v>-6.0804207311609044</v>
      </c>
      <c r="H81" s="6"/>
      <c r="I81" s="129">
        <f t="shared" ca="1" si="15"/>
        <v>372.8595134564066</v>
      </c>
      <c r="J81" s="6"/>
      <c r="K81" s="6">
        <f t="shared" si="16"/>
        <v>-3.104505350454851</v>
      </c>
      <c r="M81" s="30">
        <f t="shared" si="17"/>
        <v>-1.8478211898284287</v>
      </c>
      <c r="N81" s="6">
        <f t="shared" ca="1" si="18"/>
        <v>-216.0309015028088</v>
      </c>
      <c r="O81" s="6"/>
      <c r="P81" s="6">
        <f t="shared" si="19"/>
        <v>-3.4401799807406803</v>
      </c>
    </row>
    <row r="82" spans="4:16" x14ac:dyDescent="0.15">
      <c r="D82" s="16">
        <v>1887</v>
      </c>
      <c r="E82" s="19">
        <v>13.347600506793313</v>
      </c>
      <c r="F82" s="23">
        <f t="shared" si="13"/>
        <v>0.11660214209359787</v>
      </c>
      <c r="G82" s="6">
        <f t="shared" si="14"/>
        <v>-5.9585545939362197</v>
      </c>
      <c r="H82" s="6"/>
      <c r="I82" s="129">
        <f t="shared" ca="1" si="15"/>
        <v>385.03727464739404</v>
      </c>
      <c r="J82" s="6"/>
      <c r="K82" s="6">
        <f t="shared" si="16"/>
        <v>-3.0683618709343574</v>
      </c>
      <c r="M82" s="30">
        <f t="shared" si="17"/>
        <v>-1.7929392881882782</v>
      </c>
      <c r="N82" s="6">
        <f t="shared" ca="1" si="18"/>
        <v>-207.29710820484362</v>
      </c>
      <c r="O82" s="6"/>
      <c r="P82" s="6">
        <f t="shared" si="19"/>
        <v>-3.3144567213010991</v>
      </c>
    </row>
    <row r="83" spans="4:16" x14ac:dyDescent="0.15">
      <c r="D83" s="16">
        <v>1888</v>
      </c>
      <c r="E83" s="19">
        <v>16.197896037191164</v>
      </c>
      <c r="F83" s="23">
        <f t="shared" si="13"/>
        <v>0.13280003813078903</v>
      </c>
      <c r="G83" s="6">
        <f t="shared" si="14"/>
        <v>-5.8281187411003437</v>
      </c>
      <c r="H83" s="6"/>
      <c r="I83" s="129">
        <f t="shared" ca="1" si="15"/>
        <v>398.91523363114902</v>
      </c>
      <c r="J83" s="6"/>
      <c r="K83" s="6">
        <f t="shared" si="16"/>
        <v>-3.0292823175792636</v>
      </c>
      <c r="M83" s="30">
        <f t="shared" si="17"/>
        <v>-1.7328570308471605</v>
      </c>
      <c r="N83" s="6">
        <f t="shared" ca="1" si="18"/>
        <v>-196.5986763473999</v>
      </c>
      <c r="O83" s="6"/>
      <c r="P83" s="6">
        <f t="shared" si="19"/>
        <v>-3.1793169258713667</v>
      </c>
    </row>
    <row r="84" spans="4:16" x14ac:dyDescent="0.15">
      <c r="D84" s="16">
        <v>1889</v>
      </c>
      <c r="E84" s="19">
        <v>14.801211646825976</v>
      </c>
      <c r="F84" s="23">
        <f t="shared" si="13"/>
        <v>0.14760124977761502</v>
      </c>
      <c r="G84" s="6">
        <f t="shared" si="14"/>
        <v>-5.7221207523586148</v>
      </c>
      <c r="H84" s="6"/>
      <c r="I84" s="129">
        <f t="shared" ca="1" si="15"/>
        <v>407.94481672031725</v>
      </c>
      <c r="J84" s="6"/>
      <c r="K84" s="6">
        <f t="shared" si="16"/>
        <v>-2.9972166202075852</v>
      </c>
      <c r="M84" s="30">
        <f t="shared" si="17"/>
        <v>-1.6829470968912346</v>
      </c>
      <c r="N84" s="6">
        <f t="shared" ca="1" si="18"/>
        <v>-189.74323906786867</v>
      </c>
      <c r="O84" s="6"/>
      <c r="P84" s="6">
        <f t="shared" si="19"/>
        <v>-3.0689981901954195</v>
      </c>
    </row>
    <row r="85" spans="4:16" x14ac:dyDescent="0.15">
      <c r="D85" s="16">
        <v>1890</v>
      </c>
      <c r="E85" s="19">
        <v>16.415630354005895</v>
      </c>
      <c r="F85" s="23">
        <f t="shared" si="13"/>
        <v>0.16401688013162091</v>
      </c>
      <c r="G85" s="6">
        <f t="shared" si="14"/>
        <v>-5.6163017315936861</v>
      </c>
      <c r="H85" s="6"/>
      <c r="I85" s="129">
        <f t="shared" ca="1" si="15"/>
        <v>416.93889326843964</v>
      </c>
      <c r="J85" s="6"/>
      <c r="K85" s="6">
        <f t="shared" si="16"/>
        <v>-2.9649230639932727</v>
      </c>
      <c r="M85" s="30">
        <f t="shared" si="17"/>
        <v>-1.6320921914406132</v>
      </c>
      <c r="N85" s="6">
        <f t="shared" ca="1" si="18"/>
        <v>-182.53080170164318</v>
      </c>
      <c r="O85" s="6"/>
      <c r="P85" s="6">
        <f t="shared" si="19"/>
        <v>-2.9583618664973943</v>
      </c>
    </row>
    <row r="86" spans="4:16" x14ac:dyDescent="0.15">
      <c r="D86" s="16">
        <v>1891</v>
      </c>
      <c r="E86" s="19">
        <v>17.662342591767477</v>
      </c>
      <c r="F86" s="23">
        <f t="shared" si="13"/>
        <v>0.18167922272338838</v>
      </c>
      <c r="G86" s="6">
        <f t="shared" si="14"/>
        <v>-5.5136366157190935</v>
      </c>
      <c r="H86" s="6"/>
      <c r="I86" s="129">
        <f t="shared" ca="1" si="15"/>
        <v>425.30724751999696</v>
      </c>
      <c r="J86" s="6"/>
      <c r="K86" s="6">
        <f t="shared" si="16"/>
        <v>-2.9333167678041683</v>
      </c>
      <c r="M86" s="30">
        <f t="shared" si="17"/>
        <v>-1.5817128782092686</v>
      </c>
      <c r="N86" s="6">
        <f t="shared" ca="1" si="18"/>
        <v>-175.49803797051251</v>
      </c>
      <c r="O86" s="6"/>
      <c r="P86" s="6">
        <f t="shared" si="19"/>
        <v>-2.8504835913365123</v>
      </c>
    </row>
    <row r="87" spans="4:16" x14ac:dyDescent="0.15">
      <c r="D87" s="16">
        <v>1892</v>
      </c>
      <c r="E87" s="19">
        <v>18.696475136411326</v>
      </c>
      <c r="F87" s="23">
        <f t="shared" si="13"/>
        <v>0.2003756978597997</v>
      </c>
      <c r="G87" s="6">
        <f t="shared" si="14"/>
        <v>-5.41527018499667</v>
      </c>
      <c r="H87" s="6"/>
      <c r="I87" s="129">
        <f t="shared" ca="1" si="15"/>
        <v>432.82275958412083</v>
      </c>
      <c r="J87" s="6"/>
      <c r="K87" s="6">
        <f t="shared" si="16"/>
        <v>-2.9027740827318556</v>
      </c>
      <c r="M87" s="30">
        <f t="shared" si="17"/>
        <v>-1.53242548742094</v>
      </c>
      <c r="N87" s="6">
        <f t="shared" ca="1" si="18"/>
        <v>-168.87779081687481</v>
      </c>
      <c r="O87" s="6"/>
      <c r="P87" s="6">
        <f t="shared" si="19"/>
        <v>-2.746564507831188</v>
      </c>
    </row>
    <row r="88" spans="4:16" x14ac:dyDescent="0.15">
      <c r="D88" s="16">
        <v>1893</v>
      </c>
      <c r="E88" s="19">
        <v>19.588293074848337</v>
      </c>
      <c r="F88" s="23">
        <f t="shared" si="13"/>
        <v>0.21996399093464802</v>
      </c>
      <c r="G88" s="6">
        <f t="shared" si="14"/>
        <v>-5.3215654886338308</v>
      </c>
      <c r="H88" s="6"/>
      <c r="I88" s="129">
        <f t="shared" ca="1" si="15"/>
        <v>439.41340192931966</v>
      </c>
      <c r="J88" s="6"/>
      <c r="K88" s="6">
        <f t="shared" si="16"/>
        <v>-2.8734375329892883</v>
      </c>
      <c r="M88" s="30">
        <f t="shared" si="17"/>
        <v>-1.4844936307191032</v>
      </c>
      <c r="N88" s="6">
        <f t="shared" ca="1" si="18"/>
        <v>-162.76964988983883</v>
      </c>
      <c r="O88" s="6"/>
      <c r="P88" s="6">
        <f t="shared" si="19"/>
        <v>-2.6470040453678423</v>
      </c>
    </row>
    <row r="89" spans="4:16" x14ac:dyDescent="0.15">
      <c r="D89" s="16">
        <v>1894</v>
      </c>
      <c r="E89" s="19">
        <v>18.118192944967607</v>
      </c>
      <c r="F89" s="23">
        <f t="shared" si="13"/>
        <v>0.23808218387961563</v>
      </c>
      <c r="G89" s="6">
        <f t="shared" si="14"/>
        <v>-5.2420109582102201</v>
      </c>
      <c r="H89" s="6"/>
      <c r="I89" s="129">
        <f t="shared" ca="1" si="15"/>
        <v>443.19670713654887</v>
      </c>
      <c r="J89" s="6"/>
      <c r="K89" s="6">
        <f t="shared" si="16"/>
        <v>-2.8483427014200964</v>
      </c>
      <c r="M89" s="30">
        <f t="shared" si="17"/>
        <v>-1.4430073575718336</v>
      </c>
      <c r="N89" s="6">
        <f t="shared" ca="1" si="18"/>
        <v>-159.09658123820299</v>
      </c>
      <c r="O89" s="6"/>
      <c r="P89" s="6">
        <f t="shared" si="19"/>
        <v>-2.5619979508438635</v>
      </c>
    </row>
    <row r="90" spans="4:16" x14ac:dyDescent="0.15">
      <c r="D90" s="16">
        <v>1895</v>
      </c>
      <c r="E90" s="19">
        <v>19.192331429494271</v>
      </c>
      <c r="F90" s="23">
        <f t="shared" si="13"/>
        <v>0.25727451530910989</v>
      </c>
      <c r="G90" s="6">
        <f t="shared" si="14"/>
        <v>-5.1640567169004772</v>
      </c>
      <c r="H90" s="6"/>
      <c r="I90" s="129">
        <f t="shared" ca="1" si="15"/>
        <v>446.66252129242639</v>
      </c>
      <c r="J90" s="6"/>
      <c r="K90" s="6">
        <f t="shared" si="16"/>
        <v>-2.8235819504861088</v>
      </c>
      <c r="M90" s="30">
        <f t="shared" si="17"/>
        <v>-1.4016121348504436</v>
      </c>
      <c r="N90" s="6">
        <f t="shared" ca="1" si="18"/>
        <v>-155.45791046006374</v>
      </c>
      <c r="O90" s="6"/>
      <c r="P90" s="6">
        <f t="shared" si="19"/>
        <v>-2.4782315194445257</v>
      </c>
    </row>
    <row r="91" spans="4:16" x14ac:dyDescent="0.15">
      <c r="D91" s="16">
        <v>1896</v>
      </c>
      <c r="E91" s="19">
        <v>19.175115784668851</v>
      </c>
      <c r="F91" s="23">
        <f t="shared" si="13"/>
        <v>0.27644963109377874</v>
      </c>
      <c r="G91" s="6">
        <f t="shared" si="14"/>
        <v>-5.091745449161718</v>
      </c>
      <c r="H91" s="6"/>
      <c r="I91" s="129">
        <f t="shared" ca="1" si="15"/>
        <v>449.00879173818885</v>
      </c>
      <c r="J91" s="6"/>
      <c r="K91" s="6">
        <f t="shared" si="16"/>
        <v>-2.8004600934852761</v>
      </c>
      <c r="M91" s="30">
        <f t="shared" si="17"/>
        <v>-1.3625225626798367</v>
      </c>
      <c r="N91" s="6">
        <f t="shared" ca="1" si="18"/>
        <v>-152.69028970950424</v>
      </c>
      <c r="O91" s="6"/>
      <c r="P91" s="6">
        <f t="shared" si="19"/>
        <v>-2.400074344050906</v>
      </c>
    </row>
    <row r="92" spans="4:16" x14ac:dyDescent="0.15">
      <c r="D92" s="16">
        <v>1897</v>
      </c>
      <c r="E92" s="19">
        <v>21.514852278890253</v>
      </c>
      <c r="F92" s="23">
        <f t="shared" si="13"/>
        <v>0.29796448337266901</v>
      </c>
      <c r="G92" s="6">
        <f t="shared" si="14"/>
        <v>-5.016321261260603</v>
      </c>
      <c r="H92" s="6"/>
      <c r="I92" s="129">
        <f t="shared" ca="1" si="15"/>
        <v>451.97265327205514</v>
      </c>
      <c r="J92" s="6"/>
      <c r="K92" s="6">
        <f t="shared" si="16"/>
        <v>-2.7761829968086649</v>
      </c>
      <c r="M92" s="30">
        <f t="shared" si="17"/>
        <v>-1.3210058189353986</v>
      </c>
      <c r="N92" s="6">
        <f t="shared" ca="1" si="18"/>
        <v>-149.00570959335121</v>
      </c>
      <c r="O92" s="6"/>
      <c r="P92" s="6">
        <f t="shared" si="19"/>
        <v>-2.3180439967817144</v>
      </c>
    </row>
    <row r="93" spans="4:16" x14ac:dyDescent="0.15">
      <c r="D93" s="16">
        <v>1898</v>
      </c>
      <c r="E93" s="19">
        <v>23.737299765163435</v>
      </c>
      <c r="F93" s="23">
        <f t="shared" si="13"/>
        <v>0.32170178313783243</v>
      </c>
      <c r="G93" s="6">
        <f t="shared" si="14"/>
        <v>-4.9391423529293847</v>
      </c>
      <c r="H93" s="6"/>
      <c r="I93" s="129">
        <f t="shared" ca="1" si="15"/>
        <v>455.28464442159839</v>
      </c>
      <c r="J93" s="6"/>
      <c r="K93" s="6">
        <f t="shared" si="16"/>
        <v>-2.7511695005643606</v>
      </c>
      <c r="M93" s="30">
        <f t="shared" si="17"/>
        <v>-1.2776953227039325</v>
      </c>
      <c r="N93" s="6">
        <f t="shared" ca="1" si="18"/>
        <v>-144.64346904302448</v>
      </c>
      <c r="O93" s="6"/>
      <c r="P93" s="6">
        <f t="shared" si="19"/>
        <v>-2.233518107389556</v>
      </c>
    </row>
    <row r="94" spans="4:16" x14ac:dyDescent="0.15">
      <c r="D94" s="16">
        <v>1899</v>
      </c>
      <c r="E94" s="19">
        <v>26.892308670950676</v>
      </c>
      <c r="F94" s="23">
        <f t="shared" si="13"/>
        <v>0.34859409180878309</v>
      </c>
      <c r="G94" s="6">
        <f t="shared" si="14"/>
        <v>-4.8582603721995428</v>
      </c>
      <c r="H94" s="6"/>
      <c r="I94" s="129">
        <f t="shared" ca="1" si="15"/>
        <v>459.33131053636043</v>
      </c>
      <c r="J94" s="6"/>
      <c r="K94" s="6">
        <f t="shared" si="16"/>
        <v>-2.7247665998038664</v>
      </c>
      <c r="M94" s="30">
        <f t="shared" si="17"/>
        <v>-1.2313577734190129</v>
      </c>
      <c r="N94" s="6">
        <f t="shared" ca="1" si="18"/>
        <v>-139.13764034366091</v>
      </c>
      <c r="O94" s="6"/>
      <c r="P94" s="6">
        <f t="shared" si="19"/>
        <v>-2.1442373896345956</v>
      </c>
    </row>
    <row r="95" spans="4:16" x14ac:dyDescent="0.15">
      <c r="D95" s="16">
        <v>1900</v>
      </c>
      <c r="E95" s="19">
        <v>30.618521912834225</v>
      </c>
      <c r="F95" s="23">
        <f t="shared" si="13"/>
        <v>0.3792126137216173</v>
      </c>
      <c r="G95" s="6">
        <f t="shared" si="14"/>
        <v>-4.7733893466009985</v>
      </c>
      <c r="H95" s="6"/>
      <c r="I95" s="129">
        <f t="shared" ca="1" si="15"/>
        <v>464.16938742701313</v>
      </c>
      <c r="J95" s="6"/>
      <c r="K95" s="6">
        <f t="shared" si="16"/>
        <v>-2.696849837646567</v>
      </c>
      <c r="M95" s="30">
        <f t="shared" si="17"/>
        <v>-1.1816274151705191</v>
      </c>
      <c r="N95" s="6">
        <f t="shared" ca="1" si="18"/>
        <v>-132.35004483870318</v>
      </c>
      <c r="O95" s="6"/>
      <c r="P95" s="6">
        <f t="shared" si="19"/>
        <v>-2.0497047928063155</v>
      </c>
    </row>
    <row r="96" spans="4:16" x14ac:dyDescent="0.15">
      <c r="D96" s="16">
        <v>1901</v>
      </c>
      <c r="E96" s="19">
        <v>33.222486849019084</v>
      </c>
      <c r="F96" s="23">
        <f t="shared" si="13"/>
        <v>0.41243510057063637</v>
      </c>
      <c r="G96" s="6">
        <f t="shared" si="14"/>
        <v>-4.6886667999123297</v>
      </c>
      <c r="H96" s="6"/>
      <c r="I96" s="129">
        <f t="shared" ca="1" si="15"/>
        <v>468.97800668729633</v>
      </c>
      <c r="J96" s="6"/>
      <c r="K96" s="6">
        <f t="shared" si="16"/>
        <v>-2.6687620509199639</v>
      </c>
      <c r="M96" s="30">
        <f t="shared" si="17"/>
        <v>-1.1307795003935024</v>
      </c>
      <c r="N96" s="6">
        <f t="shared" ca="1" si="18"/>
        <v>-125.1402484739225</v>
      </c>
      <c r="O96" s="6"/>
      <c r="P96" s="6">
        <f t="shared" si="19"/>
        <v>-1.9543771615847503</v>
      </c>
    </row>
    <row r="97" spans="4:16" x14ac:dyDescent="0.15">
      <c r="D97" s="16">
        <v>1902</v>
      </c>
      <c r="E97" s="19">
        <v>36.11052035744784</v>
      </c>
      <c r="F97" s="23">
        <f t="shared" si="13"/>
        <v>0.4485456209280842</v>
      </c>
      <c r="G97" s="6">
        <f t="shared" si="14"/>
        <v>-4.6039295334851884</v>
      </c>
      <c r="H97" s="6"/>
      <c r="I97" s="129">
        <f t="shared" ca="1" si="15"/>
        <v>473.78954628566134</v>
      </c>
      <c r="J97" s="6"/>
      <c r="K97" s="6">
        <f t="shared" si="16"/>
        <v>-2.6404459340242608</v>
      </c>
      <c r="M97" s="30">
        <f t="shared" si="17"/>
        <v>-1.0786362755455716</v>
      </c>
      <c r="N97" s="6">
        <f t="shared" ca="1" si="18"/>
        <v>-117.44109786913762</v>
      </c>
      <c r="O97" s="6"/>
      <c r="P97" s="6">
        <f t="shared" si="19"/>
        <v>-1.8579657577924489</v>
      </c>
    </row>
    <row r="98" spans="4:16" x14ac:dyDescent="0.15">
      <c r="D98" s="16">
        <v>1903</v>
      </c>
      <c r="E98" s="19">
        <v>39.509999221544774</v>
      </c>
      <c r="F98" s="23">
        <f t="shared" si="13"/>
        <v>0.488055620149629</v>
      </c>
      <c r="G98" s="6">
        <f t="shared" si="14"/>
        <v>-4.5186282241594187</v>
      </c>
      <c r="H98" s="6"/>
      <c r="I98" s="129">
        <f t="shared" ca="1" si="15"/>
        <v>478.71298977148308</v>
      </c>
      <c r="J98" s="6"/>
      <c r="K98" s="6">
        <f t="shared" si="16"/>
        <v>-2.611711854478548</v>
      </c>
      <c r="M98" s="30">
        <f t="shared" si="17"/>
        <v>-1.0247531658784965</v>
      </c>
      <c r="N98" s="6">
        <f t="shared" ca="1" si="18"/>
        <v>-109.08463745685117</v>
      </c>
      <c r="O98" s="6"/>
      <c r="P98" s="6">
        <f t="shared" si="19"/>
        <v>-1.7597112092354417</v>
      </c>
    </row>
    <row r="99" spans="4:16" x14ac:dyDescent="0.15">
      <c r="D99" s="16">
        <v>1904</v>
      </c>
      <c r="E99" s="19">
        <v>39.026066964694394</v>
      </c>
      <c r="F99" s="23">
        <f t="shared" si="13"/>
        <v>0.52708168711432335</v>
      </c>
      <c r="G99" s="6">
        <f t="shared" si="14"/>
        <v>-4.4408297713621474</v>
      </c>
      <c r="H99" s="6"/>
      <c r="I99" s="129">
        <f t="shared" ca="1" si="15"/>
        <v>482.14789610065236</v>
      </c>
      <c r="J99" s="6"/>
      <c r="K99" s="6">
        <f t="shared" si="16"/>
        <v>-2.5853011760363587</v>
      </c>
      <c r="M99" s="30">
        <f t="shared" si="17"/>
        <v>-0.97430214964677664</v>
      </c>
      <c r="N99" s="6">
        <f t="shared" ca="1" si="18"/>
        <v>-102.02478510189009</v>
      </c>
      <c r="O99" s="6"/>
      <c r="P99" s="6">
        <f t="shared" si="19"/>
        <v>-1.668928399850014</v>
      </c>
    </row>
    <row r="100" spans="4:16" x14ac:dyDescent="0.15">
      <c r="D100" s="16">
        <v>1905</v>
      </c>
      <c r="E100" s="19">
        <v>41.45757426729115</v>
      </c>
      <c r="F100" s="23">
        <f t="shared" si="13"/>
        <v>0.56853926138161448</v>
      </c>
      <c r="G100" s="6">
        <f t="shared" si="14"/>
        <v>-4.3641874705812569</v>
      </c>
      <c r="H100" s="6"/>
      <c r="I100" s="129">
        <f t="shared" ca="1" si="15"/>
        <v>485.35342642768592</v>
      </c>
      <c r="J100" s="6"/>
      <c r="K100" s="6">
        <f t="shared" si="16"/>
        <v>-2.5590898289941846</v>
      </c>
      <c r="M100" s="30">
        <f t="shared" si="17"/>
        <v>-0.92329150453862174</v>
      </c>
      <c r="N100" s="6">
        <f t="shared" ca="1" si="18"/>
        <v>-94.753510964869562</v>
      </c>
      <c r="O100" s="6"/>
      <c r="P100" s="6">
        <f t="shared" si="19"/>
        <v>-1.5782801828350224</v>
      </c>
    </row>
    <row r="101" spans="4:16" x14ac:dyDescent="0.15">
      <c r="D101" s="16">
        <v>1906</v>
      </c>
      <c r="E101" s="19">
        <v>44.086769825486051</v>
      </c>
      <c r="F101" s="23">
        <f t="shared" si="13"/>
        <v>0.61262603120710057</v>
      </c>
      <c r="G101" s="6">
        <f t="shared" si="14"/>
        <v>-4.2885159233114889</v>
      </c>
      <c r="H101" s="6"/>
      <c r="I101" s="129">
        <f t="shared" ca="1" si="15"/>
        <v>488.36636308512789</v>
      </c>
      <c r="J101" s="6"/>
      <c r="K101" s="6">
        <f t="shared" si="16"/>
        <v>-2.5330197134549879</v>
      </c>
      <c r="M101" s="30">
        <f t="shared" si="17"/>
        <v>-0.87155766558925496</v>
      </c>
      <c r="N101" s="6">
        <f t="shared" ca="1" si="18"/>
        <v>-87.209021957920356</v>
      </c>
      <c r="O101" s="6"/>
      <c r="P101" s="6">
        <f t="shared" si="19"/>
        <v>-1.4874668811244329</v>
      </c>
    </row>
    <row r="102" spans="4:16" x14ac:dyDescent="0.15">
      <c r="D102" s="16">
        <v>1907</v>
      </c>
      <c r="E102" s="19">
        <v>49.553579378587706</v>
      </c>
      <c r="F102" s="23">
        <f t="shared" si="13"/>
        <v>0.66217961058568831</v>
      </c>
      <c r="G102" s="6">
        <f t="shared" si="14"/>
        <v>-4.2096229599765493</v>
      </c>
      <c r="H102" s="6"/>
      <c r="I102" s="129">
        <f t="shared" ca="1" si="15"/>
        <v>492.01841599006821</v>
      </c>
      <c r="J102" s="6"/>
      <c r="K102" s="6">
        <f t="shared" si="16"/>
        <v>-2.5056351226939233</v>
      </c>
      <c r="M102" s="30">
        <f t="shared" si="17"/>
        <v>-0.81605987090497489</v>
      </c>
      <c r="N102" s="6">
        <f t="shared" ca="1" si="18"/>
        <v>-78.242550879320589</v>
      </c>
      <c r="O102" s="6"/>
      <c r="P102" s="6">
        <f t="shared" si="19"/>
        <v>-1.3912396738098911</v>
      </c>
    </row>
    <row r="103" spans="4:16" x14ac:dyDescent="0.15">
      <c r="D103" s="16">
        <v>1908</v>
      </c>
      <c r="E103" s="19">
        <v>47.291976891718555</v>
      </c>
      <c r="F103" s="23">
        <f t="shared" si="13"/>
        <v>0.70947158747740691</v>
      </c>
      <c r="G103" s="6">
        <f t="shared" si="14"/>
        <v>-4.1395780737843788</v>
      </c>
      <c r="H103" s="6"/>
      <c r="I103" s="129">
        <f t="shared" ca="1" si="15"/>
        <v>493.91504527176949</v>
      </c>
      <c r="J103" s="6"/>
      <c r="K103" s="6">
        <f t="shared" si="16"/>
        <v>-2.4811444028770739</v>
      </c>
      <c r="M103" s="30">
        <f t="shared" si="17"/>
        <v>-0.76534440209310828</v>
      </c>
      <c r="N103" s="6">
        <f t="shared" ca="1" si="18"/>
        <v>-71.082791178403696</v>
      </c>
      <c r="O103" s="6"/>
      <c r="P103" s="6">
        <f t="shared" si="19"/>
        <v>-1.3043297529638926</v>
      </c>
    </row>
    <row r="104" spans="4:16" x14ac:dyDescent="0.15">
      <c r="D104" s="16">
        <v>1909</v>
      </c>
      <c r="E104" s="19">
        <v>43.347904141526044</v>
      </c>
      <c r="F104" s="23">
        <f t="shared" si="13"/>
        <v>0.75281949161893291</v>
      </c>
      <c r="G104" s="6">
        <f t="shared" si="14"/>
        <v>-4.0792992910872199</v>
      </c>
      <c r="H104" s="6"/>
      <c r="I104" s="129">
        <f t="shared" ca="1" si="15"/>
        <v>493.87411812109167</v>
      </c>
      <c r="J104" s="6"/>
      <c r="K104" s="6">
        <f t="shared" si="16"/>
        <v>-2.4599331604942409</v>
      </c>
      <c r="M104" s="30">
        <f t="shared" si="17"/>
        <v>-0.72053047017920857</v>
      </c>
      <c r="N104" s="6">
        <f t="shared" ca="1" si="18"/>
        <v>-66.152568766210166</v>
      </c>
      <c r="O104" s="6"/>
      <c r="P104" s="6">
        <f t="shared" si="19"/>
        <v>-1.2283063046954714</v>
      </c>
    </row>
    <row r="105" spans="4:16" x14ac:dyDescent="0.15">
      <c r="D105" s="16">
        <v>1910</v>
      </c>
      <c r="E105" s="19">
        <v>50.008897214345012</v>
      </c>
      <c r="F105" s="23">
        <f t="shared" si="13"/>
        <v>0.8028283888332779</v>
      </c>
      <c r="G105" s="6">
        <f t="shared" si="14"/>
        <v>-4.0138592305648579</v>
      </c>
      <c r="H105" s="6"/>
      <c r="I105" s="129">
        <f t="shared" ca="1" si="15"/>
        <v>494.85716814356238</v>
      </c>
      <c r="J105" s="6"/>
      <c r="K105" s="6">
        <f t="shared" si="16"/>
        <v>-2.4367626432500447</v>
      </c>
      <c r="M105" s="30">
        <f t="shared" si="17"/>
        <v>-0.67056200400224486</v>
      </c>
      <c r="N105" s="6">
        <f t="shared" ca="1" si="18"/>
        <v>-59.275018641897688</v>
      </c>
      <c r="O105" s="6"/>
      <c r="P105" s="6">
        <f t="shared" si="19"/>
        <v>-1.1443496150836872</v>
      </c>
    </row>
    <row r="106" spans="4:16" x14ac:dyDescent="0.15">
      <c r="D106" s="16">
        <v>1911</v>
      </c>
      <c r="E106" s="19">
        <v>49.149107433180561</v>
      </c>
      <c r="F106" s="23">
        <f t="shared" si="13"/>
        <v>0.85197749626645847</v>
      </c>
      <c r="G106" s="6">
        <f t="shared" si="14"/>
        <v>-3.9533336341533176</v>
      </c>
      <c r="H106" s="6"/>
      <c r="I106" s="129">
        <f t="shared" ca="1" si="15"/>
        <v>494.86520786080291</v>
      </c>
      <c r="J106" s="6"/>
      <c r="K106" s="6">
        <f t="shared" si="16"/>
        <v>-2.4151982747297049</v>
      </c>
      <c r="M106" s="30">
        <f t="shared" si="17"/>
        <v>-0.62303337402328007</v>
      </c>
      <c r="N106" s="6">
        <f t="shared" ca="1" si="18"/>
        <v>-53.31921244223804</v>
      </c>
      <c r="O106" s="6"/>
      <c r="P106" s="6">
        <f t="shared" si="19"/>
        <v>-1.0652436350218524</v>
      </c>
    </row>
    <row r="107" spans="4:16" x14ac:dyDescent="0.15">
      <c r="D107" s="16">
        <v>1912</v>
      </c>
      <c r="E107" s="19">
        <v>53.019666467905516</v>
      </c>
      <c r="F107" s="23">
        <f t="shared" si="13"/>
        <v>0.90499716273436404</v>
      </c>
      <c r="G107" s="6">
        <f t="shared" si="14"/>
        <v>-3.8917669682658964</v>
      </c>
      <c r="H107" s="6"/>
      <c r="I107" s="129">
        <f t="shared" ca="1" si="15"/>
        <v>495.0797916578349</v>
      </c>
      <c r="J107" s="6"/>
      <c r="K107" s="6">
        <f t="shared" si="16"/>
        <v>-2.3931296733916176</v>
      </c>
      <c r="M107" s="30">
        <f t="shared" si="17"/>
        <v>-0.57329020783858364</v>
      </c>
      <c r="N107" s="6">
        <f t="shared" ca="1" si="18"/>
        <v>-46.526778236472481</v>
      </c>
      <c r="O107" s="6"/>
      <c r="P107" s="6">
        <f t="shared" si="19"/>
        <v>-0.98319096081974044</v>
      </c>
    </row>
    <row r="108" spans="4:16" x14ac:dyDescent="0.15">
      <c r="D108" s="16">
        <v>1913</v>
      </c>
      <c r="E108" s="19">
        <v>53.663458283849053</v>
      </c>
      <c r="F108" s="23">
        <f t="shared" si="13"/>
        <v>0.95866062101821314</v>
      </c>
      <c r="G108" s="6">
        <f t="shared" si="14"/>
        <v>-3.8329507163073364</v>
      </c>
      <c r="H108" s="6"/>
      <c r="I108" s="129">
        <f t="shared" ca="1" si="15"/>
        <v>494.74870417437069</v>
      </c>
      <c r="J108" s="6"/>
      <c r="K108" s="6">
        <f t="shared" si="16"/>
        <v>-2.371920262854188</v>
      </c>
      <c r="M108" s="30">
        <f t="shared" si="17"/>
        <v>-0.52434760030963468</v>
      </c>
      <c r="N108" s="6">
        <f t="shared" ca="1" si="18"/>
        <v>-40.036786497077713</v>
      </c>
      <c r="O108" s="6"/>
      <c r="P108" s="6">
        <f t="shared" si="19"/>
        <v>-0.90315202750659163</v>
      </c>
    </row>
    <row r="109" spans="4:16" x14ac:dyDescent="0.15">
      <c r="D109" s="16">
        <v>1914</v>
      </c>
      <c r="E109" s="19">
        <v>49.410454656407367</v>
      </c>
      <c r="F109" s="23">
        <f t="shared" si="13"/>
        <v>1.0080710756746205</v>
      </c>
      <c r="G109" s="6">
        <f t="shared" si="14"/>
        <v>-3.7815776182467724</v>
      </c>
      <c r="H109" s="6"/>
      <c r="I109" s="129">
        <f t="shared" ca="1" si="15"/>
        <v>492.94092430078217</v>
      </c>
      <c r="J109" s="6"/>
      <c r="K109" s="6">
        <f t="shared" si="16"/>
        <v>-2.3532927756411701</v>
      </c>
      <c r="M109" s="30">
        <f t="shared" si="17"/>
        <v>-0.480371337678618</v>
      </c>
      <c r="N109" s="6">
        <f t="shared" ca="1" si="18"/>
        <v>-35.423026547814622</v>
      </c>
      <c r="O109" s="6"/>
      <c r="P109" s="6">
        <f t="shared" si="19"/>
        <v>-0.83178481531029547</v>
      </c>
    </row>
    <row r="110" spans="4:16" x14ac:dyDescent="0.15">
      <c r="D110" s="16">
        <v>1915</v>
      </c>
      <c r="E110" s="19">
        <v>48.616510158096816</v>
      </c>
      <c r="F110" s="23">
        <f t="shared" si="13"/>
        <v>1.0566875858327174</v>
      </c>
      <c r="G110" s="6">
        <f t="shared" ref="G110:G141" si="20" xml:space="preserve"> - LN(F$1/F110 - 1)</f>
        <v>-3.7333776554776881</v>
      </c>
      <c r="H110" s="6"/>
      <c r="I110" s="129">
        <f t="shared" ref="I110:I141" ca="1" si="21" xml:space="preserve"> (G110*(F$2-E$2)/LN(81) + AVERAGE(E$2:F$2) - D110)*12</f>
        <v>490.5036068948566</v>
      </c>
      <c r="J110" s="6"/>
      <c r="K110" s="6">
        <f t="shared" ref="K110:K141" si="22">NORMSINV(F110/F$5)</f>
        <v>-2.3357286526607517</v>
      </c>
      <c r="M110" s="30">
        <f t="shared" ref="M110:M141" si="23">NORMSINV(F110/F$6)</f>
        <v>-0.43799072276180823</v>
      </c>
      <c r="N110" s="6">
        <f t="shared" ref="N110:N141" ca="1" si="24">(M110*(F$7-E$7)/(NORMSINV(0.9)-NORMSINV(0.1))-(D110-AVERAGE(E$7:F$7)))*12</f>
        <v>-31.412085176152253</v>
      </c>
      <c r="O110" s="6"/>
      <c r="P110" s="6">
        <f t="shared" ref="P110:P141" si="25" xml:space="preserve"> - LN(F$10/F110 - 1)</f>
        <v>-0.76346896967752154</v>
      </c>
    </row>
    <row r="111" spans="4:16" x14ac:dyDescent="0.15">
      <c r="D111" s="16">
        <v>1916</v>
      </c>
      <c r="E111" s="19">
        <v>54.094596017526122</v>
      </c>
      <c r="F111" s="23">
        <f t="shared" si="13"/>
        <v>1.1107821818502435</v>
      </c>
      <c r="G111" s="6">
        <f t="shared" si="20"/>
        <v>-3.6822274522120257</v>
      </c>
      <c r="H111" s="6"/>
      <c r="I111" s="129">
        <f t="shared" ca="1" si="21"/>
        <v>488.65160557268155</v>
      </c>
      <c r="J111" s="6"/>
      <c r="K111" s="6">
        <f t="shared" si="22"/>
        <v>-2.3169965460540562</v>
      </c>
      <c r="M111" s="30">
        <f t="shared" si="23"/>
        <v>-0.39173849577135239</v>
      </c>
      <c r="N111" s="6">
        <f t="shared" ca="1" si="24"/>
        <v>-25.938490323726391</v>
      </c>
      <c r="O111" s="6"/>
      <c r="P111" s="6">
        <f t="shared" si="25"/>
        <v>-0.68939625700380391</v>
      </c>
    </row>
    <row r="112" spans="4:16" x14ac:dyDescent="0.15">
      <c r="D112" s="16">
        <v>1917</v>
      </c>
      <c r="E112" s="18">
        <v>62.603138853759923</v>
      </c>
      <c r="F112" s="23">
        <f t="shared" si="13"/>
        <v>1.1733853207040035</v>
      </c>
      <c r="G112" s="6">
        <f t="shared" si="20"/>
        <v>-3.6259794818922577</v>
      </c>
      <c r="H112" s="6"/>
      <c r="I112" s="129">
        <f t="shared" ca="1" si="21"/>
        <v>487.81098113705139</v>
      </c>
      <c r="J112" s="6"/>
      <c r="K112" s="6">
        <f t="shared" si="22"/>
        <v>-2.2962864072162854</v>
      </c>
      <c r="M112" s="30">
        <f t="shared" si="23"/>
        <v>-0.33923132420518309</v>
      </c>
      <c r="N112" s="6">
        <f t="shared" ca="1" si="24"/>
        <v>-18.101844555656008</v>
      </c>
      <c r="O112" s="6"/>
      <c r="P112" s="6">
        <f t="shared" si="25"/>
        <v>-0.60587428540551891</v>
      </c>
    </row>
    <row r="113" spans="4:16" x14ac:dyDescent="0.15">
      <c r="D113" s="16">
        <v>1918</v>
      </c>
      <c r="E113" s="18">
        <v>64.555202649603586</v>
      </c>
      <c r="F113" s="23">
        <f t="shared" si="13"/>
        <v>1.2379405233536072</v>
      </c>
      <c r="G113" s="6">
        <f t="shared" si="20"/>
        <v>-3.5709575882223268</v>
      </c>
      <c r="H113" s="6"/>
      <c r="I113" s="129">
        <f t="shared" ca="1" si="21"/>
        <v>486.72710792766975</v>
      </c>
      <c r="J113" s="6"/>
      <c r="K113" s="6">
        <f t="shared" si="22"/>
        <v>-2.2759143777212247</v>
      </c>
      <c r="M113" s="30">
        <f t="shared" si="23"/>
        <v>-0.28604804559956709</v>
      </c>
      <c r="N113" s="6">
        <f t="shared" ca="1" si="24"/>
        <v>-10.00977280590039</v>
      </c>
      <c r="O113" s="6">
        <f t="shared" ref="O113:O144" ca="1" si="26">F$6*NORMDIST(D113,AVERAGE(E$7:F$7),(F$7-E$7)/(NORMSINV(0.9)-NORMSINV(0.1)),1)</f>
        <v>1.270481443333044</v>
      </c>
      <c r="P113" s="6">
        <f t="shared" si="25"/>
        <v>-0.52184175272396083</v>
      </c>
    </row>
    <row r="114" spans="4:16" x14ac:dyDescent="0.15">
      <c r="D114" s="16">
        <v>1919</v>
      </c>
      <c r="E114" s="18">
        <v>49.12826123502262</v>
      </c>
      <c r="F114" s="23">
        <f t="shared" si="13"/>
        <v>1.2870687845886297</v>
      </c>
      <c r="G114" s="6">
        <f t="shared" si="20"/>
        <v>-3.5309224133720734</v>
      </c>
      <c r="H114" s="6"/>
      <c r="I114" s="129">
        <f t="shared" ca="1" si="21"/>
        <v>482.6699287867923</v>
      </c>
      <c r="J114" s="6"/>
      <c r="K114" s="6">
        <f t="shared" si="22"/>
        <v>-2.2610204138882724</v>
      </c>
      <c r="M114" s="30">
        <f t="shared" si="23"/>
        <v>-0.24611750683546288</v>
      </c>
      <c r="N114" s="6">
        <f t="shared" ca="1" si="24"/>
        <v>-6.9244439038559769</v>
      </c>
      <c r="O114" s="6">
        <f t="shared" ca="1" si="26"/>
        <v>1.3097864920358291</v>
      </c>
      <c r="P114" s="6">
        <f t="shared" si="25"/>
        <v>-0.45909134907453975</v>
      </c>
    </row>
    <row r="115" spans="4:16" x14ac:dyDescent="0.15">
      <c r="D115" s="16">
        <v>1920</v>
      </c>
      <c r="E115" s="18">
        <v>62.157956085926401</v>
      </c>
      <c r="F115" s="23">
        <f t="shared" si="13"/>
        <v>1.3492267406745562</v>
      </c>
      <c r="G115" s="6">
        <f t="shared" si="20"/>
        <v>-3.4823431894116355</v>
      </c>
      <c r="H115" s="6"/>
      <c r="I115" s="129">
        <f t="shared" ca="1" si="21"/>
        <v>480.30785530606499</v>
      </c>
      <c r="J115" s="6"/>
      <c r="K115" s="6">
        <f t="shared" si="22"/>
        <v>-2.2428674048824542</v>
      </c>
      <c r="M115" s="30">
        <f t="shared" si="23"/>
        <v>-0.1961450240547091</v>
      </c>
      <c r="N115" s="6">
        <f t="shared" ca="1" si="24"/>
        <v>-4.5376349748742939E-2</v>
      </c>
      <c r="O115" s="6">
        <f t="shared" ca="1" si="26"/>
        <v>1.3493769364948724</v>
      </c>
      <c r="P115" s="6">
        <f t="shared" si="25"/>
        <v>-0.38093674732223987</v>
      </c>
    </row>
    <row r="116" spans="4:16" x14ac:dyDescent="0.15">
      <c r="D116" s="16">
        <v>1921</v>
      </c>
      <c r="E116" s="18">
        <v>41.734076918797108</v>
      </c>
      <c r="F116" s="23">
        <f t="shared" si="13"/>
        <v>1.3909608175933532</v>
      </c>
      <c r="G116" s="6">
        <f t="shared" si="20"/>
        <v>-3.4509289369590115</v>
      </c>
      <c r="H116" s="6"/>
      <c r="I116" s="129">
        <f t="shared" ca="1" si="21"/>
        <v>474.54031914786719</v>
      </c>
      <c r="J116" s="6"/>
      <c r="K116" s="6">
        <f t="shared" si="22"/>
        <v>-2.2310814352224204</v>
      </c>
      <c r="M116" s="30">
        <f t="shared" si="23"/>
        <v>-0.16287291205606122</v>
      </c>
      <c r="N116" s="6">
        <f t="shared" ca="1" si="24"/>
        <v>0.52447039663341144</v>
      </c>
      <c r="O116" s="6">
        <f t="shared" ca="1" si="26"/>
        <v>1.389214638422348</v>
      </c>
      <c r="P116" s="6">
        <f t="shared" si="25"/>
        <v>-0.32911385050302755</v>
      </c>
    </row>
    <row r="117" spans="4:16" x14ac:dyDescent="0.15">
      <c r="D117" s="16">
        <v>1922</v>
      </c>
      <c r="E117" s="18">
        <v>41.597183648601046</v>
      </c>
      <c r="F117" s="23">
        <f t="shared" si="13"/>
        <v>1.4325580012419543</v>
      </c>
      <c r="G117" s="6">
        <f t="shared" si="20"/>
        <v>-3.4205130893959357</v>
      </c>
      <c r="H117" s="6"/>
      <c r="I117" s="129">
        <f t="shared" ca="1" si="21"/>
        <v>468.57470339560859</v>
      </c>
      <c r="J117" s="6"/>
      <c r="K117" s="6">
        <f t="shared" si="22"/>
        <v>-2.2196346625046806</v>
      </c>
      <c r="M117" s="30">
        <f t="shared" si="23"/>
        <v>-0.12988848028803848</v>
      </c>
      <c r="N117" s="6">
        <f t="shared" ca="1" si="24"/>
        <v>0.98563464005124146</v>
      </c>
      <c r="O117" s="6">
        <f t="shared" ca="1" si="26"/>
        <v>1.4292607211451387</v>
      </c>
      <c r="P117" s="6">
        <f t="shared" si="25"/>
        <v>-0.27789329902735749</v>
      </c>
    </row>
    <row r="118" spans="4:16" x14ac:dyDescent="0.15">
      <c r="D118" s="16">
        <v>1923</v>
      </c>
      <c r="E118" s="18">
        <v>47.131352575888933</v>
      </c>
      <c r="F118" s="23">
        <f t="shared" si="13"/>
        <v>1.4796893538178433</v>
      </c>
      <c r="G118" s="6">
        <f t="shared" si="20"/>
        <v>-3.3870663075795235</v>
      </c>
      <c r="H118" s="6"/>
      <c r="I118" s="129">
        <f t="shared" ca="1" si="21"/>
        <v>463.21041305032031</v>
      </c>
      <c r="J118" s="6"/>
      <c r="K118" s="6">
        <f t="shared" si="22"/>
        <v>-2.2070069381831083</v>
      </c>
      <c r="M118" s="30">
        <f t="shared" si="23"/>
        <v>-9.2683861625045147E-2</v>
      </c>
      <c r="N118" s="6">
        <f t="shared" ca="1" si="24"/>
        <v>3.041140189876872</v>
      </c>
      <c r="O118" s="6">
        <f t="shared" ca="1" si="26"/>
        <v>1.4694756832990861</v>
      </c>
      <c r="P118" s="6">
        <f t="shared" si="25"/>
        <v>-0.22028925635784136</v>
      </c>
    </row>
    <row r="119" spans="4:16" x14ac:dyDescent="0.15">
      <c r="D119" s="16">
        <v>1924</v>
      </c>
      <c r="E119" s="18">
        <v>43.883911524050319</v>
      </c>
      <c r="F119" s="23">
        <f t="shared" si="13"/>
        <v>1.5235732653418936</v>
      </c>
      <c r="G119" s="6">
        <f t="shared" si="20"/>
        <v>-3.3568369130183746</v>
      </c>
      <c r="H119" s="6"/>
      <c r="I119" s="129">
        <f t="shared" ca="1" si="21"/>
        <v>457.20780575753361</v>
      </c>
      <c r="J119" s="6"/>
      <c r="K119" s="6">
        <f t="shared" si="22"/>
        <v>-2.1955575505215088</v>
      </c>
      <c r="M119" s="30">
        <f t="shared" si="23"/>
        <v>-5.8158763218149376E-2</v>
      </c>
      <c r="N119" s="6">
        <f t="shared" ca="1" si="24"/>
        <v>4.084351750840546</v>
      </c>
      <c r="O119" s="6">
        <f t="shared" ca="1" si="26"/>
        <v>1.5098195156432996</v>
      </c>
      <c r="P119" s="6">
        <f t="shared" si="25"/>
        <v>-0.16698154141616176</v>
      </c>
    </row>
    <row r="120" spans="4:16" x14ac:dyDescent="0.15">
      <c r="D120" s="16">
        <v>1925</v>
      </c>
      <c r="E120" s="18">
        <v>43.108607857792911</v>
      </c>
      <c r="F120" s="23">
        <f t="shared" si="13"/>
        <v>1.5666818731996865</v>
      </c>
      <c r="G120" s="6">
        <f t="shared" si="20"/>
        <v>-3.3279489814772476</v>
      </c>
      <c r="H120" s="6"/>
      <c r="I120" s="129">
        <f t="shared" ca="1" si="21"/>
        <v>450.93905749004171</v>
      </c>
      <c r="J120" s="6"/>
      <c r="K120" s="6">
        <f t="shared" si="22"/>
        <v>-2.1845839079452589</v>
      </c>
      <c r="M120" s="30">
        <f t="shared" si="23"/>
        <v>-2.4311243671141711E-2</v>
      </c>
      <c r="N120" s="6">
        <f t="shared" ca="1" si="24"/>
        <v>4.871581292155815</v>
      </c>
      <c r="O120" s="6">
        <f t="shared" ca="1" si="26"/>
        <v>1.5502518204191709</v>
      </c>
      <c r="P120" s="6">
        <f t="shared" si="25"/>
        <v>-0.11484556558315374</v>
      </c>
    </row>
    <row r="121" spans="4:16" x14ac:dyDescent="0.15">
      <c r="D121" s="16">
        <v>1926</v>
      </c>
      <c r="E121" s="18">
        <v>44.047283702459701</v>
      </c>
      <c r="F121" s="23">
        <f t="shared" si="13"/>
        <v>1.6107291569021462</v>
      </c>
      <c r="G121" s="6">
        <f t="shared" si="20"/>
        <v>-3.2992130402740569</v>
      </c>
      <c r="H121" s="6"/>
      <c r="I121" s="129">
        <f t="shared" ca="1" si="21"/>
        <v>444.64015493869647</v>
      </c>
      <c r="J121" s="6"/>
      <c r="K121" s="6">
        <f t="shared" si="22"/>
        <v>-2.1736366014794521</v>
      </c>
      <c r="M121" s="30">
        <f t="shared" si="23"/>
        <v>1.0244831723783049E-2</v>
      </c>
      <c r="N121" s="6">
        <f t="shared" ca="1" si="24"/>
        <v>5.9264956266676396</v>
      </c>
      <c r="O121" s="6">
        <f t="shared" ca="1" si="26"/>
        <v>1.5907319326608935</v>
      </c>
      <c r="P121" s="6">
        <f t="shared" si="25"/>
        <v>-6.1734412563651565E-2</v>
      </c>
    </row>
    <row r="122" spans="4:16" x14ac:dyDescent="0.15">
      <c r="D122" s="16">
        <v>1927</v>
      </c>
      <c r="E122" s="18">
        <v>43.241159341819689</v>
      </c>
      <c r="F122" s="23">
        <f t="shared" si="13"/>
        <v>1.6539703162439658</v>
      </c>
      <c r="G122" s="6">
        <f t="shared" si="20"/>
        <v>-3.2717299339992953</v>
      </c>
      <c r="H122" s="6"/>
      <c r="I122" s="129">
        <f t="shared" ca="1" si="21"/>
        <v>438.09269487661822</v>
      </c>
      <c r="J122" s="6"/>
      <c r="K122" s="6">
        <f t="shared" si="22"/>
        <v>-2.1631372400258777</v>
      </c>
      <c r="M122" s="30">
        <f t="shared" si="23"/>
        <v>4.4180146917041224E-2</v>
      </c>
      <c r="N122" s="6">
        <f t="shared" ca="1" si="24"/>
        <v>6.7468934206749323</v>
      </c>
      <c r="O122" s="6">
        <f t="shared" ca="1" si="26"/>
        <v>1.6312190428505802</v>
      </c>
      <c r="P122" s="6">
        <f t="shared" si="25"/>
        <v>-9.6802573021811944E-3</v>
      </c>
    </row>
    <row r="123" spans="4:16" x14ac:dyDescent="0.15">
      <c r="D123" s="16">
        <v>1928</v>
      </c>
      <c r="E123" s="18">
        <v>43.592833135314564</v>
      </c>
      <c r="F123" s="23">
        <f t="shared" ref="F123:F186" si="27">F122+E123/1000</f>
        <v>1.6975631493792804</v>
      </c>
      <c r="G123" s="6">
        <f t="shared" si="20"/>
        <v>-3.2447143181379183</v>
      </c>
      <c r="H123" s="6"/>
      <c r="I123" s="129">
        <f t="shared" ca="1" si="21"/>
        <v>431.45248655951764</v>
      </c>
      <c r="J123" s="6"/>
      <c r="K123" s="6">
        <f t="shared" si="22"/>
        <v>-2.152788487090338</v>
      </c>
      <c r="M123" s="30">
        <f t="shared" si="23"/>
        <v>7.8443153796190809E-2</v>
      </c>
      <c r="N123" s="6">
        <f t="shared" ca="1" si="24"/>
        <v>7.6910896159344802</v>
      </c>
      <c r="O123" s="6">
        <f t="shared" ca="1" si="26"/>
        <v>1.6716723203015855</v>
      </c>
      <c r="P123" s="6">
        <f t="shared" si="25"/>
        <v>4.2784164974646224E-2</v>
      </c>
    </row>
    <row r="124" spans="4:16" x14ac:dyDescent="0.15">
      <c r="D124" s="16">
        <v>1929</v>
      </c>
      <c r="E124" s="18">
        <v>45.385544488335157</v>
      </c>
      <c r="F124" s="23">
        <f t="shared" si="27"/>
        <v>1.7429486938676155</v>
      </c>
      <c r="G124" s="6">
        <f t="shared" si="20"/>
        <v>-3.2172870756595278</v>
      </c>
      <c r="H124" s="6"/>
      <c r="I124" s="129">
        <f t="shared" ca="1" si="21"/>
        <v>424.89394334047211</v>
      </c>
      <c r="J124" s="6"/>
      <c r="K124" s="6">
        <f t="shared" si="22"/>
        <v>-2.1422536452405017</v>
      </c>
      <c r="M124" s="30">
        <f t="shared" si="23"/>
        <v>0.11421393064321453</v>
      </c>
      <c r="N124" s="6">
        <f t="shared" ca="1" si="24"/>
        <v>9.2049051195729437</v>
      </c>
      <c r="O124" s="6">
        <f t="shared" ca="1" si="26"/>
        <v>1.7120510366485193</v>
      </c>
      <c r="P124" s="6">
        <f t="shared" si="25"/>
        <v>9.7469829855594714E-2</v>
      </c>
    </row>
    <row r="125" spans="4:16" x14ac:dyDescent="0.15">
      <c r="D125" s="16">
        <v>1930</v>
      </c>
      <c r="E125" s="18">
        <v>39.81258252716286</v>
      </c>
      <c r="F125" s="23">
        <f t="shared" si="27"/>
        <v>1.7827612763947784</v>
      </c>
      <c r="G125" s="6">
        <f t="shared" si="20"/>
        <v>-3.1937864098773812</v>
      </c>
      <c r="H125" s="6"/>
      <c r="I125" s="129">
        <f t="shared" ca="1" si="21"/>
        <v>417.55638278468177</v>
      </c>
      <c r="J125" s="6"/>
      <c r="K125" s="6">
        <f t="shared" si="22"/>
        <v>-2.1332042218366118</v>
      </c>
      <c r="M125" s="30">
        <f t="shared" si="23"/>
        <v>0.14571161445388972</v>
      </c>
      <c r="N125" s="6">
        <f t="shared" ca="1" si="24"/>
        <v>9.1043919445234813</v>
      </c>
      <c r="O125" s="6">
        <f t="shared" ca="1" si="26"/>
        <v>1.7523146888216801</v>
      </c>
      <c r="P125" s="6">
        <f t="shared" si="25"/>
        <v>0.14555801313885117</v>
      </c>
    </row>
    <row r="126" spans="4:16" x14ac:dyDescent="0.15">
      <c r="D126" s="16">
        <v>1931</v>
      </c>
      <c r="E126" s="18">
        <v>31.793003194351694</v>
      </c>
      <c r="F126" s="23">
        <f t="shared" si="27"/>
        <v>1.8145542795891301</v>
      </c>
      <c r="G126" s="6">
        <f t="shared" si="20"/>
        <v>-3.1753782551590217</v>
      </c>
      <c r="H126" s="6"/>
      <c r="I126" s="129">
        <f t="shared" ca="1" si="21"/>
        <v>409.20848811010728</v>
      </c>
      <c r="J126" s="6"/>
      <c r="K126" s="6">
        <f t="shared" si="22"/>
        <v>-2.1261010832586553</v>
      </c>
      <c r="M126" s="30">
        <f t="shared" si="23"/>
        <v>0.17096734426843202</v>
      </c>
      <c r="N126" s="6">
        <f t="shared" ca="1" si="24"/>
        <v>6.6457355553448139</v>
      </c>
      <c r="O126" s="6">
        <f t="shared" ca="1" si="26"/>
        <v>1.792423120887267</v>
      </c>
      <c r="P126" s="6">
        <f t="shared" si="25"/>
        <v>0.18407798220211444</v>
      </c>
    </row>
    <row r="127" spans="4:16" x14ac:dyDescent="0.15">
      <c r="D127" s="16">
        <v>1932</v>
      </c>
      <c r="E127" s="18">
        <v>29.304284286078857</v>
      </c>
      <c r="F127" s="23">
        <f t="shared" si="27"/>
        <v>1.843858563875209</v>
      </c>
      <c r="G127" s="6">
        <f t="shared" si="20"/>
        <v>-3.1586827656955534</v>
      </c>
      <c r="H127" s="6"/>
      <c r="I127" s="129">
        <f t="shared" ca="1" si="21"/>
        <v>400.5208074008242</v>
      </c>
      <c r="J127" s="6"/>
      <c r="K127" s="6">
        <f t="shared" si="22"/>
        <v>-2.1196476443970056</v>
      </c>
      <c r="M127" s="30">
        <f t="shared" si="23"/>
        <v>0.19434270178261895</v>
      </c>
      <c r="N127" s="6">
        <f t="shared" ca="1" si="24"/>
        <v>3.4766946963564465</v>
      </c>
      <c r="O127" s="6">
        <f t="shared" ca="1" si="26"/>
        <v>1.8323366441427371</v>
      </c>
      <c r="P127" s="6">
        <f t="shared" si="25"/>
        <v>0.21970302134698749</v>
      </c>
    </row>
    <row r="128" spans="4:16" x14ac:dyDescent="0.15">
      <c r="D128" s="16">
        <v>1933</v>
      </c>
      <c r="E128" s="18">
        <v>27.585088462895296</v>
      </c>
      <c r="F128" s="23">
        <f t="shared" si="27"/>
        <v>1.8714436523381042</v>
      </c>
      <c r="G128" s="6">
        <f t="shared" si="20"/>
        <v>-3.1431972976133067</v>
      </c>
      <c r="H128" s="6"/>
      <c r="I128" s="129">
        <f t="shared" ca="1" si="21"/>
        <v>391.59306321978693</v>
      </c>
      <c r="J128" s="6"/>
      <c r="K128" s="6">
        <f t="shared" si="22"/>
        <v>-2.1136524299840413</v>
      </c>
      <c r="M128" s="30">
        <f t="shared" si="23"/>
        <v>0.21644393175878054</v>
      </c>
      <c r="N128" s="6">
        <f t="shared" ca="1" si="24"/>
        <v>-0.17369786909932827</v>
      </c>
      <c r="O128" s="6">
        <f t="shared" ca="1" si="26"/>
        <v>1.8720161548689267</v>
      </c>
      <c r="P128" s="6">
        <f t="shared" si="25"/>
        <v>0.25336500998965733</v>
      </c>
    </row>
    <row r="129" spans="4:16" x14ac:dyDescent="0.15">
      <c r="D129" s="16">
        <v>1934</v>
      </c>
      <c r="E129" s="18">
        <v>28.257166299055754</v>
      </c>
      <c r="F129" s="23">
        <f t="shared" si="27"/>
        <v>1.89970081863716</v>
      </c>
      <c r="G129" s="6">
        <f t="shared" si="20"/>
        <v>-3.127559368769377</v>
      </c>
      <c r="H129" s="6"/>
      <c r="I129" s="129">
        <f t="shared" ca="1" si="21"/>
        <v>382.69556665282198</v>
      </c>
      <c r="J129" s="6"/>
      <c r="K129" s="6">
        <f t="shared" si="22"/>
        <v>-2.1075889169391373</v>
      </c>
      <c r="M129" s="30">
        <f t="shared" si="23"/>
        <v>0.23919389389401235</v>
      </c>
      <c r="N129" s="6">
        <f t="shared" ca="1" si="24"/>
        <v>-3.5790063888145269</v>
      </c>
      <c r="O129" s="6">
        <f t="shared" ca="1" si="26"/>
        <v>1.9114232491570227</v>
      </c>
      <c r="P129" s="6">
        <f t="shared" si="25"/>
        <v>0.28799599333254061</v>
      </c>
    </row>
    <row r="130" spans="4:16" x14ac:dyDescent="0.15">
      <c r="D130" s="16">
        <v>1935</v>
      </c>
      <c r="E130" s="18">
        <v>31.687631872342852</v>
      </c>
      <c r="F130" s="23">
        <f t="shared" si="27"/>
        <v>1.9313884505095029</v>
      </c>
      <c r="G130" s="6">
        <f t="shared" si="20"/>
        <v>-3.1102853535463115</v>
      </c>
      <c r="H130" s="6"/>
      <c r="I130" s="129">
        <f t="shared" ca="1" si="21"/>
        <v>374.12266317351441</v>
      </c>
      <c r="J130" s="6"/>
      <c r="K130" s="6">
        <f t="shared" si="22"/>
        <v>-2.1008801896181417</v>
      </c>
      <c r="M130" s="30">
        <f t="shared" si="23"/>
        <v>0.2648544603968217</v>
      </c>
      <c r="N130" s="6">
        <f t="shared" ca="1" si="24"/>
        <v>-5.8847198229731816</v>
      </c>
      <c r="O130" s="6">
        <f t="shared" ca="1" si="26"/>
        <v>1.9505203342489263</v>
      </c>
      <c r="P130" s="6">
        <f t="shared" si="25"/>
        <v>0.32703735828701436</v>
      </c>
    </row>
    <row r="131" spans="4:16" x14ac:dyDescent="0.15">
      <c r="D131" s="16">
        <v>1936</v>
      </c>
      <c r="E131" s="18">
        <v>35.856972201437358</v>
      </c>
      <c r="F131" s="23">
        <f t="shared" si="27"/>
        <v>1.9672454227109404</v>
      </c>
      <c r="G131" s="6">
        <f t="shared" si="20"/>
        <v>-3.091062060020378</v>
      </c>
      <c r="H131" s="6"/>
      <c r="I131" s="129">
        <f t="shared" ca="1" si="21"/>
        <v>365.9364888248283</v>
      </c>
      <c r="J131" s="6"/>
      <c r="K131" s="6">
        <f t="shared" si="22"/>
        <v>-2.0934010539995973</v>
      </c>
      <c r="M131" s="30">
        <f t="shared" si="23"/>
        <v>0.29410419347039657</v>
      </c>
      <c r="N131" s="6">
        <f t="shared" ca="1" si="24"/>
        <v>-6.8344846553841094</v>
      </c>
      <c r="O131" s="6">
        <f t="shared" ca="1" si="26"/>
        <v>1.9892707358538684</v>
      </c>
      <c r="P131" s="6">
        <f t="shared" si="25"/>
        <v>0.37151724576850625</v>
      </c>
    </row>
    <row r="132" spans="4:16" x14ac:dyDescent="0.15">
      <c r="D132" s="16">
        <v>1937</v>
      </c>
      <c r="E132" s="18">
        <v>36.894624622875362</v>
      </c>
      <c r="F132" s="23">
        <f t="shared" si="27"/>
        <v>2.0041400473338156</v>
      </c>
      <c r="G132" s="6">
        <f t="shared" si="20"/>
        <v>-3.0716284747579747</v>
      </c>
      <c r="H132" s="6"/>
      <c r="I132" s="129">
        <f t="shared" ca="1" si="21"/>
        <v>357.79203552762465</v>
      </c>
      <c r="J132" s="6"/>
      <c r="K132" s="6">
        <f t="shared" si="22"/>
        <v>-2.0858257940364551</v>
      </c>
      <c r="M132" s="30">
        <f t="shared" si="23"/>
        <v>0.32446566411445293</v>
      </c>
      <c r="N132" s="6">
        <f t="shared" ca="1" si="24"/>
        <v>-7.3642469678553439</v>
      </c>
      <c r="O132" s="6">
        <f t="shared" ca="1" si="26"/>
        <v>2.0276388009320674</v>
      </c>
      <c r="P132" s="6">
        <f t="shared" si="25"/>
        <v>0.41766727958926902</v>
      </c>
    </row>
    <row r="133" spans="4:16" x14ac:dyDescent="0.15">
      <c r="D133" s="16">
        <v>1938</v>
      </c>
      <c r="E133" s="18">
        <v>30.952146358726917</v>
      </c>
      <c r="F133" s="23">
        <f t="shared" si="27"/>
        <v>2.0350921936925426</v>
      </c>
      <c r="G133" s="6">
        <f t="shared" si="20"/>
        <v>-3.0555863946968311</v>
      </c>
      <c r="H133" s="6"/>
      <c r="I133" s="129">
        <f t="shared" ca="1" si="21"/>
        <v>348.97472096886577</v>
      </c>
      <c r="J133" s="6"/>
      <c r="K133" s="6">
        <f t="shared" si="22"/>
        <v>-2.0795617170410439</v>
      </c>
      <c r="M133" s="30">
        <f t="shared" si="23"/>
        <v>0.35016855221804472</v>
      </c>
      <c r="N133" s="6">
        <f t="shared" ca="1" si="24"/>
        <v>-9.6539717555488167</v>
      </c>
      <c r="O133" s="6">
        <f t="shared" ca="1" si="26"/>
        <v>2.0655899954675183</v>
      </c>
      <c r="P133" s="6">
        <f t="shared" si="25"/>
        <v>0.45672324140868681</v>
      </c>
    </row>
    <row r="134" spans="4:16" x14ac:dyDescent="0.15">
      <c r="D134" s="16">
        <v>1939</v>
      </c>
      <c r="E134" s="18">
        <v>31.421451168817274</v>
      </c>
      <c r="F134" s="23">
        <f t="shared" si="27"/>
        <v>2.0665136448613599</v>
      </c>
      <c r="G134" s="6">
        <f t="shared" si="20"/>
        <v>-3.0395371545919967</v>
      </c>
      <c r="H134" s="6"/>
      <c r="I134" s="129">
        <f t="shared" ca="1" si="21"/>
        <v>340.15882693454387</v>
      </c>
      <c r="J134" s="6"/>
      <c r="K134" s="6">
        <f t="shared" si="22"/>
        <v>-2.0732850436166244</v>
      </c>
      <c r="M134" s="30">
        <f t="shared" si="23"/>
        <v>0.3765000804508935</v>
      </c>
      <c r="N134" s="6">
        <f t="shared" ca="1" si="24"/>
        <v>-11.706203050682873</v>
      </c>
      <c r="O134" s="6">
        <f t="shared" ca="1" si="26"/>
        <v>2.1030909967864146</v>
      </c>
      <c r="P134" s="6">
        <f t="shared" si="25"/>
        <v>0.49672493640169574</v>
      </c>
    </row>
    <row r="135" spans="4:16" x14ac:dyDescent="0.15">
      <c r="D135" s="16">
        <v>1940</v>
      </c>
      <c r="E135" s="18">
        <v>34.249180478788702</v>
      </c>
      <c r="F135" s="23">
        <f t="shared" si="27"/>
        <v>2.1007628253401487</v>
      </c>
      <c r="G135" s="6">
        <f t="shared" si="20"/>
        <v>-3.0223061144610002</v>
      </c>
      <c r="H135" s="6"/>
      <c r="I135" s="129">
        <f t="shared" ca="1" si="21"/>
        <v>331.57739736639178</v>
      </c>
      <c r="J135" s="6"/>
      <c r="K135" s="6">
        <f t="shared" si="22"/>
        <v>-2.0665352754571242</v>
      </c>
      <c r="M135" s="30">
        <f t="shared" si="23"/>
        <v>0.40550247894659303</v>
      </c>
      <c r="N135" s="6">
        <f t="shared" ca="1" si="24"/>
        <v>-12.749408231548394</v>
      </c>
      <c r="O135" s="6">
        <f t="shared" ca="1" si="26"/>
        <v>2.140109780014877</v>
      </c>
      <c r="P135" s="6">
        <f t="shared" si="25"/>
        <v>0.54077586221656027</v>
      </c>
    </row>
    <row r="136" spans="4:16" x14ac:dyDescent="0.15">
      <c r="D136" s="16">
        <v>1941</v>
      </c>
      <c r="E136" s="18">
        <v>36.673275174868699</v>
      </c>
      <c r="F136" s="23">
        <f t="shared" si="27"/>
        <v>2.1374361005150173</v>
      </c>
      <c r="G136" s="6">
        <f t="shared" si="20"/>
        <v>-3.0041492885877843</v>
      </c>
      <c r="H136" s="6"/>
      <c r="I136" s="129">
        <f t="shared" ca="1" si="21"/>
        <v>323.17964003975703</v>
      </c>
      <c r="J136" s="6"/>
      <c r="K136" s="6">
        <f t="shared" si="22"/>
        <v>-2.05941064509588</v>
      </c>
      <c r="M136" s="30">
        <f t="shared" si="23"/>
        <v>0.43694123187001699</v>
      </c>
      <c r="N136" s="6">
        <f t="shared" ca="1" si="24"/>
        <v>-12.872184863194981</v>
      </c>
      <c r="O136" s="6">
        <f t="shared" ca="1" si="26"/>
        <v>2.1766156983093348</v>
      </c>
      <c r="P136" s="6">
        <f t="shared" si="25"/>
        <v>0.58852073709302399</v>
      </c>
    </row>
    <row r="137" spans="4:16" x14ac:dyDescent="0.15">
      <c r="D137" s="16">
        <v>1942</v>
      </c>
      <c r="E137" s="18">
        <v>43.028523403248037</v>
      </c>
      <c r="F137" s="23">
        <f t="shared" si="27"/>
        <v>2.1804646239182652</v>
      </c>
      <c r="G137" s="6">
        <f t="shared" si="20"/>
        <v>-2.9832197239958904</v>
      </c>
      <c r="H137" s="6"/>
      <c r="I137" s="129">
        <f t="shared" ca="1" si="21"/>
        <v>315.33198314390484</v>
      </c>
      <c r="J137" s="6"/>
      <c r="K137" s="6">
        <f t="shared" si="22"/>
        <v>-2.0511824734713837</v>
      </c>
      <c r="M137" s="30">
        <f t="shared" si="23"/>
        <v>0.47438986776280112</v>
      </c>
      <c r="N137" s="6">
        <f t="shared" ca="1" si="24"/>
        <v>-10.724492223410294</v>
      </c>
      <c r="O137" s="6">
        <f t="shared" ca="1" si="26"/>
        <v>2.2125795565346809</v>
      </c>
      <c r="P137" s="6">
        <f t="shared" si="25"/>
        <v>0.64538774766130291</v>
      </c>
    </row>
    <row r="138" spans="4:16" x14ac:dyDescent="0.15">
      <c r="D138" s="16">
        <v>1943</v>
      </c>
      <c r="E138" s="18">
        <v>45.745002834090492</v>
      </c>
      <c r="F138" s="23">
        <f t="shared" si="27"/>
        <v>2.2262096267523557</v>
      </c>
      <c r="G138" s="6">
        <f t="shared" si="20"/>
        <v>-2.9613945419053795</v>
      </c>
      <c r="H138" s="6"/>
      <c r="I138" s="129">
        <f t="shared" ca="1" si="21"/>
        <v>307.66201322897632</v>
      </c>
      <c r="J138" s="6"/>
      <c r="K138" s="6">
        <f t="shared" si="22"/>
        <v>-2.042584500629876</v>
      </c>
      <c r="M138" s="30">
        <f t="shared" si="23"/>
        <v>0.51494766816141491</v>
      </c>
      <c r="N138" s="6">
        <f t="shared" ca="1" si="24"/>
        <v>-7.4021906093242791</v>
      </c>
      <c r="O138" s="6">
        <f t="shared" ca="1" si="26"/>
        <v>2.2479736781088433</v>
      </c>
      <c r="P138" s="6">
        <f t="shared" si="25"/>
        <v>0.70697438108250954</v>
      </c>
    </row>
    <row r="139" spans="4:16" x14ac:dyDescent="0.15">
      <c r="D139" s="16">
        <v>1944</v>
      </c>
      <c r="E139" s="18">
        <v>46.505156515177191</v>
      </c>
      <c r="F139" s="23">
        <f t="shared" si="27"/>
        <v>2.2727147832675327</v>
      </c>
      <c r="G139" s="6">
        <f t="shared" si="20"/>
        <v>-2.939638340682075</v>
      </c>
      <c r="H139" s="6"/>
      <c r="I139" s="129">
        <f t="shared" ca="1" si="21"/>
        <v>299.97835778193621</v>
      </c>
      <c r="J139" s="6"/>
      <c r="K139" s="6">
        <f t="shared" si="22"/>
        <v>-2.0339957392595798</v>
      </c>
      <c r="M139" s="30">
        <f t="shared" si="23"/>
        <v>0.55706726389634398</v>
      </c>
      <c r="N139" s="6">
        <f t="shared" ca="1" si="24"/>
        <v>-3.489859482609404</v>
      </c>
      <c r="O139" s="6">
        <f t="shared" ca="1" si="26"/>
        <v>2.2827719647773721</v>
      </c>
      <c r="P139" s="6">
        <f t="shared" si="25"/>
        <v>0.77093381570539099</v>
      </c>
    </row>
    <row r="140" spans="4:16" x14ac:dyDescent="0.15">
      <c r="D140" s="16">
        <v>1945</v>
      </c>
      <c r="E140" s="18">
        <v>43.909407951189401</v>
      </c>
      <c r="F140" s="23">
        <f t="shared" si="27"/>
        <v>2.3166241912187222</v>
      </c>
      <c r="G140" s="6">
        <f t="shared" si="20"/>
        <v>-2.9194800906943406</v>
      </c>
      <c r="H140" s="6"/>
      <c r="I140" s="129">
        <f t="shared" ca="1" si="21"/>
        <v>291.97767510938411</v>
      </c>
      <c r="J140" s="6"/>
      <c r="K140" s="6">
        <f t="shared" si="22"/>
        <v>-2.0260218219480719</v>
      </c>
      <c r="M140" s="30">
        <f t="shared" si="23"/>
        <v>0.59776302475346388</v>
      </c>
      <c r="N140" s="6">
        <f t="shared" ca="1" si="24"/>
        <v>-0.11543788826629964</v>
      </c>
      <c r="O140" s="6">
        <f t="shared" ca="1" si="26"/>
        <v>2.3169499491275527</v>
      </c>
      <c r="P140" s="6">
        <f t="shared" si="25"/>
        <v>0.83273327397849184</v>
      </c>
    </row>
    <row r="141" spans="4:16" x14ac:dyDescent="0.15">
      <c r="D141" s="16">
        <v>1946</v>
      </c>
      <c r="E141" s="18">
        <v>37.033662477798579</v>
      </c>
      <c r="F141" s="23">
        <f t="shared" si="27"/>
        <v>2.3536578536965207</v>
      </c>
      <c r="G141" s="6">
        <f t="shared" si="20"/>
        <v>-2.902757468105797</v>
      </c>
      <c r="H141" s="6"/>
      <c r="I141" s="129">
        <f t="shared" ca="1" si="21"/>
        <v>283.29537750514737</v>
      </c>
      <c r="J141" s="6"/>
      <c r="K141" s="6">
        <f t="shared" si="22"/>
        <v>-2.0193952720310548</v>
      </c>
      <c r="M141" s="30">
        <f t="shared" si="23"/>
        <v>0.63287041820893553</v>
      </c>
      <c r="N141" s="6">
        <f t="shared" ca="1" si="24"/>
        <v>1.1477584912767895</v>
      </c>
      <c r="O141" s="6">
        <f t="shared" ca="1" si="26"/>
        <v>2.3504848396981473</v>
      </c>
      <c r="P141" s="6">
        <f t="shared" si="25"/>
        <v>0.88604706391216859</v>
      </c>
    </row>
    <row r="142" spans="4:16" x14ac:dyDescent="0.15">
      <c r="D142" s="16">
        <v>1947</v>
      </c>
      <c r="E142" s="18">
        <v>40.646611890428673</v>
      </c>
      <c r="F142" s="23">
        <f t="shared" si="27"/>
        <v>2.3943044655869494</v>
      </c>
      <c r="G142" s="6">
        <f t="shared" ref="G142:G173" si="28" xml:space="preserve"> - LN(F$1/F142 - 1)</f>
        <v>-2.8846872830458588</v>
      </c>
      <c r="H142" s="6"/>
      <c r="I142" s="129">
        <f t="shared" ref="I142:I173" ca="1" si="29" xml:space="preserve"> (G142*(F$2-E$2)/LN(81) + AVERAGE(E$2:F$2) - D142)*12</f>
        <v>274.88043098272556</v>
      </c>
      <c r="J142" s="6"/>
      <c r="K142" s="6">
        <f t="shared" ref="K142:K173" si="30">NORMSINV(F142/F$5)</f>
        <v>-2.0122228761609282</v>
      </c>
      <c r="M142" s="30">
        <f t="shared" ref="M142:M168" si="31">NORMSINV(F142/F$6)</f>
        <v>0.67232458555929886</v>
      </c>
      <c r="N142" s="6">
        <f t="shared" ref="N142:N168" ca="1" si="32">(M142*(F$7-E$7)/(NORMSINV(0.9)-NORMSINV(0.1))-(D142-AVERAGE(E$7:F$7)))*12</f>
        <v>4.0531193869221909</v>
      </c>
      <c r="O142" s="6">
        <f t="shared" ca="1" si="26"/>
        <v>2.3833555585876582</v>
      </c>
      <c r="P142" s="6">
        <f t="shared" ref="P142:P165" si="33" xml:space="preserve"> - LN(F$10/F142 - 1)</f>
        <v>0.94595946008997078</v>
      </c>
    </row>
    <row r="143" spans="4:16" x14ac:dyDescent="0.15">
      <c r="D143" s="16">
        <v>1948</v>
      </c>
      <c r="E143" s="18">
        <v>37.353331700824157</v>
      </c>
      <c r="F143" s="23">
        <f t="shared" si="27"/>
        <v>2.4316577972877735</v>
      </c>
      <c r="G143" s="6">
        <f t="shared" si="28"/>
        <v>-2.8683347765770666</v>
      </c>
      <c r="H143" s="6"/>
      <c r="I143" s="129">
        <f t="shared" ca="1" si="29"/>
        <v>266.12470379944261</v>
      </c>
      <c r="J143" s="6"/>
      <c r="K143" s="6">
        <f t="shared" si="30"/>
        <v>-2.005721659931607</v>
      </c>
      <c r="M143" s="30">
        <f t="shared" si="31"/>
        <v>0.70952749061441567</v>
      </c>
      <c r="N143" s="6">
        <f t="shared" ca="1" si="32"/>
        <v>6.107977554087185</v>
      </c>
      <c r="O143" s="6">
        <f t="shared" ca="1" si="26"/>
        <v>2.4155427715107134</v>
      </c>
      <c r="P143" s="6">
        <f t="shared" si="33"/>
        <v>1.0024460678216334</v>
      </c>
    </row>
    <row r="144" spans="4:16" x14ac:dyDescent="0.15">
      <c r="D144" s="16">
        <v>1949</v>
      </c>
      <c r="E144" s="18">
        <v>32.995216206209477</v>
      </c>
      <c r="F144" s="23">
        <f t="shared" si="27"/>
        <v>2.464653013493983</v>
      </c>
      <c r="G144" s="6">
        <f t="shared" si="28"/>
        <v>-2.8540860619282915</v>
      </c>
      <c r="H144" s="6"/>
      <c r="I144" s="129">
        <f t="shared" ca="1" si="29"/>
        <v>256.95159261287517</v>
      </c>
      <c r="J144" s="6"/>
      <c r="K144" s="6">
        <f t="shared" si="30"/>
        <v>-2.0000486448463275</v>
      </c>
      <c r="M144" s="30">
        <f t="shared" si="31"/>
        <v>0.74322559500976582</v>
      </c>
      <c r="N144" s="6">
        <f t="shared" ca="1" si="32"/>
        <v>6.8387596550356449</v>
      </c>
      <c r="O144" s="6">
        <f t="shared" ca="1" si="26"/>
        <v>2.4470289102983296</v>
      </c>
      <c r="P144" s="6">
        <f t="shared" si="33"/>
        <v>1.0535995078507208</v>
      </c>
    </row>
    <row r="145" spans="4:16" x14ac:dyDescent="0.15">
      <c r="D145" s="16">
        <v>1950</v>
      </c>
      <c r="E145" s="18">
        <v>32.671351253757891</v>
      </c>
      <c r="F145" s="23">
        <f t="shared" si="27"/>
        <v>2.4973243647477408</v>
      </c>
      <c r="G145" s="6">
        <f t="shared" si="28"/>
        <v>-2.8401532423227498</v>
      </c>
      <c r="H145" s="6"/>
      <c r="I145" s="129">
        <f t="shared" ca="1" si="29"/>
        <v>247.71580909508612</v>
      </c>
      <c r="J145" s="6"/>
      <c r="K145" s="6">
        <f t="shared" si="30"/>
        <v>-1.994494031238383</v>
      </c>
      <c r="M145" s="30">
        <f t="shared" si="31"/>
        <v>0.77744591461565438</v>
      </c>
      <c r="N145" s="6">
        <f t="shared" ca="1" si="32"/>
        <v>7.7668290566929556</v>
      </c>
      <c r="O145" s="6">
        <f t="shared" ref="O145:O162" ca="1" si="34">F$6*NORMDIST(D145,AVERAGE(E$7:F$7),(F$7-E$7)/(NORMSINV(0.9)-NORMSINV(0.1)),1)</f>
        <v>2.4777981878831472</v>
      </c>
      <c r="P145" s="6">
        <f t="shared" si="33"/>
        <v>1.1055274189827051</v>
      </c>
    </row>
    <row r="146" spans="4:16" x14ac:dyDescent="0.15">
      <c r="D146" s="16">
        <v>1951</v>
      </c>
      <c r="E146" s="18">
        <v>31.417621942026521</v>
      </c>
      <c r="F146" s="23">
        <f t="shared" si="27"/>
        <v>2.5287419866897674</v>
      </c>
      <c r="G146" s="6">
        <f t="shared" si="28"/>
        <v>-2.8269160239428195</v>
      </c>
      <c r="H146" s="6"/>
      <c r="I146" s="129">
        <f t="shared" ca="1" si="29"/>
        <v>238.34202103641383</v>
      </c>
      <c r="J146" s="6"/>
      <c r="K146" s="6">
        <f t="shared" si="30"/>
        <v>-1.9892099940046031</v>
      </c>
      <c r="M146" s="30">
        <f t="shared" si="31"/>
        <v>0.81123439222541527</v>
      </c>
      <c r="N146" s="6">
        <f t="shared" ca="1" si="32"/>
        <v>8.5317531879148873</v>
      </c>
      <c r="O146" s="6">
        <f t="shared" ca="1" si="34"/>
        <v>2.5078366058548287</v>
      </c>
      <c r="P146" s="6">
        <f t="shared" si="33"/>
        <v>1.1567738503198424</v>
      </c>
    </row>
    <row r="147" spans="4:16" x14ac:dyDescent="0.15">
      <c r="D147" s="16">
        <v>1952</v>
      </c>
      <c r="E147" s="18">
        <v>29.636818295913155</v>
      </c>
      <c r="F147" s="23">
        <f t="shared" si="27"/>
        <v>2.5583788049856806</v>
      </c>
      <c r="G147" s="6">
        <f t="shared" si="28"/>
        <v>-2.8145701791805076</v>
      </c>
      <c r="H147" s="6"/>
      <c r="I147" s="129">
        <f t="shared" ca="1" si="29"/>
        <v>228.79138796608004</v>
      </c>
      <c r="J147" s="6"/>
      <c r="K147" s="6">
        <f t="shared" si="30"/>
        <v>-1.9842758662187188</v>
      </c>
      <c r="M147" s="30">
        <f t="shared" si="31"/>
        <v>0.84397916114406835</v>
      </c>
      <c r="N147" s="6">
        <f t="shared" ca="1" si="32"/>
        <v>8.9023753795537743</v>
      </c>
      <c r="O147" s="6">
        <f t="shared" ca="1" si="34"/>
        <v>2.5371319547133977</v>
      </c>
      <c r="P147" s="6">
        <f t="shared" si="33"/>
        <v>1.2064033483711456</v>
      </c>
    </row>
    <row r="148" spans="4:16" x14ac:dyDescent="0.15">
      <c r="D148" s="16">
        <v>1953</v>
      </c>
      <c r="E148" s="18">
        <v>27.748059665649262</v>
      </c>
      <c r="F148" s="23">
        <f t="shared" si="27"/>
        <v>2.5861268646513298</v>
      </c>
      <c r="G148" s="6">
        <f t="shared" si="28"/>
        <v>-2.8031324058487868</v>
      </c>
      <c r="H148" s="6"/>
      <c r="I148" s="129">
        <f t="shared" ca="1" si="29"/>
        <v>219.0605971038176</v>
      </c>
      <c r="J148" s="6"/>
      <c r="K148" s="6">
        <f t="shared" si="30"/>
        <v>-1.9796995756747207</v>
      </c>
      <c r="M148" s="30">
        <f t="shared" si="31"/>
        <v>0.87547920834293935</v>
      </c>
      <c r="N148" s="6">
        <f t="shared" ca="1" si="32"/>
        <v>8.8027550671943828</v>
      </c>
      <c r="O148" s="6">
        <f t="shared" ca="1" si="34"/>
        <v>2.5656738069890412</v>
      </c>
      <c r="P148" s="6">
        <f t="shared" si="33"/>
        <v>1.2541050886872318</v>
      </c>
    </row>
    <row r="149" spans="4:16" x14ac:dyDescent="0.15">
      <c r="D149" s="16">
        <v>1954</v>
      </c>
      <c r="E149" s="18">
        <v>23.020719981544961</v>
      </c>
      <c r="F149" s="23">
        <f t="shared" si="27"/>
        <v>2.6091475846328747</v>
      </c>
      <c r="G149" s="6">
        <f t="shared" si="28"/>
        <v>-2.7937304103846774</v>
      </c>
      <c r="H149" s="6"/>
      <c r="I149" s="129">
        <f t="shared" ca="1" si="29"/>
        <v>208.92591593829366</v>
      </c>
      <c r="J149" s="6"/>
      <c r="K149" s="6">
        <f t="shared" si="30"/>
        <v>-1.9759341517404161</v>
      </c>
      <c r="M149" s="30">
        <f t="shared" si="31"/>
        <v>0.90228727617708804</v>
      </c>
      <c r="N149" s="6">
        <f t="shared" ca="1" si="32"/>
        <v>6.9305553179136012</v>
      </c>
      <c r="O149" s="6">
        <f t="shared" ca="1" si="34"/>
        <v>2.5934535034354949</v>
      </c>
      <c r="P149" s="6">
        <f t="shared" si="33"/>
        <v>1.2946618446230336</v>
      </c>
    </row>
    <row r="150" spans="4:16" x14ac:dyDescent="0.15">
      <c r="D150" s="16">
        <v>1955</v>
      </c>
      <c r="E150" s="18">
        <v>24.149257799051341</v>
      </c>
      <c r="F150" s="23">
        <f t="shared" si="27"/>
        <v>2.6332968424319261</v>
      </c>
      <c r="G150" s="6">
        <f t="shared" si="28"/>
        <v>-2.7839508344209403</v>
      </c>
      <c r="H150" s="6"/>
      <c r="I150" s="129">
        <f t="shared" ca="1" si="29"/>
        <v>198.86614525535515</v>
      </c>
      <c r="J150" s="6"/>
      <c r="K150" s="6">
        <f t="shared" si="30"/>
        <v>-1.9720140157090837</v>
      </c>
      <c r="M150" s="30">
        <f t="shared" si="31"/>
        <v>0.93112485601496486</v>
      </c>
      <c r="N150" s="6">
        <f t="shared" ca="1" si="32"/>
        <v>5.8250834174043007</v>
      </c>
      <c r="O150" s="6">
        <f t="shared" ca="1" si="34"/>
        <v>2.620464132540401</v>
      </c>
      <c r="P150" s="6">
        <f t="shared" si="33"/>
        <v>1.3382394177775701</v>
      </c>
    </row>
    <row r="151" spans="4:16" x14ac:dyDescent="0.15">
      <c r="D151" s="16">
        <v>1956</v>
      </c>
      <c r="E151" s="18">
        <v>23.380872323626981</v>
      </c>
      <c r="F151" s="23">
        <f t="shared" si="27"/>
        <v>2.6566777147555531</v>
      </c>
      <c r="G151" s="6">
        <f t="shared" si="28"/>
        <v>-2.7745622705749056</v>
      </c>
      <c r="H151" s="6"/>
      <c r="I151" s="129">
        <f t="shared" ca="1" si="29"/>
        <v>188.72879930975614</v>
      </c>
      <c r="J151" s="6"/>
      <c r="K151" s="6">
        <f t="shared" si="30"/>
        <v>-1.9682472691087054</v>
      </c>
      <c r="M151" s="30">
        <f t="shared" si="31"/>
        <v>0.95980250083226293</v>
      </c>
      <c r="N151" s="6">
        <f t="shared" ca="1" si="32"/>
        <v>4.6591897829775917</v>
      </c>
      <c r="O151" s="6">
        <f t="shared" ca="1" si="34"/>
        <v>2.6467005036296296</v>
      </c>
      <c r="P151" s="6">
        <f t="shared" si="33"/>
        <v>1.3815147162950865</v>
      </c>
    </row>
    <row r="152" spans="4:16" x14ac:dyDescent="0.15">
      <c r="D152" s="16">
        <v>1957</v>
      </c>
      <c r="E152" s="18">
        <v>22.37571163086406</v>
      </c>
      <c r="F152" s="23">
        <f t="shared" si="27"/>
        <v>2.6790534263864174</v>
      </c>
      <c r="G152" s="6">
        <f t="shared" si="28"/>
        <v>-2.7656495975387085</v>
      </c>
      <c r="H152" s="6"/>
      <c r="I152" s="129">
        <f t="shared" ca="1" si="29"/>
        <v>178.49703850359492</v>
      </c>
      <c r="J152" s="6"/>
      <c r="K152" s="6">
        <f t="shared" si="30"/>
        <v>-1.9646684227946762</v>
      </c>
      <c r="M152" s="30">
        <f t="shared" si="31"/>
        <v>0.98800661979288329</v>
      </c>
      <c r="N152" s="6">
        <f t="shared" ca="1" si="32"/>
        <v>3.3144031630640427</v>
      </c>
      <c r="O152" s="6">
        <f t="shared" ca="1" si="34"/>
        <v>2.6721591138733962</v>
      </c>
      <c r="P152" s="6">
        <f t="shared" si="33"/>
        <v>1.424006000395819</v>
      </c>
    </row>
    <row r="153" spans="4:16" x14ac:dyDescent="0.15">
      <c r="D153" s="16">
        <v>1958</v>
      </c>
      <c r="E153" s="18">
        <v>18.41766460692488</v>
      </c>
      <c r="F153" s="23">
        <f t="shared" si="27"/>
        <v>2.6974710909933424</v>
      </c>
      <c r="G153" s="6">
        <f t="shared" si="28"/>
        <v>-2.7583656757277608</v>
      </c>
      <c r="H153" s="6"/>
      <c r="I153" s="129">
        <f t="shared" ca="1" si="29"/>
        <v>167.94213987539297</v>
      </c>
      <c r="J153" s="6"/>
      <c r="K153" s="6">
        <f t="shared" si="30"/>
        <v>-1.9617414061105878</v>
      </c>
      <c r="M153" s="30">
        <f t="shared" si="31"/>
        <v>1.0118253302884683</v>
      </c>
      <c r="N153" s="6">
        <f t="shared" ca="1" si="32"/>
        <v>0.31285630117912433</v>
      </c>
      <c r="O153" s="6">
        <f t="shared" ca="1" si="34"/>
        <v>2.6968381095298408</v>
      </c>
      <c r="P153" s="6">
        <f t="shared" si="33"/>
        <v>1.4598284008218005</v>
      </c>
    </row>
    <row r="154" spans="4:16" x14ac:dyDescent="0.15">
      <c r="D154" s="16">
        <v>1959</v>
      </c>
      <c r="E154" s="18">
        <v>18.43943704070314</v>
      </c>
      <c r="F154" s="23">
        <f t="shared" si="27"/>
        <v>2.7159105280340454</v>
      </c>
      <c r="G154" s="6">
        <f t="shared" si="28"/>
        <v>-2.7511196572806678</v>
      </c>
      <c r="H154" s="6"/>
      <c r="I154" s="129">
        <f t="shared" ca="1" si="29"/>
        <v>157.37972136922781</v>
      </c>
      <c r="J154" s="6"/>
      <c r="K154" s="6">
        <f t="shared" si="30"/>
        <v>-1.9588276700148537</v>
      </c>
      <c r="M154" s="30">
        <f t="shared" si="31"/>
        <v>1.0362615926314309</v>
      </c>
      <c r="N154" s="6">
        <f t="shared" ca="1" si="32"/>
        <v>-2.4553861020109764</v>
      </c>
      <c r="O154" s="6">
        <f t="shared" ca="1" si="34"/>
        <v>2.7207372417864635</v>
      </c>
      <c r="P154" s="6">
        <f t="shared" si="33"/>
        <v>1.4965124393199947</v>
      </c>
    </row>
    <row r="155" spans="4:16" x14ac:dyDescent="0.15">
      <c r="D155" s="16">
        <v>1960</v>
      </c>
      <c r="E155" s="18">
        <v>19.319406239241072</v>
      </c>
      <c r="F155" s="23">
        <f t="shared" si="27"/>
        <v>2.7352299342732866</v>
      </c>
      <c r="G155" s="6">
        <f t="shared" si="28"/>
        <v>-2.7435770806049615</v>
      </c>
      <c r="H155" s="6"/>
      <c r="I155" s="129">
        <f t="shared" ca="1" si="29"/>
        <v>146.87613884649272</v>
      </c>
      <c r="J155" s="6"/>
      <c r="K155" s="6">
        <f t="shared" si="30"/>
        <v>-1.9557926190062616</v>
      </c>
      <c r="M155" s="30">
        <f t="shared" si="31"/>
        <v>1.0625460177171946</v>
      </c>
      <c r="N155" s="6">
        <f t="shared" ca="1" si="32"/>
        <v>-4.5254124604747972</v>
      </c>
      <c r="O155" s="6">
        <f t="shared" ca="1" si="34"/>
        <v>2.7438578175812998</v>
      </c>
      <c r="P155" s="6">
        <f t="shared" si="33"/>
        <v>1.5358854008747826</v>
      </c>
    </row>
    <row r="156" spans="4:16" x14ac:dyDescent="0.15">
      <c r="D156" s="16">
        <v>1961</v>
      </c>
      <c r="E156" s="18">
        <v>19.75939083851004</v>
      </c>
      <c r="F156" s="23">
        <f t="shared" si="27"/>
        <v>2.7549893251117967</v>
      </c>
      <c r="G156" s="6">
        <f t="shared" si="28"/>
        <v>-2.7359141153355115</v>
      </c>
      <c r="H156" s="6"/>
      <c r="I156" s="129">
        <f t="shared" ca="1" si="29"/>
        <v>136.39644094614778</v>
      </c>
      <c r="J156" s="6"/>
      <c r="K156" s="6">
        <f t="shared" si="30"/>
        <v>-1.9527069712718443</v>
      </c>
      <c r="M156" s="30">
        <f t="shared" si="31"/>
        <v>1.0902109136633316</v>
      </c>
      <c r="N156" s="6">
        <f t="shared" ca="1" si="32"/>
        <v>-6.0739117468537529</v>
      </c>
      <c r="O156" s="6">
        <f t="shared" ca="1" si="34"/>
        <v>2.7662026458039426</v>
      </c>
      <c r="P156" s="6">
        <f t="shared" si="33"/>
        <v>1.57721827303027</v>
      </c>
    </row>
    <row r="157" spans="4:16" x14ac:dyDescent="0.15">
      <c r="D157" s="16">
        <v>1962</v>
      </c>
      <c r="E157" s="18">
        <v>19.426454038650842</v>
      </c>
      <c r="F157" s="23">
        <f t="shared" si="27"/>
        <v>2.7744157791504476</v>
      </c>
      <c r="G157" s="6">
        <f t="shared" si="28"/>
        <v>-2.7284302099954103</v>
      </c>
      <c r="H157" s="6"/>
      <c r="I157" s="129">
        <f t="shared" ca="1" si="29"/>
        <v>125.88121826173301</v>
      </c>
      <c r="J157" s="6"/>
      <c r="K157" s="6">
        <f t="shared" si="30"/>
        <v>-1.9496913331072545</v>
      </c>
      <c r="M157" s="30">
        <f t="shared" si="31"/>
        <v>1.1182481985700043</v>
      </c>
      <c r="N157" s="6">
        <f t="shared" ca="1" si="32"/>
        <v>-7.4817264814322471</v>
      </c>
      <c r="O157" s="6">
        <f t="shared" ca="1" si="34"/>
        <v>2.7877759792913399</v>
      </c>
      <c r="P157" s="6">
        <f t="shared" si="33"/>
        <v>1.6189802485740228</v>
      </c>
    </row>
    <row r="158" spans="4:16" x14ac:dyDescent="0.15">
      <c r="D158" s="16">
        <v>1963</v>
      </c>
      <c r="E158" s="18">
        <v>21.509350203437542</v>
      </c>
      <c r="F158" s="23">
        <f t="shared" si="27"/>
        <v>2.7959251293538849</v>
      </c>
      <c r="G158" s="6">
        <f t="shared" si="28"/>
        <v>-2.7202008073135353</v>
      </c>
      <c r="H158" s="6"/>
      <c r="I158" s="129">
        <f t="shared" ca="1" si="29"/>
        <v>115.51389931093945</v>
      </c>
      <c r="J158" s="6"/>
      <c r="K158" s="6">
        <f t="shared" si="30"/>
        <v>-1.946372913162751</v>
      </c>
      <c r="M158" s="30">
        <f t="shared" si="31"/>
        <v>1.1503541105266983</v>
      </c>
      <c r="N158" s="6">
        <f t="shared" ca="1" si="32"/>
        <v>-7.3524575920728523</v>
      </c>
      <c r="O158" s="6">
        <f t="shared" ca="1" si="34"/>
        <v>2.8085834530448244</v>
      </c>
      <c r="P158" s="6">
        <f t="shared" si="33"/>
        <v>1.6666248892849966</v>
      </c>
    </row>
    <row r="159" spans="4:16" x14ac:dyDescent="0.15">
      <c r="D159" s="16">
        <v>1964</v>
      </c>
      <c r="E159" s="18">
        <v>23.303761620662318</v>
      </c>
      <c r="F159" s="23">
        <f t="shared" si="27"/>
        <v>2.8192288909745473</v>
      </c>
      <c r="G159" s="6">
        <f t="shared" si="28"/>
        <v>-2.7113513488169243</v>
      </c>
      <c r="H159" s="6"/>
      <c r="I159" s="129">
        <f t="shared" ca="1" si="29"/>
        <v>105.26959698933751</v>
      </c>
      <c r="J159" s="6"/>
      <c r="K159" s="6">
        <f t="shared" si="30"/>
        <v>-1.9428016801741792</v>
      </c>
      <c r="M159" s="30">
        <f t="shared" si="31"/>
        <v>1.1865327954779354</v>
      </c>
      <c r="N159" s="6">
        <f t="shared" ca="1" si="32"/>
        <v>-5.6845387854406226</v>
      </c>
      <c r="O159" s="6">
        <f t="shared" ca="1" si="34"/>
        <v>2.8286320191029852</v>
      </c>
      <c r="P159" s="6">
        <f t="shared" si="33"/>
        <v>1.7200556889162217</v>
      </c>
    </row>
    <row r="160" spans="4:16" x14ac:dyDescent="0.15">
      <c r="D160" s="16">
        <v>1965</v>
      </c>
      <c r="E160" s="18">
        <v>24.879541515363748</v>
      </c>
      <c r="F160" s="23">
        <f t="shared" si="27"/>
        <v>2.8441084324899109</v>
      </c>
      <c r="G160" s="6">
        <f t="shared" si="28"/>
        <v>-2.701978552751128</v>
      </c>
      <c r="H160" s="6"/>
      <c r="I160" s="129">
        <f t="shared" ca="1" si="29"/>
        <v>95.129122778300371</v>
      </c>
      <c r="J160" s="6"/>
      <c r="K160" s="6">
        <f t="shared" si="30"/>
        <v>-1.9390161135356059</v>
      </c>
      <c r="M160" s="30">
        <f t="shared" si="31"/>
        <v>1.2269548408336388</v>
      </c>
      <c r="N160" s="6">
        <f t="shared" ca="1" si="32"/>
        <v>-2.41352396927428</v>
      </c>
      <c r="O160" s="6">
        <f t="shared" ca="1" si="34"/>
        <v>2.8479298785098477</v>
      </c>
      <c r="P160" s="6">
        <f t="shared" si="33"/>
        <v>1.7793838193589187</v>
      </c>
    </row>
    <row r="161" spans="4:16" x14ac:dyDescent="0.15">
      <c r="D161" s="16">
        <v>1966</v>
      </c>
      <c r="E161" s="18">
        <v>25.445624793598462</v>
      </c>
      <c r="F161" s="23">
        <f t="shared" si="27"/>
        <v>2.8695540572835094</v>
      </c>
      <c r="G161" s="6">
        <f t="shared" si="28"/>
        <v>-2.6924712888812379</v>
      </c>
      <c r="H161" s="6"/>
      <c r="I161" s="129">
        <f t="shared" ca="1" si="29"/>
        <v>85.015326449482927</v>
      </c>
      <c r="J161" s="6"/>
      <c r="K161" s="6">
        <f t="shared" si="30"/>
        <v>-1.9351729439129526</v>
      </c>
      <c r="M161" s="30">
        <f t="shared" si="31"/>
        <v>1.2704823862095425</v>
      </c>
      <c r="N161" s="6">
        <f t="shared" ca="1" si="32"/>
        <v>2.0307154178598523</v>
      </c>
      <c r="O161" s="6">
        <f t="shared" ca="1" si="34"/>
        <v>2.8664864108195149</v>
      </c>
      <c r="P161" s="6">
        <f t="shared" si="33"/>
        <v>1.8427686161125358</v>
      </c>
    </row>
    <row r="162" spans="4:16" x14ac:dyDescent="0.15">
      <c r="D162" s="16">
        <v>1967</v>
      </c>
      <c r="E162" s="18">
        <v>26.225803670652713</v>
      </c>
      <c r="F162" s="23">
        <f t="shared" si="27"/>
        <v>2.8957798609541623</v>
      </c>
      <c r="G162" s="6">
        <f t="shared" si="28"/>
        <v>-2.6827544224059623</v>
      </c>
      <c r="H162" s="6"/>
      <c r="I162" s="129">
        <f t="shared" ca="1" si="29"/>
        <v>74.943114451252768</v>
      </c>
      <c r="J162" s="6"/>
      <c r="K162" s="6">
        <f t="shared" si="30"/>
        <v>-1.9312416250419351</v>
      </c>
      <c r="M162" s="30">
        <f t="shared" si="31"/>
        <v>1.3180174138308525</v>
      </c>
      <c r="N162" s="6">
        <f t="shared" ca="1" si="32"/>
        <v>7.9889385781206954</v>
      </c>
      <c r="O162" s="6">
        <f t="shared" ca="1" si="34"/>
        <v>2.8843121015769322</v>
      </c>
      <c r="P162" s="6">
        <f t="shared" si="33"/>
        <v>1.911304057881219</v>
      </c>
    </row>
    <row r="163" spans="4:16" x14ac:dyDescent="0.15">
      <c r="D163" s="16">
        <v>1968</v>
      </c>
      <c r="E163" s="18">
        <v>26.956994571705881</v>
      </c>
      <c r="F163" s="23">
        <f t="shared" si="27"/>
        <v>2.9227368555258684</v>
      </c>
      <c r="G163" s="6">
        <f t="shared" si="28"/>
        <v>-2.6728517168790593</v>
      </c>
      <c r="H163" s="6"/>
      <c r="I163" s="129">
        <f t="shared" ca="1" si="29"/>
        <v>64.90777218823041</v>
      </c>
      <c r="J163" s="6"/>
      <c r="K163" s="6">
        <f t="shared" si="30"/>
        <v>-1.9272315673736917</v>
      </c>
      <c r="M163" s="30">
        <f t="shared" si="31"/>
        <v>1.3701979335015417</v>
      </c>
      <c r="N163" s="6">
        <f t="shared" ca="1" si="32"/>
        <v>15.702178766594386</v>
      </c>
      <c r="O163" s="6"/>
      <c r="P163" s="6">
        <f t="shared" si="33"/>
        <v>1.9855854456058284</v>
      </c>
    </row>
    <row r="164" spans="4:16" x14ac:dyDescent="0.15">
      <c r="D164" s="16">
        <v>1969</v>
      </c>
      <c r="E164" s="18">
        <v>30.210159052074001</v>
      </c>
      <c r="F164" s="23">
        <f t="shared" si="27"/>
        <v>2.9529470145779424</v>
      </c>
      <c r="G164" s="6">
        <f t="shared" si="28"/>
        <v>-2.6618544885167958</v>
      </c>
      <c r="H164" s="6"/>
      <c r="I164" s="129">
        <f t="shared" ca="1" si="29"/>
        <v>55.089578940795036</v>
      </c>
      <c r="J164" s="6"/>
      <c r="K164" s="6">
        <f t="shared" si="30"/>
        <v>-1.9227740958040109</v>
      </c>
      <c r="M164" s="30">
        <f t="shared" si="31"/>
        <v>1.4334956733919282</v>
      </c>
      <c r="N164" s="6">
        <f t="shared" ca="1" si="32"/>
        <v>27.615385413856472</v>
      </c>
      <c r="O164" s="6"/>
      <c r="P164" s="6">
        <f t="shared" si="33"/>
        <v>2.0741352795459185</v>
      </c>
    </row>
    <row r="165" spans="4:16" x14ac:dyDescent="0.15">
      <c r="D165" s="16">
        <v>1970</v>
      </c>
      <c r="E165" s="18">
        <v>40.73531641438025</v>
      </c>
      <c r="F165" s="23">
        <f t="shared" si="27"/>
        <v>2.9936823309923226</v>
      </c>
      <c r="G165" s="6">
        <f t="shared" si="28"/>
        <v>-2.647190371577024</v>
      </c>
      <c r="H165" s="6"/>
      <c r="I165" s="129">
        <f t="shared" ca="1" si="29"/>
        <v>45.998881931113829</v>
      </c>
      <c r="J165" s="6"/>
      <c r="K165" s="6">
        <f t="shared" si="30"/>
        <v>-1.9168234907518675</v>
      </c>
      <c r="M165" s="30">
        <f t="shared" si="31"/>
        <v>1.5291812084457466</v>
      </c>
      <c r="N165" s="6">
        <f t="shared" ca="1" si="32"/>
        <v>51.764353400047185</v>
      </c>
      <c r="O165" s="6"/>
      <c r="P165" s="6">
        <f t="shared" si="33"/>
        <v>2.2041161278877319</v>
      </c>
    </row>
    <row r="166" spans="4:16" x14ac:dyDescent="0.15">
      <c r="D166" s="16">
        <v>1971</v>
      </c>
      <c r="E166" s="18">
        <v>46.260978670354021</v>
      </c>
      <c r="F166" s="23">
        <f t="shared" si="27"/>
        <v>3.0399433096626765</v>
      </c>
      <c r="G166" s="6">
        <f t="shared" si="28"/>
        <v>-2.6307602475430993</v>
      </c>
      <c r="H166" s="30"/>
      <c r="I166" s="129">
        <f t="shared" ca="1" si="29"/>
        <v>37.258553766762816</v>
      </c>
      <c r="J166" s="30"/>
      <c r="K166" s="6">
        <f t="shared" si="30"/>
        <v>-1.9101469869306944</v>
      </c>
      <c r="M166" s="30">
        <f t="shared" si="31"/>
        <v>1.658263737019547</v>
      </c>
      <c r="N166" s="6">
        <f t="shared" ca="1" si="32"/>
        <v>88.530347030812379</v>
      </c>
      <c r="O166" s="23"/>
      <c r="P166" s="6"/>
    </row>
    <row r="167" spans="4:16" x14ac:dyDescent="0.15">
      <c r="D167" s="16">
        <v>1972</v>
      </c>
      <c r="E167" s="18">
        <v>58.363730296843272</v>
      </c>
      <c r="F167" s="23">
        <f t="shared" si="27"/>
        <v>3.0983070399595198</v>
      </c>
      <c r="G167" s="6">
        <f t="shared" si="28"/>
        <v>-2.6103595321633688</v>
      </c>
      <c r="H167" s="30"/>
      <c r="I167" s="129">
        <f t="shared" ca="1" si="29"/>
        <v>29.305975272109208</v>
      </c>
      <c r="J167" s="30"/>
      <c r="K167" s="6">
        <f t="shared" si="30"/>
        <v>-1.9018434324995264</v>
      </c>
      <c r="M167" s="30">
        <f t="shared" si="31"/>
        <v>1.8754291380545649</v>
      </c>
      <c r="N167" s="6">
        <f t="shared" ca="1" si="32"/>
        <v>158.57310433271516</v>
      </c>
      <c r="O167" s="23"/>
      <c r="P167" s="6"/>
    </row>
    <row r="168" spans="4:16" x14ac:dyDescent="0.15">
      <c r="D168" s="16">
        <v>1973</v>
      </c>
      <c r="E168" s="18">
        <v>69.342480029529952</v>
      </c>
      <c r="F168" s="23">
        <f t="shared" si="27"/>
        <v>3.16764951998905</v>
      </c>
      <c r="G168" s="6">
        <f t="shared" si="28"/>
        <v>-2.5865790193414226</v>
      </c>
      <c r="H168" s="30"/>
      <c r="I168" s="129">
        <f t="shared" ca="1" si="29"/>
        <v>22.023935265771797</v>
      </c>
      <c r="J168" s="30"/>
      <c r="K168" s="6">
        <f t="shared" si="30"/>
        <v>-1.8921453411726807</v>
      </c>
      <c r="M168" s="30">
        <f t="shared" si="31"/>
        <v>2.3795998332927755</v>
      </c>
      <c r="N168" s="6">
        <f t="shared" ca="1" si="32"/>
        <v>337.04338086396689</v>
      </c>
      <c r="O168" s="23"/>
      <c r="P168" s="6"/>
    </row>
    <row r="169" spans="4:16" x14ac:dyDescent="0.15">
      <c r="D169" s="16">
        <v>1974</v>
      </c>
      <c r="E169" s="18">
        <v>83.374813599617326</v>
      </c>
      <c r="F169" s="23">
        <f t="shared" si="27"/>
        <v>3.2510243335886675</v>
      </c>
      <c r="G169" s="6">
        <f t="shared" si="28"/>
        <v>-2.5586154161583958</v>
      </c>
      <c r="H169" s="30"/>
      <c r="I169" s="129">
        <f t="shared" ca="1" si="29"/>
        <v>15.571803896023994</v>
      </c>
      <c r="J169" s="30"/>
      <c r="K169" s="6">
        <f t="shared" si="30"/>
        <v>-1.8807154734673217</v>
      </c>
      <c r="M169" s="30"/>
      <c r="N169" s="6"/>
      <c r="O169" s="23"/>
      <c r="P169" s="23"/>
    </row>
    <row r="170" spans="4:16" x14ac:dyDescent="0.15">
      <c r="D170" s="16">
        <v>1975</v>
      </c>
      <c r="E170" s="18">
        <v>100.63763203155378</v>
      </c>
      <c r="F170" s="23">
        <f t="shared" si="27"/>
        <v>3.3516619656202211</v>
      </c>
      <c r="G170" s="6">
        <f t="shared" si="28"/>
        <v>-2.5257299990824755</v>
      </c>
      <c r="H170" s="30"/>
      <c r="I170" s="129">
        <f t="shared" ca="1" si="29"/>
        <v>10.096140999296949</v>
      </c>
      <c r="J170" s="30"/>
      <c r="K170" s="6">
        <f t="shared" si="30"/>
        <v>-1.8672384029836868</v>
      </c>
      <c r="M170" s="30"/>
      <c r="N170" s="6"/>
      <c r="O170" s="23"/>
      <c r="P170" s="23"/>
    </row>
    <row r="171" spans="4:16" x14ac:dyDescent="0.15">
      <c r="D171" s="16">
        <v>1976</v>
      </c>
      <c r="E171" s="18">
        <v>123.45151389220528</v>
      </c>
      <c r="F171" s="23">
        <f t="shared" si="27"/>
        <v>3.4751134795124266</v>
      </c>
      <c r="G171" s="6">
        <f t="shared" si="28"/>
        <v>-2.4866082167086785</v>
      </c>
      <c r="H171" s="30"/>
      <c r="I171" s="129">
        <f t="shared" ca="1" si="29"/>
        <v>5.8577483919689257</v>
      </c>
      <c r="J171" s="30"/>
      <c r="K171" s="6">
        <f t="shared" si="30"/>
        <v>-1.8511561401991004</v>
      </c>
      <c r="M171" s="30"/>
      <c r="N171" s="6"/>
      <c r="O171" s="23"/>
      <c r="P171" s="23"/>
    </row>
    <row r="172" spans="4:16" x14ac:dyDescent="0.15">
      <c r="D172" s="16">
        <v>1977</v>
      </c>
      <c r="E172" s="18">
        <v>148.72205203083692</v>
      </c>
      <c r="F172" s="23">
        <f t="shared" si="27"/>
        <v>3.6238355315432633</v>
      </c>
      <c r="G172" s="6">
        <f t="shared" si="28"/>
        <v>-2.4411356978405343</v>
      </c>
      <c r="H172" s="30"/>
      <c r="I172" s="129">
        <f t="shared" ca="1" si="29"/>
        <v>2.8793168685315322</v>
      </c>
      <c r="J172" s="30"/>
      <c r="K172" s="6">
        <f t="shared" si="30"/>
        <v>-1.8323966101036908</v>
      </c>
      <c r="M172" s="30"/>
      <c r="N172" s="6"/>
      <c r="O172" s="23"/>
      <c r="P172" s="23"/>
    </row>
    <row r="173" spans="4:16" x14ac:dyDescent="0.15">
      <c r="D173" s="16">
        <v>1978</v>
      </c>
      <c r="E173" s="18">
        <v>166.00210697284783</v>
      </c>
      <c r="F173" s="23">
        <f t="shared" si="27"/>
        <v>3.789837638516111</v>
      </c>
      <c r="G173" s="6">
        <f t="shared" si="28"/>
        <v>-2.3923493819732213</v>
      </c>
      <c r="H173" s="30"/>
      <c r="I173" s="129">
        <f t="shared" ca="1" si="29"/>
        <v>0.5583296057084226</v>
      </c>
      <c r="J173" s="23">
        <f t="shared" ref="J173:J204" ca="1" si="35">F$1/(1+EXP((AVERAGE(E$2:F$2)-D173)*LN(81)/(F$2-E$2)))</f>
        <v>3.7800769664867206</v>
      </c>
      <c r="K173" s="6">
        <f t="shared" si="30"/>
        <v>-1.8121916787289454</v>
      </c>
      <c r="M173" s="30"/>
      <c r="N173" s="6"/>
      <c r="O173" s="23"/>
      <c r="P173" s="23"/>
    </row>
    <row r="174" spans="4:16" x14ac:dyDescent="0.15">
      <c r="D174" s="16">
        <v>1979</v>
      </c>
      <c r="E174" s="18">
        <v>200.87791714665434</v>
      </c>
      <c r="F174" s="23">
        <f t="shared" si="27"/>
        <v>3.9907155556627654</v>
      </c>
      <c r="G174" s="6">
        <f t="shared" ref="G174:G204" si="36" xml:space="preserve"> - LN(F$1/F174 - 1)</f>
        <v>-2.3358448560397793</v>
      </c>
      <c r="H174" s="30"/>
      <c r="I174" s="129">
        <f t="shared" ref="I174:I204" ca="1" si="37" xml:space="preserve"> (G174*(F$2-E$2)/LN(81) + AVERAGE(E$2:F$2) - D174)*12</f>
        <v>-0.23139520759195875</v>
      </c>
      <c r="J174" s="23">
        <f t="shared" ca="1" si="35"/>
        <v>3.9949615701181811</v>
      </c>
      <c r="K174" s="6">
        <f t="shared" ref="K174:K204" si="38">NORMSINV(F174/F$5)</f>
        <v>-1.7886910300879997</v>
      </c>
      <c r="M174" s="30"/>
      <c r="N174" s="6"/>
      <c r="O174" s="23"/>
      <c r="P174" s="23"/>
    </row>
    <row r="175" spans="4:16" x14ac:dyDescent="0.15">
      <c r="D175" s="16">
        <v>1980</v>
      </c>
      <c r="E175" s="18">
        <v>227.71425614783905</v>
      </c>
      <c r="F175" s="23">
        <f t="shared" si="27"/>
        <v>4.2184298118106041</v>
      </c>
      <c r="G175" s="6">
        <f t="shared" si="36"/>
        <v>-2.2748177047283269</v>
      </c>
      <c r="H175" s="30"/>
      <c r="I175" s="129">
        <f t="shared" ca="1" si="37"/>
        <v>-0.12384897549691232</v>
      </c>
      <c r="J175" s="23">
        <f t="shared" ca="1" si="35"/>
        <v>4.2208182695766805</v>
      </c>
      <c r="K175" s="6">
        <f t="shared" si="38"/>
        <v>-1.763192880892555</v>
      </c>
      <c r="M175" s="30"/>
      <c r="N175" s="6"/>
      <c r="O175" s="23"/>
      <c r="P175" s="23"/>
    </row>
    <row r="176" spans="4:16" x14ac:dyDescent="0.15">
      <c r="D176" s="16">
        <v>1981</v>
      </c>
      <c r="E176" s="18">
        <v>244.86186211769885</v>
      </c>
      <c r="F176" s="23">
        <f t="shared" si="27"/>
        <v>4.4632916739283033</v>
      </c>
      <c r="G176" s="6">
        <f t="shared" si="36"/>
        <v>-2.2124082539652159</v>
      </c>
      <c r="H176" s="30"/>
      <c r="I176" s="129">
        <f t="shared" ca="1" si="37"/>
        <v>0.25794001834856317</v>
      </c>
      <c r="J176" s="23">
        <f t="shared" ca="1" si="35"/>
        <v>4.4580639604857852</v>
      </c>
      <c r="K176" s="6">
        <f t="shared" si="38"/>
        <v>-1.7369960542027785</v>
      </c>
      <c r="M176" s="30"/>
      <c r="N176" s="6"/>
      <c r="O176" s="23"/>
      <c r="P176" s="23"/>
    </row>
    <row r="177" spans="4:16" x14ac:dyDescent="0.15">
      <c r="D177" s="16">
        <v>1982</v>
      </c>
      <c r="E177" s="18">
        <v>248.43526281155548</v>
      </c>
      <c r="F177" s="23">
        <f t="shared" si="27"/>
        <v>4.7117269367398587</v>
      </c>
      <c r="G177" s="6">
        <f t="shared" si="36"/>
        <v>-2.1521302102910354</v>
      </c>
      <c r="H177" s="30"/>
      <c r="I177" s="129">
        <f t="shared" ca="1" si="37"/>
        <v>0.21686624842732272</v>
      </c>
      <c r="J177" s="23">
        <f t="shared" ca="1" si="35"/>
        <v>4.7071148764654582</v>
      </c>
      <c r="K177" s="6">
        <f t="shared" si="38"/>
        <v>-1.7115819773335459</v>
      </c>
      <c r="M177" s="30"/>
      <c r="N177" s="6"/>
      <c r="O177" s="23"/>
      <c r="P177" s="23"/>
    </row>
    <row r="178" spans="4:16" x14ac:dyDescent="0.15">
      <c r="D178" s="16">
        <v>1983</v>
      </c>
      <c r="E178" s="18">
        <v>249.2000195480168</v>
      </c>
      <c r="F178" s="23">
        <f t="shared" si="27"/>
        <v>4.9609269562878753</v>
      </c>
      <c r="G178" s="6">
        <f t="shared" si="36"/>
        <v>-2.094425462292365</v>
      </c>
      <c r="H178" s="30"/>
      <c r="I178" s="129">
        <f t="shared" ca="1" si="37"/>
        <v>-0.33473923878227652</v>
      </c>
      <c r="J178" s="23">
        <f t="shared" ca="1" si="35"/>
        <v>4.9683843689697404</v>
      </c>
      <c r="K178" s="6">
        <f t="shared" si="38"/>
        <v>-1.6871541592884884</v>
      </c>
      <c r="M178" s="30"/>
      <c r="N178" s="6"/>
      <c r="O178" s="23"/>
      <c r="P178" s="23"/>
    </row>
    <row r="179" spans="4:16" x14ac:dyDescent="0.15">
      <c r="D179" s="16">
        <v>1984</v>
      </c>
      <c r="E179" s="18">
        <v>279.68596276128204</v>
      </c>
      <c r="F179" s="23">
        <f t="shared" si="27"/>
        <v>5.2406129190491573</v>
      </c>
      <c r="G179" s="6">
        <f t="shared" si="36"/>
        <v>-2.0326129879496873</v>
      </c>
      <c r="H179" s="30"/>
      <c r="I179" s="129">
        <f t="shared" ca="1" si="37"/>
        <v>-7.1388013283467444E-2</v>
      </c>
      <c r="J179" s="23">
        <f t="shared" ca="1" si="35"/>
        <v>5.2422804524412472</v>
      </c>
      <c r="K179" s="6">
        <f t="shared" si="38"/>
        <v>-1.6608855528298685</v>
      </c>
      <c r="M179" s="30"/>
      <c r="N179" s="6"/>
      <c r="O179" s="23"/>
      <c r="P179" s="23"/>
    </row>
    <row r="180" spans="4:16" x14ac:dyDescent="0.15">
      <c r="D180" s="16">
        <v>1985</v>
      </c>
      <c r="E180" s="18">
        <v>294.7515797510959</v>
      </c>
      <c r="F180" s="23">
        <f t="shared" si="27"/>
        <v>5.5353644988002531</v>
      </c>
      <c r="G180" s="6">
        <f t="shared" si="36"/>
        <v>-1.9704992348449497</v>
      </c>
      <c r="H180" s="128">
        <v>136.10330765829471</v>
      </c>
      <c r="I180" s="129">
        <f t="shared" ca="1" si="37"/>
        <v>0.25173573087613477</v>
      </c>
      <c r="J180" s="23">
        <f t="shared" ca="1" si="35"/>
        <v>5.5292031106383632</v>
      </c>
      <c r="K180" s="6">
        <f t="shared" si="38"/>
        <v>-1.6343887376602584</v>
      </c>
      <c r="M180" s="30"/>
      <c r="N180" s="6"/>
      <c r="O180" s="23"/>
      <c r="P180" s="23"/>
    </row>
    <row r="181" spans="4:16" x14ac:dyDescent="0.15">
      <c r="D181" s="16">
        <v>1986</v>
      </c>
      <c r="E181" s="18">
        <v>295.63971361230068</v>
      </c>
      <c r="F181" s="23">
        <f t="shared" si="27"/>
        <v>5.8310042124125534</v>
      </c>
      <c r="G181" s="6">
        <f t="shared" si="36"/>
        <v>-1.9109949987386101</v>
      </c>
      <c r="H181" s="128">
        <v>76.565546675707765</v>
      </c>
      <c r="I181" s="129">
        <f t="shared" ca="1" si="37"/>
        <v>5.7141590085848293E-2</v>
      </c>
      <c r="J181" s="23">
        <f t="shared" ca="1" si="35"/>
        <v>5.8295413629755046</v>
      </c>
      <c r="K181" s="6">
        <f t="shared" si="38"/>
        <v>-1.6089171323176754</v>
      </c>
      <c r="M181" s="30"/>
      <c r="N181" s="6"/>
      <c r="O181" s="23"/>
      <c r="P181" s="23"/>
    </row>
    <row r="182" spans="4:16" x14ac:dyDescent="0.15">
      <c r="D182" s="16">
        <v>1987</v>
      </c>
      <c r="E182" s="18">
        <v>305.5697577846679</v>
      </c>
      <c r="F182" s="23">
        <f t="shared" si="27"/>
        <v>6.1365739701972215</v>
      </c>
      <c r="G182" s="6">
        <f t="shared" si="36"/>
        <v>-1.852135093511035</v>
      </c>
      <c r="H182" s="128">
        <v>49.303449534933918</v>
      </c>
      <c r="I182" s="129">
        <f t="shared" ca="1" si="37"/>
        <v>-0.26528525690082461</v>
      </c>
      <c r="J182" s="23">
        <f t="shared" ca="1" si="35"/>
        <v>6.1436700932434114</v>
      </c>
      <c r="K182" s="6">
        <f t="shared" si="38"/>
        <v>-1.5836430445493546</v>
      </c>
      <c r="M182" s="30"/>
      <c r="N182" s="6"/>
      <c r="O182" s="23"/>
      <c r="P182" s="23"/>
    </row>
    <row r="183" spans="4:16" x14ac:dyDescent="0.15">
      <c r="D183" s="16">
        <v>1988</v>
      </c>
      <c r="E183" s="18">
        <v>336.29338340001249</v>
      </c>
      <c r="F183" s="23">
        <f t="shared" si="27"/>
        <v>6.4728673535972341</v>
      </c>
      <c r="G183" s="6">
        <f t="shared" si="36"/>
        <v>-1.7901468750278171</v>
      </c>
      <c r="H183" s="113">
        <v>51.224709283077203</v>
      </c>
      <c r="I183" s="129">
        <f t="shared" ca="1" si="37"/>
        <v>3.2932913245531381E-2</v>
      </c>
      <c r="J183" s="23">
        <f t="shared" ca="1" si="35"/>
        <v>6.4719466471612535</v>
      </c>
      <c r="K183" s="6">
        <f t="shared" si="38"/>
        <v>-1.5569489358050754</v>
      </c>
      <c r="M183" s="30"/>
      <c r="N183" s="6"/>
      <c r="O183" s="23"/>
      <c r="P183" s="23"/>
    </row>
    <row r="184" spans="4:16" x14ac:dyDescent="0.15">
      <c r="D184" s="16">
        <v>1989</v>
      </c>
      <c r="E184" s="18">
        <v>346.28511613475143</v>
      </c>
      <c r="F184" s="23">
        <f t="shared" si="27"/>
        <v>6.8191524697319856</v>
      </c>
      <c r="G184" s="6">
        <f t="shared" si="36"/>
        <v>-1.7290600368722071</v>
      </c>
      <c r="H184" s="113">
        <v>53.33413613001867</v>
      </c>
      <c r="I184" s="129">
        <f t="shared" ca="1" si="37"/>
        <v>0.15232077991549886</v>
      </c>
      <c r="J184" s="23">
        <f t="shared" ca="1" si="35"/>
        <v>6.8147072098571684</v>
      </c>
      <c r="K184" s="6">
        <f t="shared" si="38"/>
        <v>-1.5305741116660549</v>
      </c>
      <c r="M184" s="30"/>
      <c r="N184" s="6"/>
      <c r="O184" s="23"/>
      <c r="P184" s="23"/>
    </row>
    <row r="185" spans="4:16" x14ac:dyDescent="0.15">
      <c r="D185" s="16">
        <v>1990</v>
      </c>
      <c r="E185" s="18">
        <v>361.83789133035384</v>
      </c>
      <c r="F185" s="23">
        <f t="shared" si="27"/>
        <v>7.1809903610623396</v>
      </c>
      <c r="G185" s="6">
        <f t="shared" si="36"/>
        <v>-1.6678974004966618</v>
      </c>
      <c r="H185" s="113">
        <v>54.901896368631455</v>
      </c>
      <c r="I185" s="129">
        <f t="shared" ca="1" si="37"/>
        <v>0.28674671460339596</v>
      </c>
      <c r="J185" s="23">
        <f t="shared" ca="1" si="35"/>
        <v>7.1722629795638859</v>
      </c>
      <c r="K185" s="6">
        <f t="shared" si="38"/>
        <v>-1.5041068885083551</v>
      </c>
      <c r="M185" s="30"/>
      <c r="N185" s="6"/>
      <c r="O185" s="23"/>
      <c r="P185" s="23"/>
    </row>
    <row r="186" spans="4:16" x14ac:dyDescent="0.15">
      <c r="D186" s="16">
        <v>1991</v>
      </c>
      <c r="E186" s="18">
        <v>367.12859273847062</v>
      </c>
      <c r="F186" s="23">
        <f t="shared" si="27"/>
        <v>7.5481189538008104</v>
      </c>
      <c r="G186" s="6">
        <f t="shared" si="36"/>
        <v>-1.6083451115709415</v>
      </c>
      <c r="H186" s="113">
        <v>51.62219761688776</v>
      </c>
      <c r="I186" s="129">
        <f t="shared" ca="1" si="37"/>
        <v>0.10168606373645162</v>
      </c>
      <c r="J186" s="23">
        <f t="shared" ca="1" si="35"/>
        <v>7.5448961595149946</v>
      </c>
      <c r="K186" s="6">
        <f t="shared" si="38"/>
        <v>-1.4782881397471821</v>
      </c>
      <c r="M186" s="30"/>
      <c r="N186" s="6"/>
      <c r="O186" s="23"/>
      <c r="P186" s="23"/>
    </row>
    <row r="187" spans="4:16" x14ac:dyDescent="0.15">
      <c r="D187" s="16">
        <v>1992</v>
      </c>
      <c r="E187" s="18">
        <v>371.01134342892664</v>
      </c>
      <c r="F187" s="23">
        <f t="shared" ref="F187:F204" si="39">F186+E187/1000</f>
        <v>7.9191302972297368</v>
      </c>
      <c r="G187" s="6">
        <f t="shared" si="36"/>
        <v>-1.5504720509408181</v>
      </c>
      <c r="H187" s="113">
        <v>45.61526895647885</v>
      </c>
      <c r="I187" s="129">
        <f t="shared" ca="1" si="37"/>
        <v>-0.41652686093311786</v>
      </c>
      <c r="J187" s="23">
        <f t="shared" ca="1" si="35"/>
        <v>7.9328557961750459</v>
      </c>
      <c r="K187" s="6">
        <f t="shared" si="38"/>
        <v>-1.4531606081870729</v>
      </c>
      <c r="M187" s="30"/>
      <c r="N187" s="6"/>
      <c r="O187" s="23"/>
      <c r="P187" s="23"/>
    </row>
    <row r="188" spans="4:16" x14ac:dyDescent="0.15">
      <c r="D188" s="16">
        <v>1993</v>
      </c>
      <c r="E188" s="18">
        <v>389.36822665822052</v>
      </c>
      <c r="F188" s="23">
        <f t="shared" si="39"/>
        <v>8.3084985238879572</v>
      </c>
      <c r="G188" s="6">
        <f t="shared" si="36"/>
        <v>-1.4919888524340679</v>
      </c>
      <c r="H188" s="113">
        <v>41.618998248050694</v>
      </c>
      <c r="I188" s="129">
        <f t="shared" ca="1" si="37"/>
        <v>-0.81369083623485494</v>
      </c>
      <c r="J188" s="23">
        <f t="shared" ca="1" si="35"/>
        <v>8.3363534984462468</v>
      </c>
      <c r="K188" s="6">
        <f t="shared" si="38"/>
        <v>-1.4277406833715083</v>
      </c>
      <c r="M188" s="30"/>
      <c r="N188" s="6"/>
      <c r="O188" s="23"/>
      <c r="P188" s="23"/>
    </row>
    <row r="189" spans="4:16" x14ac:dyDescent="0.15">
      <c r="D189" s="16">
        <v>1994</v>
      </c>
      <c r="E189" s="18">
        <v>423.85122583927767</v>
      </c>
      <c r="F189" s="23">
        <f t="shared" si="39"/>
        <v>8.7323497497272342</v>
      </c>
      <c r="G189" s="6">
        <f t="shared" si="36"/>
        <v>-1.4306925745228818</v>
      </c>
      <c r="H189" s="111">
        <v>41.147023949917028</v>
      </c>
      <c r="I189" s="129">
        <f t="shared" ca="1" si="37"/>
        <v>-0.65275094773278397</v>
      </c>
      <c r="J189" s="23">
        <f t="shared" ca="1" si="35"/>
        <v>8.7555590792491937</v>
      </c>
      <c r="K189" s="6">
        <f t="shared" si="38"/>
        <v>-1.4010792421825993</v>
      </c>
      <c r="M189" s="30"/>
      <c r="N189" s="6"/>
      <c r="O189" s="39"/>
      <c r="P189" s="39"/>
    </row>
    <row r="190" spans="4:16" x14ac:dyDescent="0.15">
      <c r="D190" s="16">
        <v>1995</v>
      </c>
      <c r="E190" s="18">
        <v>443.366643856716</v>
      </c>
      <c r="F190" s="23">
        <f t="shared" si="39"/>
        <v>9.1757163935839507</v>
      </c>
      <c r="G190" s="6">
        <f t="shared" si="36"/>
        <v>-1.368950284355642</v>
      </c>
      <c r="H190" s="111">
        <v>42.23651282574653</v>
      </c>
      <c r="I190" s="129">
        <f t="shared" ca="1" si="37"/>
        <v>-0.40332398595182894</v>
      </c>
      <c r="J190" s="23">
        <f t="shared" ca="1" si="35"/>
        <v>9.1905961677279091</v>
      </c>
      <c r="K190" s="6">
        <f t="shared" si="38"/>
        <v>-1.374216500264192</v>
      </c>
      <c r="M190" s="30"/>
      <c r="N190" s="6"/>
      <c r="O190" s="23"/>
      <c r="P190" s="23"/>
    </row>
    <row r="191" spans="4:16" x14ac:dyDescent="0.15">
      <c r="D191" s="16">
        <v>1996</v>
      </c>
      <c r="E191" s="18">
        <v>453.76279229140812</v>
      </c>
      <c r="F191" s="23">
        <f t="shared" si="39"/>
        <v>9.6294791858753594</v>
      </c>
      <c r="G191" s="6">
        <f t="shared" si="36"/>
        <v>-1.3080223822996333</v>
      </c>
      <c r="H191" s="111">
        <v>43.383010725440627</v>
      </c>
      <c r="I191" s="129">
        <f t="shared" ca="1" si="37"/>
        <v>-0.3154684148648812</v>
      </c>
      <c r="J191" s="23">
        <f t="shared" ca="1" si="35"/>
        <v>9.6415378471017199</v>
      </c>
      <c r="K191" s="6">
        <f t="shared" si="38"/>
        <v>-1.3477137009645364</v>
      </c>
      <c r="M191" s="30"/>
      <c r="N191" s="6"/>
      <c r="O191" s="23"/>
      <c r="P191" s="23"/>
    </row>
    <row r="192" spans="4:16" x14ac:dyDescent="0.15">
      <c r="D192" s="16">
        <v>1997</v>
      </c>
      <c r="E192" s="18">
        <v>463.174515554957</v>
      </c>
      <c r="F192" s="23">
        <f t="shared" si="39"/>
        <v>10.092653701430317</v>
      </c>
      <c r="G192" s="6">
        <f t="shared" si="36"/>
        <v>-1.2479544899118773</v>
      </c>
      <c r="H192" s="111">
        <v>43.984795711578236</v>
      </c>
      <c r="I192" s="129">
        <f t="shared" ca="1" si="37"/>
        <v>-0.39823537153461075</v>
      </c>
      <c r="J192" s="23">
        <f t="shared" ca="1" si="35"/>
        <v>10.108402379669947</v>
      </c>
      <c r="K192" s="6">
        <f t="shared" si="38"/>
        <v>-1.3216034962584247</v>
      </c>
      <c r="M192" s="30"/>
      <c r="N192" s="6"/>
      <c r="O192" s="23"/>
      <c r="P192" s="23"/>
    </row>
    <row r="193" spans="4:16" x14ac:dyDescent="0.15">
      <c r="D193" s="16">
        <v>1998</v>
      </c>
      <c r="E193" s="18">
        <v>496.19336936677172</v>
      </c>
      <c r="F193" s="23">
        <f t="shared" si="39"/>
        <v>10.588847070797089</v>
      </c>
      <c r="G193" s="6">
        <f t="shared" si="36"/>
        <v>-1.1857459407215074</v>
      </c>
      <c r="H193" s="111">
        <v>45.230800781224268</v>
      </c>
      <c r="I193" s="129">
        <f t="shared" ca="1" si="37"/>
        <v>-5.6304457700207422E-2</v>
      </c>
      <c r="J193" s="23">
        <f t="shared" ca="1" si="35"/>
        <v>10.591149086434369</v>
      </c>
      <c r="K193" s="6">
        <f t="shared" si="38"/>
        <v>-1.2945965353188602</v>
      </c>
      <c r="M193" s="30"/>
      <c r="N193" s="6"/>
      <c r="O193" s="23"/>
      <c r="P193" s="23"/>
    </row>
    <row r="194" spans="4:16" x14ac:dyDescent="0.15">
      <c r="D194" s="16">
        <v>1999</v>
      </c>
      <c r="E194" s="18">
        <v>517.85479729859617</v>
      </c>
      <c r="F194" s="23">
        <f t="shared" si="39"/>
        <v>11.106701868095685</v>
      </c>
      <c r="G194" s="6">
        <f t="shared" si="36"/>
        <v>-1.1229442008897528</v>
      </c>
      <c r="H194" s="111">
        <v>46.90236278113278</v>
      </c>
      <c r="I194" s="129">
        <f t="shared" ca="1" si="37"/>
        <v>0.40331314083869074</v>
      </c>
      <c r="J194" s="23">
        <f t="shared" ca="1" si="35"/>
        <v>11.089674453981614</v>
      </c>
      <c r="K194" s="6">
        <f t="shared" si="38"/>
        <v>-1.2673825786065436</v>
      </c>
      <c r="M194" s="30"/>
      <c r="N194" s="6"/>
      <c r="O194" s="23"/>
      <c r="P194" s="23"/>
    </row>
    <row r="195" spans="4:16" x14ac:dyDescent="0.15">
      <c r="D195" s="16">
        <v>2000</v>
      </c>
      <c r="E195" s="18">
        <v>513.55212439941306</v>
      </c>
      <c r="F195" s="23">
        <f t="shared" si="39"/>
        <v>11.620253992495098</v>
      </c>
      <c r="G195" s="6">
        <f t="shared" si="36"/>
        <v>-1.0625868226652859</v>
      </c>
      <c r="H195" s="111">
        <v>47.692184643861985</v>
      </c>
      <c r="I195" s="129">
        <f t="shared" ca="1" si="37"/>
        <v>0.37797903293176205</v>
      </c>
      <c r="J195" s="23">
        <f t="shared" ca="1" si="35"/>
        <v>11.603808545390226</v>
      </c>
      <c r="K195" s="6">
        <f t="shared" si="38"/>
        <v>-1.241291236727738</v>
      </c>
      <c r="M195" s="30"/>
      <c r="N195" s="6"/>
      <c r="O195" s="23"/>
      <c r="P195" s="23"/>
    </row>
    <row r="196" spans="4:16" x14ac:dyDescent="0.15">
      <c r="D196" s="16">
        <v>2001</v>
      </c>
      <c r="E196" s="18">
        <v>543.32296109707875</v>
      </c>
      <c r="F196" s="23">
        <f t="shared" si="39"/>
        <v>12.163576953592177</v>
      </c>
      <c r="G196" s="6">
        <f t="shared" si="36"/>
        <v>-1.0006012625110805</v>
      </c>
      <c r="H196" s="111">
        <v>48.465584223404896</v>
      </c>
      <c r="I196" s="129">
        <f t="shared" ca="1" si="37"/>
        <v>0.67566980108131247</v>
      </c>
      <c r="J196" s="23">
        <f t="shared" ca="1" si="35"/>
        <v>12.13331179471758</v>
      </c>
      <c r="K196" s="6">
        <f t="shared" si="38"/>
        <v>-1.214577236469796</v>
      </c>
      <c r="M196" s="30"/>
      <c r="N196" s="6"/>
      <c r="O196" s="23"/>
      <c r="P196" s="23"/>
    </row>
    <row r="197" spans="4:16" x14ac:dyDescent="0.15">
      <c r="D197" s="16">
        <v>2002</v>
      </c>
      <c r="E197" s="18">
        <v>545.55185957404353</v>
      </c>
      <c r="F197" s="23">
        <f t="shared" si="39"/>
        <v>12.70912881316622</v>
      </c>
      <c r="G197" s="6">
        <f t="shared" si="36"/>
        <v>-0.94009929932459446</v>
      </c>
      <c r="H197" s="111">
        <v>48.700066109074839</v>
      </c>
      <c r="I197" s="129">
        <f t="shared" ca="1" si="37"/>
        <v>0.67902077963753982</v>
      </c>
      <c r="J197" s="23">
        <f t="shared" ca="1" si="35"/>
        <v>12.67787226580765</v>
      </c>
      <c r="K197" s="6">
        <f t="shared" si="38"/>
        <v>-1.1885984632162268</v>
      </c>
      <c r="M197" s="30"/>
      <c r="N197" s="6"/>
      <c r="O197" s="23"/>
      <c r="P197" s="23"/>
    </row>
    <row r="198" spans="4:16" x14ac:dyDescent="0.15">
      <c r="D198" s="16">
        <v>2003</v>
      </c>
      <c r="E198" s="18">
        <v>546.58410971035039</v>
      </c>
      <c r="F198" s="23">
        <f t="shared" si="39"/>
        <v>13.255712922876571</v>
      </c>
      <c r="G198" s="6">
        <f t="shared" si="36"/>
        <v>-0.88105038294219362</v>
      </c>
      <c r="H198" s="111">
        <v>48.270627265292831</v>
      </c>
      <c r="I198" s="129">
        <f t="shared" ca="1" si="37"/>
        <v>0.39409300063016417</v>
      </c>
      <c r="J198" s="23">
        <f t="shared" ca="1" si="35"/>
        <v>13.237103455489251</v>
      </c>
      <c r="K198" s="6">
        <f t="shared" si="38"/>
        <v>-1.1633510409307632</v>
      </c>
      <c r="M198" s="30"/>
      <c r="N198" s="6"/>
      <c r="O198" s="23"/>
      <c r="P198" s="23"/>
    </row>
    <row r="199" spans="4:16" x14ac:dyDescent="0.15">
      <c r="D199" s="16">
        <v>2004</v>
      </c>
      <c r="E199" s="18">
        <v>569.07973664898714</v>
      </c>
      <c r="F199" s="23">
        <f t="shared" si="39"/>
        <v>13.824792659525558</v>
      </c>
      <c r="G199" s="6">
        <f t="shared" si="36"/>
        <v>-0.8210670320999125</v>
      </c>
      <c r="H199" s="111">
        <v>47.747064279472959</v>
      </c>
      <c r="I199" s="129">
        <f t="shared" ca="1" si="37"/>
        <v>0.29455333462829003</v>
      </c>
      <c r="J199" s="23">
        <f t="shared" ca="1" si="35"/>
        <v>13.810542718487207</v>
      </c>
      <c r="K199" s="6">
        <f t="shared" si="38"/>
        <v>-1.1378293581635526</v>
      </c>
      <c r="M199" s="30"/>
      <c r="N199" s="6"/>
      <c r="O199" s="23"/>
      <c r="P199" s="23"/>
    </row>
    <row r="200" spans="4:16" x14ac:dyDescent="0.15">
      <c r="D200" s="16">
        <v>2005</v>
      </c>
      <c r="E200" s="18">
        <v>578.50903933844245</v>
      </c>
      <c r="F200" s="23">
        <f t="shared" si="39"/>
        <v>14.403301698864</v>
      </c>
      <c r="G200" s="6">
        <f t="shared" si="36"/>
        <v>-0.76149098879498622</v>
      </c>
      <c r="H200" s="111">
        <v>47.148414117571555</v>
      </c>
      <c r="I200" s="129">
        <f t="shared" ca="1" si="37"/>
        <v>0.11420545894998213</v>
      </c>
      <c r="J200" s="23">
        <f t="shared" ca="1" si="35"/>
        <v>14.397650386376323</v>
      </c>
      <c r="K200" s="6">
        <f t="shared" si="38"/>
        <v>-1.1126228619390564</v>
      </c>
      <c r="M200" s="30"/>
      <c r="N200" s="6"/>
      <c r="O200" s="23"/>
      <c r="P200" s="23"/>
    </row>
    <row r="201" spans="4:16" x14ac:dyDescent="0.15">
      <c r="D201" s="16">
        <v>2006</v>
      </c>
      <c r="E201" s="18">
        <v>609.58441041487629</v>
      </c>
      <c r="F201" s="23">
        <f t="shared" si="39"/>
        <v>15.012886109278877</v>
      </c>
      <c r="G201" s="6">
        <f t="shared" si="36"/>
        <v>-0.70007829534864341</v>
      </c>
      <c r="H201" s="111">
        <v>46.837705689244636</v>
      </c>
      <c r="I201" s="129">
        <f t="shared" ca="1" si="37"/>
        <v>0.298241730677546</v>
      </c>
      <c r="J201" s="23">
        <f t="shared" ca="1" si="35"/>
        <v>14.997809645565953</v>
      </c>
      <c r="K201" s="6">
        <f t="shared" si="38"/>
        <v>-1.0868055567929762</v>
      </c>
      <c r="M201" s="30"/>
      <c r="N201" s="6"/>
      <c r="O201" s="23"/>
      <c r="P201" s="23"/>
    </row>
    <row r="202" spans="4:16" x14ac:dyDescent="0.15">
      <c r="D202" s="16">
        <v>2007</v>
      </c>
      <c r="E202" s="18">
        <v>606.42937792228588</v>
      </c>
      <c r="F202" s="23">
        <f t="shared" si="39"/>
        <v>15.619315487201163</v>
      </c>
      <c r="G202" s="6">
        <f t="shared" si="36"/>
        <v>-0.64021754087511673</v>
      </c>
      <c r="H202" s="111">
        <v>46.489456335220034</v>
      </c>
      <c r="I202" s="129">
        <f t="shared" ca="1" si="37"/>
        <v>0.17437942842934717</v>
      </c>
      <c r="J202" s="23">
        <f t="shared" ca="1" si="35"/>
        <v>15.610327229585112</v>
      </c>
      <c r="K202" s="6">
        <f t="shared" si="38"/>
        <v>-1.0618212811311381</v>
      </c>
      <c r="M202" s="30"/>
      <c r="N202" s="6"/>
      <c r="O202" s="23"/>
      <c r="P202" s="23"/>
    </row>
    <row r="203" spans="4:16" x14ac:dyDescent="0.15">
      <c r="D203" s="16">
        <v>2008</v>
      </c>
      <c r="E203" s="18">
        <v>615.3967230908662</v>
      </c>
      <c r="F203" s="23">
        <f t="shared" si="39"/>
        <v>16.234712210292031</v>
      </c>
      <c r="G203" s="6">
        <f t="shared" si="36"/>
        <v>-0.58058478106264511</v>
      </c>
      <c r="H203" s="111">
        <v>46.121798323441034</v>
      </c>
      <c r="I203" s="129">
        <f t="shared" ca="1" si="37"/>
        <v>5.2838842539131292E-3</v>
      </c>
      <c r="J203" s="23">
        <f t="shared" ca="1" si="35"/>
        <v>16.234434968909845</v>
      </c>
      <c r="K203" s="6">
        <f t="shared" si="38"/>
        <v>-1.0371275220347234</v>
      </c>
      <c r="M203" s="30"/>
      <c r="N203" s="6"/>
      <c r="O203" s="23"/>
      <c r="P203" s="23"/>
    </row>
    <row r="204" spans="4:16" x14ac:dyDescent="0.15">
      <c r="D204" s="16">
        <v>2009</v>
      </c>
      <c r="E204" s="18">
        <v>568.00137813527613</v>
      </c>
      <c r="F204" s="23">
        <f t="shared" si="39"/>
        <v>16.802713588427306</v>
      </c>
      <c r="G204" s="6">
        <f t="shared" si="36"/>
        <v>-0.5264242571546186</v>
      </c>
      <c r="H204" s="6">
        <v>45.247493295226754</v>
      </c>
      <c r="I204" s="129">
        <f t="shared" ca="1" si="37"/>
        <v>-1.2494816901016748</v>
      </c>
      <c r="J204" s="23">
        <f t="shared" ca="1" si="35"/>
        <v>16.869292227399239</v>
      </c>
      <c r="K204" s="6">
        <f t="shared" si="38"/>
        <v>-1.0148839214929137</v>
      </c>
      <c r="N204" s="23"/>
      <c r="O204" s="23"/>
      <c r="P204" s="23"/>
    </row>
    <row r="205" spans="4:16" x14ac:dyDescent="0.15">
      <c r="D205" s="16">
        <v>2010</v>
      </c>
      <c r="E205" s="18"/>
      <c r="J205" s="23">
        <f t="shared" ref="J205:J236" ca="1" si="40">F$1/(1+EXP((AVERAGE(E$2:F$2)-D205)*LN(81)/(F$2-E$2)))</f>
        <v>17.513989238351087</v>
      </c>
      <c r="N205" s="23"/>
      <c r="O205" s="23"/>
      <c r="P205" s="23"/>
    </row>
    <row r="206" spans="4:16" x14ac:dyDescent="0.15">
      <c r="D206" s="16">
        <v>2011</v>
      </c>
      <c r="E206" s="18"/>
      <c r="J206" s="23">
        <f t="shared" ca="1" si="40"/>
        <v>18.167551335620569</v>
      </c>
      <c r="N206" s="23"/>
      <c r="O206" s="23"/>
      <c r="P206" s="23"/>
    </row>
    <row r="207" spans="4:16" x14ac:dyDescent="0.15">
      <c r="D207" s="16">
        <v>2012</v>
      </c>
      <c r="E207" s="18"/>
      <c r="J207" s="23">
        <f t="shared" ca="1" si="40"/>
        <v>18.828944056627204</v>
      </c>
      <c r="N207" s="23"/>
      <c r="O207" s="23"/>
      <c r="P207" s="23"/>
    </row>
    <row r="208" spans="4:16" x14ac:dyDescent="0.15">
      <c r="D208" s="16">
        <v>2013</v>
      </c>
      <c r="E208" s="18"/>
      <c r="J208" s="23">
        <f t="shared" ca="1" si="40"/>
        <v>19.497079074949063</v>
      </c>
      <c r="N208" s="23"/>
      <c r="O208" s="23"/>
      <c r="P208" s="23"/>
    </row>
    <row r="209" spans="4:16" x14ac:dyDescent="0.15">
      <c r="D209" s="16">
        <v>2014</v>
      </c>
      <c r="E209" s="18"/>
      <c r="J209" s="23">
        <f t="shared" ca="1" si="40"/>
        <v>20.170820901171425</v>
      </c>
      <c r="N209" s="23"/>
      <c r="O209" s="23"/>
      <c r="P209" s="23"/>
    </row>
    <row r="210" spans="4:16" x14ac:dyDescent="0.15">
      <c r="D210" s="16">
        <v>2015</v>
      </c>
      <c r="E210" s="18"/>
      <c r="J210" s="23">
        <f t="shared" ca="1" si="40"/>
        <v>20.848994272358176</v>
      </c>
      <c r="N210" s="23"/>
      <c r="O210" s="23"/>
      <c r="P210" s="23"/>
    </row>
    <row r="211" spans="4:16" x14ac:dyDescent="0.15">
      <c r="D211" s="16">
        <v>2016</v>
      </c>
      <c r="E211" s="18"/>
      <c r="J211" s="23">
        <f t="shared" ca="1" si="40"/>
        <v>21.530392133594525</v>
      </c>
      <c r="N211" s="23"/>
      <c r="O211" s="23"/>
      <c r="P211" s="23"/>
    </row>
    <row r="212" spans="4:16" x14ac:dyDescent="0.15">
      <c r="D212" s="16">
        <v>2017</v>
      </c>
      <c r="E212" s="18"/>
      <c r="J212" s="23">
        <f t="shared" ca="1" si="40"/>
        <v>22.213784100129949</v>
      </c>
      <c r="N212" s="23"/>
      <c r="O212" s="23"/>
      <c r="P212" s="23"/>
    </row>
    <row r="213" spans="4:16" x14ac:dyDescent="0.15">
      <c r="D213" s="16">
        <v>2018</v>
      </c>
      <c r="E213" s="18"/>
      <c r="J213" s="23">
        <f t="shared" ca="1" si="40"/>
        <v>22.897925276297066</v>
      </c>
      <c r="N213" s="23"/>
      <c r="O213" s="23"/>
      <c r="P213" s="23"/>
    </row>
    <row r="214" spans="4:16" x14ac:dyDescent="0.15">
      <c r="D214" s="16">
        <v>2019</v>
      </c>
      <c r="E214" s="18"/>
      <c r="J214" s="23">
        <f t="shared" ca="1" si="40"/>
        <v>23.581565298075628</v>
      </c>
      <c r="N214" s="23"/>
      <c r="O214" s="23"/>
      <c r="P214" s="23"/>
    </row>
    <row r="215" spans="4:16" x14ac:dyDescent="0.15">
      <c r="D215" s="16">
        <v>2020</v>
      </c>
      <c r="E215" s="18"/>
      <c r="J215" s="23">
        <f t="shared" ca="1" si="40"/>
        <v>24.263457460278932</v>
      </c>
      <c r="N215" s="23"/>
      <c r="O215" s="23"/>
      <c r="P215" s="23"/>
    </row>
    <row r="216" spans="4:16" x14ac:dyDescent="0.15">
      <c r="D216" s="16">
        <v>2021</v>
      </c>
      <c r="E216" s="18"/>
      <c r="J216" s="23">
        <f t="shared" ca="1" si="40"/>
        <v>24.942367787099236</v>
      </c>
      <c r="N216" s="23"/>
      <c r="O216" s="23"/>
      <c r="P216" s="23"/>
    </row>
    <row r="217" spans="4:16" x14ac:dyDescent="0.15">
      <c r="D217" s="16">
        <v>2022</v>
      </c>
      <c r="E217" s="18"/>
      <c r="J217" s="23">
        <f t="shared" ca="1" si="40"/>
        <v>25.617083906249327</v>
      </c>
      <c r="N217" s="23"/>
      <c r="O217" s="23"/>
      <c r="P217" s="23"/>
    </row>
    <row r="218" spans="4:16" x14ac:dyDescent="0.15">
      <c r="D218" s="16">
        <v>2023</v>
      </c>
      <c r="E218" s="18"/>
      <c r="J218" s="23">
        <f t="shared" ca="1" si="40"/>
        <v>26.286423592118641</v>
      </c>
      <c r="N218" s="23"/>
      <c r="O218" s="23"/>
      <c r="P218" s="23"/>
    </row>
    <row r="219" spans="4:16" x14ac:dyDescent="0.15">
      <c r="D219" s="16">
        <v>2024</v>
      </c>
      <c r="E219" s="18"/>
      <c r="J219" s="23">
        <f t="shared" ca="1" si="40"/>
        <v>26.949242852016479</v>
      </c>
      <c r="N219" s="23"/>
      <c r="O219" s="23"/>
      <c r="P219" s="23"/>
    </row>
    <row r="220" spans="4:16" x14ac:dyDescent="0.15">
      <c r="D220" s="16">
        <v>2025</v>
      </c>
      <c r="E220" s="18"/>
      <c r="J220" s="23">
        <f t="shared" ca="1" si="40"/>
        <v>27.604443441358288</v>
      </c>
      <c r="N220" s="23"/>
      <c r="O220" s="23"/>
      <c r="P220" s="23"/>
    </row>
    <row r="221" spans="4:16" x14ac:dyDescent="0.15">
      <c r="D221" s="16">
        <v>2026</v>
      </c>
      <c r="E221" s="18"/>
      <c r="J221" s="23">
        <f t="shared" ca="1" si="40"/>
        <v>28.25097970810388</v>
      </c>
      <c r="N221" s="23"/>
      <c r="O221" s="23"/>
      <c r="P221" s="23"/>
    </row>
    <row r="222" spans="4:16" x14ac:dyDescent="0.15">
      <c r="D222" s="16">
        <v>2027</v>
      </c>
      <c r="E222" s="18"/>
      <c r="J222" s="23">
        <f t="shared" ca="1" si="40"/>
        <v>28.887864683327244</v>
      </c>
      <c r="N222" s="23"/>
      <c r="O222" s="23"/>
      <c r="P222" s="23"/>
    </row>
    <row r="223" spans="4:16" x14ac:dyDescent="0.15">
      <c r="D223" s="16">
        <v>2028</v>
      </c>
      <c r="E223" s="18"/>
      <c r="J223" s="23">
        <f t="shared" ca="1" si="40"/>
        <v>29.514175352873931</v>
      </c>
      <c r="N223" s="23"/>
      <c r="O223" s="23"/>
      <c r="P223" s="23"/>
    </row>
    <row r="224" spans="4:16" x14ac:dyDescent="0.15">
      <c r="D224" s="16">
        <v>2029</v>
      </c>
      <c r="E224" s="18"/>
      <c r="J224" s="23">
        <f t="shared" ca="1" si="40"/>
        <v>30.12905706399955</v>
      </c>
      <c r="N224" s="23"/>
      <c r="O224" s="23"/>
      <c r="P224" s="23"/>
    </row>
    <row r="225" spans="4:16" x14ac:dyDescent="0.15">
      <c r="D225" s="16">
        <v>2030</v>
      </c>
      <c r="E225" s="18"/>
      <c r="J225" s="23">
        <f t="shared" ca="1" si="40"/>
        <v>30.731727040040091</v>
      </c>
      <c r="N225" s="23"/>
      <c r="O225" s="23"/>
      <c r="P225" s="23"/>
    </row>
    <row r="226" spans="4:16" x14ac:dyDescent="0.15">
      <c r="D226" s="16">
        <v>2031</v>
      </c>
      <c r="E226" s="18"/>
      <c r="J226" s="23">
        <f t="shared" ca="1" si="40"/>
        <v>31.321476994929078</v>
      </c>
      <c r="N226" s="23"/>
      <c r="O226" s="23"/>
      <c r="P226" s="23"/>
    </row>
    <row r="227" spans="4:16" x14ac:dyDescent="0.15">
      <c r="D227" s="16">
        <v>2032</v>
      </c>
      <c r="E227" s="18"/>
      <c r="J227" s="23">
        <f t="shared" ca="1" si="40"/>
        <v>31.897674857192186</v>
      </c>
      <c r="N227" s="23"/>
      <c r="O227" s="23"/>
      <c r="P227" s="23"/>
    </row>
    <row r="228" spans="4:16" x14ac:dyDescent="0.15">
      <c r="D228" s="16">
        <v>2033</v>
      </c>
      <c r="E228" s="18"/>
      <c r="J228" s="23">
        <f t="shared" ca="1" si="40"/>
        <v>32.459765629437996</v>
      </c>
      <c r="N228" s="23"/>
      <c r="O228" s="23"/>
      <c r="P228" s="23"/>
    </row>
    <row r="229" spans="4:16" x14ac:dyDescent="0.15">
      <c r="D229" s="16">
        <v>2034</v>
      </c>
      <c r="E229" s="18"/>
      <c r="J229" s="23">
        <f t="shared" ca="1" si="40"/>
        <v>33.007271423936544</v>
      </c>
      <c r="N229" s="23"/>
      <c r="O229" s="23"/>
      <c r="P229" s="23"/>
    </row>
    <row r="230" spans="4:16" x14ac:dyDescent="0.15">
      <c r="D230" s="16">
        <v>2035</v>
      </c>
      <c r="E230" s="18"/>
      <c r="J230" s="23">
        <f t="shared" ca="1" si="40"/>
        <v>33.539790727348063</v>
      </c>
      <c r="N230" s="23"/>
      <c r="O230" s="23"/>
      <c r="P230" s="23"/>
    </row>
    <row r="231" spans="4:16" x14ac:dyDescent="0.15">
      <c r="D231" s="16">
        <v>2036</v>
      </c>
      <c r="E231" s="18"/>
      <c r="J231" s="23">
        <f t="shared" ca="1" si="40"/>
        <v>34.056996957848909</v>
      </c>
      <c r="N231" s="23"/>
      <c r="O231" s="23"/>
      <c r="P231" s="23"/>
    </row>
    <row r="232" spans="4:16" x14ac:dyDescent="0.15">
      <c r="D232" s="16">
        <v>2037</v>
      </c>
      <c r="E232" s="18"/>
      <c r="J232" s="23">
        <f t="shared" ca="1" si="40"/>
        <v>34.558636385716134</v>
      </c>
      <c r="N232" s="23"/>
      <c r="O232" s="23"/>
      <c r="P232" s="23"/>
    </row>
    <row r="233" spans="4:16" x14ac:dyDescent="0.15">
      <c r="D233" s="16">
        <v>2038</v>
      </c>
      <c r="E233" s="18"/>
      <c r="J233" s="23">
        <f t="shared" ca="1" si="40"/>
        <v>35.044525493885004</v>
      </c>
      <c r="N233" s="23"/>
      <c r="O233" s="23"/>
      <c r="P233" s="23"/>
    </row>
    <row r="234" spans="4:16" x14ac:dyDescent="0.15">
      <c r="D234" s="16">
        <v>2039</v>
      </c>
      <c r="E234" s="18"/>
      <c r="J234" s="23">
        <f t="shared" ca="1" si="40"/>
        <v>35.514547858175192</v>
      </c>
      <c r="N234" s="23"/>
      <c r="O234" s="23"/>
      <c r="P234" s="23"/>
    </row>
    <row r="235" spans="4:16" x14ac:dyDescent="0.15">
      <c r="D235" s="16">
        <v>2040</v>
      </c>
      <c r="E235" s="18"/>
      <c r="J235" s="23">
        <f t="shared" ca="1" si="40"/>
        <v>35.968650627948499</v>
      </c>
      <c r="N235" s="23"/>
      <c r="O235" s="23"/>
      <c r="P235" s="23"/>
    </row>
    <row r="236" spans="4:16" x14ac:dyDescent="0.15">
      <c r="D236" s="16">
        <v>2041</v>
      </c>
      <c r="E236" s="18"/>
      <c r="J236" s="23">
        <f t="shared" ca="1" si="40"/>
        <v>36.406840687124848</v>
      </c>
      <c r="N236" s="23"/>
      <c r="O236" s="23"/>
      <c r="P236" s="23"/>
    </row>
    <row r="237" spans="4:16" x14ac:dyDescent="0.15">
      <c r="D237" s="16">
        <v>2042</v>
      </c>
      <c r="E237" s="18"/>
      <c r="J237" s="23">
        <f t="shared" ref="J237:J268" ca="1" si="41">F$1/(1+EXP((AVERAGE(E$2:F$2)-D237)*LN(81)/(F$2-E$2)))</f>
        <v>36.829180572989905</v>
      </c>
      <c r="N237" s="23"/>
      <c r="O237" s="23"/>
      <c r="P237" s="23"/>
    </row>
    <row r="238" spans="4:16" x14ac:dyDescent="0.15">
      <c r="D238" s="16">
        <v>2043</v>
      </c>
      <c r="E238" s="18"/>
      <c r="J238" s="23">
        <f t="shared" ca="1" si="41"/>
        <v>37.23578422634759</v>
      </c>
      <c r="N238" s="23"/>
      <c r="O238" s="23"/>
      <c r="P238" s="23"/>
    </row>
    <row r="239" spans="4:16" x14ac:dyDescent="0.15">
      <c r="D239" s="16">
        <v>2044</v>
      </c>
      <c r="E239" s="18"/>
      <c r="J239" s="23">
        <f t="shared" ca="1" si="41"/>
        <v>37.626812641580784</v>
      </c>
      <c r="N239" s="23"/>
      <c r="O239" s="23"/>
      <c r="P239" s="23"/>
    </row>
    <row r="240" spans="4:16" x14ac:dyDescent="0.15">
      <c r="D240" s="16">
        <v>2045</v>
      </c>
      <c r="E240" s="18"/>
      <c r="J240" s="23">
        <f t="shared" ca="1" si="41"/>
        <v>38.002469479358737</v>
      </c>
      <c r="N240" s="23"/>
      <c r="O240" s="23"/>
      <c r="P240" s="23"/>
    </row>
    <row r="241" spans="4:16" x14ac:dyDescent="0.15">
      <c r="D241" s="16">
        <v>2046</v>
      </c>
      <c r="E241" s="18"/>
      <c r="J241" s="23">
        <f t="shared" ca="1" si="41"/>
        <v>38.362996698330718</v>
      </c>
      <c r="N241" s="23"/>
      <c r="O241" s="23"/>
      <c r="P241" s="23"/>
    </row>
    <row r="242" spans="4:16" x14ac:dyDescent="0.15">
      <c r="D242" s="16">
        <v>2047</v>
      </c>
      <c r="E242" s="18"/>
      <c r="J242" s="23">
        <f t="shared" ca="1" si="41"/>
        <v>38.708670255413224</v>
      </c>
      <c r="N242" s="23"/>
      <c r="O242" s="23"/>
      <c r="P242" s="23"/>
    </row>
    <row r="243" spans="4:16" x14ac:dyDescent="0.15">
      <c r="D243" s="16">
        <v>2048</v>
      </c>
      <c r="E243" s="18"/>
      <c r="J243" s="23">
        <f t="shared" ca="1" si="41"/>
        <v>39.039795917425792</v>
      </c>
      <c r="N243" s="23"/>
      <c r="O243" s="23"/>
      <c r="P243" s="23"/>
    </row>
    <row r="244" spans="4:16" x14ac:dyDescent="0.15">
      <c r="D244" s="16">
        <v>2049</v>
      </c>
      <c r="E244" s="18"/>
      <c r="J244" s="23">
        <f t="shared" ca="1" si="41"/>
        <v>39.356705220043814</v>
      </c>
      <c r="N244" s="23"/>
      <c r="O244" s="23"/>
      <c r="P244" s="23"/>
    </row>
    <row r="245" spans="4:16" x14ac:dyDescent="0.15">
      <c r="D245" s="16">
        <v>2050</v>
      </c>
      <c r="E245" s="18"/>
      <c r="J245" s="23">
        <f t="shared" ca="1" si="41"/>
        <v>39.659751603468195</v>
      </c>
      <c r="N245" s="23"/>
      <c r="O245" s="23"/>
      <c r="P245" s="23"/>
    </row>
    <row r="246" spans="4:16" x14ac:dyDescent="0.15">
      <c r="D246" s="16">
        <v>2051</v>
      </c>
      <c r="E246" s="18"/>
      <c r="J246" s="23">
        <f t="shared" ca="1" si="41"/>
        <v>39.949306747984238</v>
      </c>
      <c r="N246" s="23"/>
      <c r="O246" s="23"/>
      <c r="P246" s="23"/>
    </row>
    <row r="247" spans="4:16" x14ac:dyDescent="0.15">
      <c r="D247" s="16">
        <v>2052</v>
      </c>
      <c r="E247" s="18"/>
      <c r="J247" s="23">
        <f t="shared" ca="1" si="41"/>
        <v>40.225757126789048</v>
      </c>
      <c r="N247" s="23"/>
      <c r="O247" s="23"/>
      <c r="P247" s="23"/>
    </row>
    <row r="248" spans="4:16" x14ac:dyDescent="0.15">
      <c r="D248" s="16">
        <v>2053</v>
      </c>
      <c r="E248" s="18"/>
      <c r="J248" s="23">
        <f t="shared" ca="1" si="41"/>
        <v>40.48950078817137</v>
      </c>
      <c r="N248" s="23"/>
      <c r="O248" s="23"/>
      <c r="P248" s="23"/>
    </row>
    <row r="249" spans="4:16" x14ac:dyDescent="0.15">
      <c r="D249" s="16">
        <v>2054</v>
      </c>
      <c r="E249" s="18"/>
      <c r="J249" s="23">
        <f t="shared" ca="1" si="41"/>
        <v>40.740944374373683</v>
      </c>
      <c r="N249" s="23"/>
      <c r="O249" s="23"/>
      <c r="P249" s="23"/>
    </row>
    <row r="250" spans="4:16" x14ac:dyDescent="0.15">
      <c r="D250" s="16">
        <v>2055</v>
      </c>
      <c r="E250" s="18"/>
      <c r="J250" s="23">
        <f t="shared" ca="1" si="41"/>
        <v>40.980500380269383</v>
      </c>
      <c r="O250" s="23"/>
      <c r="P250" s="23"/>
    </row>
    <row r="251" spans="4:16" x14ac:dyDescent="0.15">
      <c r="D251" s="16">
        <v>2056</v>
      </c>
      <c r="E251" s="18"/>
      <c r="J251" s="23">
        <f t="shared" ca="1" si="41"/>
        <v>41.208584651351842</v>
      </c>
      <c r="O251" s="23"/>
      <c r="P251" s="23"/>
    </row>
    <row r="252" spans="4:16" x14ac:dyDescent="0.15">
      <c r="D252" s="16">
        <v>2057</v>
      </c>
      <c r="E252" s="18"/>
      <c r="J252" s="23">
        <f t="shared" ca="1" si="41"/>
        <v>41.425614117441619</v>
      </c>
      <c r="O252" s="23"/>
      <c r="P252" s="23"/>
    </row>
    <row r="253" spans="4:16" x14ac:dyDescent="0.15">
      <c r="D253" s="16">
        <v>2058</v>
      </c>
      <c r="E253" s="18"/>
      <c r="J253" s="23">
        <f t="shared" ca="1" si="41"/>
        <v>41.632004755948948</v>
      </c>
      <c r="O253" s="23"/>
      <c r="P253" s="23"/>
    </row>
    <row r="254" spans="4:16" x14ac:dyDescent="0.15">
      <c r="D254" s="16">
        <v>2059</v>
      </c>
      <c r="E254" s="18"/>
      <c r="J254" s="23">
        <f t="shared" ca="1" si="41"/>
        <v>41.828169776446956</v>
      </c>
      <c r="O254" s="23"/>
      <c r="P254" s="23"/>
    </row>
    <row r="255" spans="4:16" x14ac:dyDescent="0.15">
      <c r="D255" s="16">
        <v>2060</v>
      </c>
      <c r="E255" s="18"/>
      <c r="J255" s="23">
        <f t="shared" ca="1" si="41"/>
        <v>42.014518016677677</v>
      </c>
      <c r="O255" s="23"/>
      <c r="P255" s="23"/>
    </row>
    <row r="256" spans="4:16" x14ac:dyDescent="0.15">
      <c r="D256" s="16">
        <v>2061</v>
      </c>
      <c r="J256" s="23">
        <f t="shared" ca="1" si="41"/>
        <v>42.1914525388841</v>
      </c>
      <c r="O256" s="23"/>
      <c r="P256" s="23"/>
    </row>
    <row r="257" spans="4:16" x14ac:dyDescent="0.15">
      <c r="D257" s="16">
        <v>2062</v>
      </c>
      <c r="J257" s="23">
        <f t="shared" ca="1" si="41"/>
        <v>42.359369414493898</v>
      </c>
      <c r="O257" s="23"/>
      <c r="P257" s="23"/>
    </row>
    <row r="258" spans="4:16" x14ac:dyDescent="0.15">
      <c r="D258" s="16">
        <v>2063</v>
      </c>
      <c r="J258" s="23">
        <f t="shared" ca="1" si="41"/>
        <v>42.518656684627622</v>
      </c>
      <c r="O258" s="23"/>
      <c r="P258" s="23"/>
    </row>
    <row r="259" spans="4:16" x14ac:dyDescent="0.15">
      <c r="D259" s="16">
        <v>2064</v>
      </c>
      <c r="J259" s="23">
        <f t="shared" ca="1" si="41"/>
        <v>42.669693483624073</v>
      </c>
      <c r="O259" s="23"/>
      <c r="P259" s="23"/>
    </row>
    <row r="260" spans="4:16" x14ac:dyDescent="0.15">
      <c r="D260" s="16">
        <v>2065</v>
      </c>
      <c r="J260" s="23">
        <f t="shared" ca="1" si="41"/>
        <v>42.812849312725263</v>
      </c>
      <c r="O260" s="23"/>
      <c r="P260" s="23"/>
    </row>
    <row r="261" spans="4:16" x14ac:dyDescent="0.15">
      <c r="D261" s="16">
        <v>2066</v>
      </c>
      <c r="J261" s="23">
        <f t="shared" ca="1" si="41"/>
        <v>42.948483451205426</v>
      </c>
      <c r="O261" s="23"/>
      <c r="P261" s="23"/>
    </row>
    <row r="262" spans="4:16" x14ac:dyDescent="0.15">
      <c r="D262" s="16">
        <v>2067</v>
      </c>
      <c r="J262" s="23">
        <f t="shared" ca="1" si="41"/>
        <v>43.076944492526074</v>
      </c>
      <c r="O262" s="23"/>
      <c r="P262" s="23"/>
    </row>
    <row r="263" spans="4:16" x14ac:dyDescent="0.15">
      <c r="D263" s="16">
        <v>2068</v>
      </c>
      <c r="J263" s="23">
        <f t="shared" ca="1" si="41"/>
        <v>43.198569993520714</v>
      </c>
      <c r="O263" s="23"/>
      <c r="P263" s="23"/>
    </row>
    <row r="264" spans="4:16" x14ac:dyDescent="0.15">
      <c r="D264" s="16">
        <v>2069</v>
      </c>
      <c r="J264" s="23">
        <f t="shared" ca="1" si="41"/>
        <v>43.313686225130148</v>
      </c>
      <c r="O264" s="23"/>
      <c r="P264" s="23"/>
    </row>
    <row r="265" spans="4:16" x14ac:dyDescent="0.15">
      <c r="D265" s="16">
        <v>2070</v>
      </c>
      <c r="J265" s="23">
        <f t="shared" ca="1" si="41"/>
        <v>43.422608013795745</v>
      </c>
      <c r="O265" s="23"/>
      <c r="P265" s="23"/>
    </row>
    <row r="266" spans="4:16" x14ac:dyDescent="0.15">
      <c r="D266" s="16">
        <v>2071</v>
      </c>
      <c r="J266" s="23">
        <f t="shared" ca="1" si="41"/>
        <v>43.525638663253972</v>
      </c>
      <c r="O266" s="23"/>
      <c r="P266" s="23"/>
    </row>
    <row r="267" spans="4:16" x14ac:dyDescent="0.15">
      <c r="D267" s="16">
        <v>2072</v>
      </c>
      <c r="J267" s="23">
        <f t="shared" ca="1" si="41"/>
        <v>43.623069947140358</v>
      </c>
      <c r="O267" s="23"/>
      <c r="P267" s="23"/>
    </row>
    <row r="268" spans="4:16" x14ac:dyDescent="0.15">
      <c r="D268" s="16">
        <v>2073</v>
      </c>
      <c r="J268" s="23">
        <f t="shared" ca="1" si="41"/>
        <v>43.715182163490759</v>
      </c>
      <c r="O268" s="23"/>
      <c r="P268" s="23"/>
    </row>
    <row r="269" spans="4:16" x14ac:dyDescent="0.15">
      <c r="D269" s="16">
        <v>2074</v>
      </c>
      <c r="J269" s="23">
        <f t="shared" ref="J269:J300" ca="1" si="42">F$1/(1+EXP((AVERAGE(E$2:F$2)-D269)*LN(81)/(F$2-E$2)))</f>
        <v>43.802244242908159</v>
      </c>
      <c r="O269" s="23"/>
      <c r="P269" s="23"/>
    </row>
    <row r="270" spans="4:16" x14ac:dyDescent="0.15">
      <c r="D270" s="16">
        <v>2075</v>
      </c>
      <c r="J270" s="23">
        <f t="shared" ca="1" si="42"/>
        <v>43.884513902835295</v>
      </c>
      <c r="O270" s="23"/>
      <c r="P270" s="23"/>
    </row>
    <row r="271" spans="4:16" x14ac:dyDescent="0.15">
      <c r="D271" s="16">
        <v>2076</v>
      </c>
      <c r="J271" s="23">
        <f t="shared" ca="1" si="42"/>
        <v>43.962237841027267</v>
      </c>
      <c r="O271" s="23"/>
      <c r="P271" s="23"/>
    </row>
    <row r="272" spans="4:16" x14ac:dyDescent="0.15">
      <c r="D272" s="16">
        <v>2077</v>
      </c>
      <c r="J272" s="23">
        <f t="shared" ca="1" si="42"/>
        <v>44.035651961948794</v>
      </c>
      <c r="O272" s="23"/>
      <c r="P272" s="23"/>
    </row>
    <row r="273" spans="4:16" x14ac:dyDescent="0.15">
      <c r="D273" s="16">
        <v>2078</v>
      </c>
      <c r="J273" s="23">
        <f t="shared" ca="1" si="42"/>
        <v>44.104981630422145</v>
      </c>
      <c r="O273" s="23"/>
      <c r="P273" s="23"/>
    </row>
    <row r="274" spans="4:16" x14ac:dyDescent="0.15">
      <c r="D274" s="16">
        <v>2079</v>
      </c>
      <c r="J274" s="23">
        <f t="shared" ca="1" si="42"/>
        <v>44.170441947422134</v>
      </c>
      <c r="O274" s="23"/>
      <c r="P274" s="23"/>
    </row>
    <row r="275" spans="4:16" x14ac:dyDescent="0.15">
      <c r="D275" s="16">
        <v>2080</v>
      </c>
      <c r="J275" s="23">
        <f t="shared" ca="1" si="42"/>
        <v>44.232238043449144</v>
      </c>
      <c r="O275" s="23"/>
      <c r="P275" s="23"/>
    </row>
    <row r="276" spans="4:16" x14ac:dyDescent="0.15">
      <c r="D276" s="16">
        <v>2081</v>
      </c>
      <c r="J276" s="23">
        <f t="shared" ca="1" si="42"/>
        <v>44.290565385411988</v>
      </c>
      <c r="O276" s="23"/>
      <c r="P276" s="23"/>
    </row>
    <row r="277" spans="4:16" x14ac:dyDescent="0.15">
      <c r="D277" s="16">
        <v>2082</v>
      </c>
      <c r="J277" s="23">
        <f t="shared" ca="1" si="42"/>
        <v>44.345610093415942</v>
      </c>
      <c r="O277" s="23"/>
      <c r="P277" s="23"/>
    </row>
    <row r="278" spans="4:16" x14ac:dyDescent="0.15">
      <c r="D278" s="16">
        <v>2083</v>
      </c>
      <c r="J278" s="23">
        <f t="shared" ca="1" si="42"/>
        <v>44.397549264280229</v>
      </c>
      <c r="O278" s="23"/>
      <c r="P278" s="23"/>
    </row>
    <row r="279" spans="4:16" x14ac:dyDescent="0.15">
      <c r="D279" s="16">
        <v>2084</v>
      </c>
      <c r="J279" s="23">
        <f t="shared" ca="1" si="42"/>
        <v>44.44655129900233</v>
      </c>
      <c r="O279" s="23"/>
      <c r="P279" s="23"/>
    </row>
    <row r="280" spans="4:16" x14ac:dyDescent="0.15">
      <c r="D280" s="16">
        <v>2085</v>
      </c>
      <c r="J280" s="23">
        <f t="shared" ca="1" si="42"/>
        <v>44.492776231746738</v>
      </c>
      <c r="O280" s="23"/>
      <c r="P280" s="23"/>
    </row>
    <row r="281" spans="4:16" x14ac:dyDescent="0.15">
      <c r="D281" s="16">
        <v>2086</v>
      </c>
      <c r="J281" s="23">
        <f t="shared" ca="1" si="42"/>
        <v>44.536376058262874</v>
      </c>
      <c r="O281" s="23"/>
      <c r="P281" s="23"/>
    </row>
    <row r="282" spans="4:16" x14ac:dyDescent="0.15">
      <c r="D282" s="16">
        <v>2087</v>
      </c>
      <c r="J282" s="23">
        <f t="shared" ca="1" si="42"/>
        <v>44.577495061933298</v>
      </c>
      <c r="O282" s="23"/>
      <c r="P282" s="23"/>
    </row>
    <row r="283" spans="4:16" x14ac:dyDescent="0.15">
      <c r="D283" s="16">
        <v>2088</v>
      </c>
      <c r="J283" s="23">
        <f t="shared" ca="1" si="42"/>
        <v>44.61627013592156</v>
      </c>
      <c r="O283" s="23"/>
      <c r="P283" s="23"/>
    </row>
    <row r="284" spans="4:16" x14ac:dyDescent="0.15">
      <c r="D284" s="16">
        <v>2089</v>
      </c>
      <c r="J284" s="23">
        <f t="shared" ca="1" si="42"/>
        <v>44.65283110012895</v>
      </c>
      <c r="O284" s="23"/>
      <c r="P284" s="23"/>
    </row>
    <row r="285" spans="4:16" x14ac:dyDescent="0.15">
      <c r="D285" s="16">
        <v>2090</v>
      </c>
      <c r="J285" s="23">
        <f t="shared" ca="1" si="42"/>
        <v>44.687301011884699</v>
      </c>
      <c r="O285" s="23"/>
      <c r="P285" s="23"/>
    </row>
    <row r="286" spans="4:16" x14ac:dyDescent="0.15">
      <c r="D286" s="16">
        <v>2091</v>
      </c>
      <c r="J286" s="23">
        <f t="shared" ca="1" si="42"/>
        <v>44.71979646948634</v>
      </c>
      <c r="O286" s="23"/>
      <c r="P286" s="23"/>
    </row>
    <row r="287" spans="4:16" x14ac:dyDescent="0.15">
      <c r="D287" s="16">
        <v>2092</v>
      </c>
      <c r="J287" s="23">
        <f t="shared" ca="1" si="42"/>
        <v>44.750427907876741</v>
      </c>
      <c r="O287" s="23"/>
      <c r="P287" s="23"/>
    </row>
    <row r="288" spans="4:16" x14ac:dyDescent="0.15">
      <c r="D288" s="16">
        <v>2093</v>
      </c>
      <c r="J288" s="23">
        <f t="shared" ca="1" si="42"/>
        <v>44.779299885895085</v>
      </c>
      <c r="O288" s="23"/>
      <c r="P288" s="23"/>
    </row>
    <row r="289" spans="4:16" x14ac:dyDescent="0.15">
      <c r="D289" s="16">
        <v>2094</v>
      </c>
      <c r="J289" s="23">
        <f t="shared" ca="1" si="42"/>
        <v>44.806511364671337</v>
      </c>
      <c r="O289" s="23"/>
      <c r="P289" s="23"/>
    </row>
    <row r="290" spans="4:16" x14ac:dyDescent="0.15">
      <c r="D290" s="16">
        <v>2095</v>
      </c>
      <c r="J290" s="23">
        <f t="shared" ca="1" si="42"/>
        <v>44.832155976850082</v>
      </c>
      <c r="O290" s="23"/>
      <c r="P290" s="23"/>
    </row>
    <row r="291" spans="4:16" x14ac:dyDescent="0.15">
      <c r="D291" s="16">
        <v>2096</v>
      </c>
      <c r="J291" s="23">
        <f t="shared" ca="1" si="42"/>
        <v>44.856322286430263</v>
      </c>
      <c r="O291" s="23"/>
      <c r="P291" s="23"/>
    </row>
    <row r="292" spans="4:16" x14ac:dyDescent="0.15">
      <c r="D292" s="16">
        <v>2097</v>
      </c>
      <c r="J292" s="23">
        <f t="shared" ca="1" si="42"/>
        <v>44.879094039095591</v>
      </c>
      <c r="O292" s="23"/>
      <c r="P292" s="23"/>
    </row>
    <row r="293" spans="4:16" x14ac:dyDescent="0.15">
      <c r="D293" s="16">
        <v>2098</v>
      </c>
      <c r="J293" s="23">
        <f t="shared" ca="1" si="42"/>
        <v>44.900550402985687</v>
      </c>
      <c r="O293" s="23"/>
      <c r="P293" s="23"/>
    </row>
    <row r="294" spans="4:16" x14ac:dyDescent="0.15">
      <c r="D294" s="16">
        <v>2099</v>
      </c>
      <c r="J294" s="23">
        <f t="shared" ca="1" si="42"/>
        <v>44.920766199923023</v>
      </c>
      <c r="O294" s="23"/>
      <c r="P294" s="23"/>
    </row>
    <row r="295" spans="4:16" x14ac:dyDescent="0.15">
      <c r="D295" s="16">
        <v>2100</v>
      </c>
      <c r="J295" s="23">
        <f t="shared" ca="1" si="42"/>
        <v>44.939812127165638</v>
      </c>
      <c r="O295" s="23"/>
      <c r="P295" s="23"/>
    </row>
    <row r="296" spans="4:16" x14ac:dyDescent="0.15">
      <c r="D296" s="16">
        <v>2101</v>
      </c>
      <c r="J296" s="23">
        <f t="shared" ca="1" si="42"/>
        <v>44.957754969802423</v>
      </c>
      <c r="O296" s="23"/>
      <c r="P296" s="23"/>
    </row>
    <row r="297" spans="4:16" x14ac:dyDescent="0.15">
      <c r="D297" s="16">
        <v>2102</v>
      </c>
      <c r="J297" s="23">
        <f t="shared" ca="1" si="42"/>
        <v>44.974657803946172</v>
      </c>
      <c r="O297" s="23"/>
      <c r="P297" s="23"/>
    </row>
    <row r="298" spans="4:16" x14ac:dyDescent="0.15">
      <c r="D298" s="16">
        <v>2103</v>
      </c>
      <c r="J298" s="23">
        <f t="shared" ca="1" si="42"/>
        <v>44.990580190912027</v>
      </c>
      <c r="O298" s="23"/>
      <c r="P298" s="23"/>
    </row>
    <row r="299" spans="4:16" x14ac:dyDescent="0.15">
      <c r="D299" s="16">
        <v>2104</v>
      </c>
      <c r="J299" s="23">
        <f t="shared" ca="1" si="42"/>
        <v>45.005578362594797</v>
      </c>
      <c r="O299" s="23"/>
      <c r="P299" s="23"/>
    </row>
    <row r="300" spans="4:16" x14ac:dyDescent="0.15">
      <c r="D300" s="16">
        <v>2105</v>
      </c>
      <c r="J300" s="23">
        <f t="shared" ca="1" si="42"/>
        <v>45.019705398279399</v>
      </c>
      <c r="O300" s="23"/>
      <c r="P300" s="23"/>
    </row>
    <row r="301" spans="4:16" x14ac:dyDescent="0.15">
      <c r="D301" s="16">
        <v>2106</v>
      </c>
      <c r="J301" s="23">
        <f t="shared" ref="J301:J332" ca="1" si="43">F$1/(1+EXP((AVERAGE(E$2:F$2)-D301)*LN(81)/(F$2-E$2)))</f>
        <v>45.033011393135254</v>
      </c>
      <c r="O301" s="23"/>
      <c r="P301" s="23"/>
    </row>
    <row r="302" spans="4:16" x14ac:dyDescent="0.15">
      <c r="D302" s="16">
        <v>2107</v>
      </c>
      <c r="J302" s="23">
        <f t="shared" ca="1" si="43"/>
        <v>45.045543618656936</v>
      </c>
      <c r="O302" s="23"/>
      <c r="P302" s="23"/>
    </row>
    <row r="303" spans="4:16" x14ac:dyDescent="0.15">
      <c r="D303" s="16">
        <v>2108</v>
      </c>
      <c r="J303" s="23">
        <f t="shared" ca="1" si="43"/>
        <v>45.057346675323032</v>
      </c>
      <c r="O303" s="23"/>
      <c r="P303" s="23"/>
    </row>
    <row r="304" spans="4:16" x14ac:dyDescent="0.15">
      <c r="D304" s="16">
        <v>2109</v>
      </c>
      <c r="J304" s="23">
        <f t="shared" ca="1" si="43"/>
        <v>45.068462637749988</v>
      </c>
      <c r="O304" s="23"/>
      <c r="P304" s="23"/>
    </row>
    <row r="305" spans="4:16" x14ac:dyDescent="0.15">
      <c r="D305" s="16">
        <v>2110</v>
      </c>
      <c r="J305" s="23">
        <f t="shared" ca="1" si="43"/>
        <v>45.078931192621397</v>
      </c>
      <c r="O305" s="23"/>
      <c r="P305" s="23"/>
    </row>
    <row r="306" spans="4:16" x14ac:dyDescent="0.15">
      <c r="D306" s="16">
        <v>2111</v>
      </c>
      <c r="J306" s="23">
        <f t="shared" ca="1" si="43"/>
        <v>45.088789769673873</v>
      </c>
      <c r="O306" s="23"/>
      <c r="P306" s="23"/>
    </row>
    <row r="307" spans="4:16" x14ac:dyDescent="0.15">
      <c r="D307" s="16">
        <v>2112</v>
      </c>
      <c r="J307" s="23">
        <f t="shared" ca="1" si="43"/>
        <v>45.098073666019616</v>
      </c>
      <c r="O307" s="23"/>
      <c r="P307" s="23"/>
    </row>
    <row r="308" spans="4:16" x14ac:dyDescent="0.15">
      <c r="D308" s="16">
        <v>2113</v>
      </c>
      <c r="J308" s="23">
        <f t="shared" ca="1" si="43"/>
        <v>45.106816164083433</v>
      </c>
      <c r="O308" s="23"/>
      <c r="P308" s="23"/>
    </row>
    <row r="309" spans="4:16" x14ac:dyDescent="0.15">
      <c r="D309" s="16">
        <v>2114</v>
      </c>
      <c r="J309" s="23">
        <f t="shared" ca="1" si="43"/>
        <v>45.115048643427656</v>
      </c>
      <c r="O309" s="23"/>
      <c r="P309" s="23"/>
    </row>
    <row r="310" spans="4:16" x14ac:dyDescent="0.15">
      <c r="D310" s="16">
        <v>2115</v>
      </c>
      <c r="J310" s="23">
        <f t="shared" ca="1" si="43"/>
        <v>45.122800686734017</v>
      </c>
      <c r="O310" s="23"/>
      <c r="P310" s="23"/>
    </row>
    <row r="311" spans="4:16" x14ac:dyDescent="0.15">
      <c r="D311" s="16">
        <v>2116</v>
      </c>
      <c r="J311" s="23">
        <f t="shared" ca="1" si="43"/>
        <v>45.130100180204963</v>
      </c>
      <c r="O311" s="23"/>
      <c r="P311" s="23"/>
    </row>
    <row r="312" spans="4:16" x14ac:dyDescent="0.15">
      <c r="D312" s="16">
        <v>2117</v>
      </c>
      <c r="J312" s="23">
        <f t="shared" ca="1" si="43"/>
        <v>45.136973408640884</v>
      </c>
      <c r="O312" s="23"/>
      <c r="P312" s="23"/>
    </row>
    <row r="313" spans="4:16" x14ac:dyDescent="0.15">
      <c r="D313" s="16">
        <v>2118</v>
      </c>
      <c r="J313" s="23">
        <f t="shared" ca="1" si="43"/>
        <v>45.143445145442122</v>
      </c>
      <c r="O313" s="23"/>
      <c r="P313" s="23"/>
    </row>
    <row r="314" spans="4:16" x14ac:dyDescent="0.15">
      <c r="D314" s="16">
        <v>2119</v>
      </c>
      <c r="J314" s="23">
        <f t="shared" ca="1" si="43"/>
        <v>45.149538737777341</v>
      </c>
      <c r="O314" s="23"/>
      <c r="P314" s="23"/>
    </row>
    <row r="315" spans="4:16" x14ac:dyDescent="0.15">
      <c r="D315" s="16">
        <v>2120</v>
      </c>
      <c r="J315" s="23">
        <f t="shared" ca="1" si="43"/>
        <v>45.155276187151564</v>
      </c>
      <c r="O315" s="23"/>
      <c r="P315" s="23"/>
    </row>
    <row r="316" spans="4:16" x14ac:dyDescent="0.15">
      <c r="D316" s="16">
        <v>2121</v>
      </c>
      <c r="J316" s="23">
        <f t="shared" ca="1" si="43"/>
        <v>45.160678225599533</v>
      </c>
      <c r="O316" s="23"/>
      <c r="P316" s="23"/>
    </row>
    <row r="317" spans="4:16" x14ac:dyDescent="0.15">
      <c r="D317" s="16">
        <v>2122</v>
      </c>
      <c r="J317" s="23">
        <f t="shared" ca="1" si="43"/>
        <v>45.165764387721183</v>
      </c>
      <c r="O317" s="23"/>
      <c r="P317" s="23"/>
    </row>
    <row r="318" spans="4:16" x14ac:dyDescent="0.15">
      <c r="D318" s="16">
        <v>2123</v>
      </c>
      <c r="J318" s="23">
        <f t="shared" ca="1" si="43"/>
        <v>45.170553078768229</v>
      </c>
      <c r="O318" s="23"/>
      <c r="P318" s="23"/>
    </row>
    <row r="319" spans="4:16" x14ac:dyDescent="0.15">
      <c r="D319" s="16">
        <v>2124</v>
      </c>
      <c r="J319" s="23">
        <f t="shared" ca="1" si="43"/>
        <v>45.175061638982235</v>
      </c>
      <c r="O319" s="23"/>
      <c r="P319" s="23"/>
    </row>
    <row r="320" spans="4:16" x14ac:dyDescent="0.15">
      <c r="D320" s="16">
        <v>2125</v>
      </c>
      <c r="J320" s="23">
        <f t="shared" ca="1" si="43"/>
        <v>45.179306404376263</v>
      </c>
      <c r="O320" s="23"/>
      <c r="P320" s="23"/>
    </row>
    <row r="321" spans="4:16" x14ac:dyDescent="0.15">
      <c r="D321" s="16">
        <v>2126</v>
      </c>
      <c r="J321" s="23">
        <f t="shared" ca="1" si="43"/>
        <v>45.183302764144265</v>
      </c>
      <c r="O321" s="23"/>
      <c r="P321" s="23"/>
    </row>
    <row r="322" spans="4:16" x14ac:dyDescent="0.15">
      <c r="D322" s="16">
        <v>2127</v>
      </c>
      <c r="J322" s="23">
        <f t="shared" ca="1" si="43"/>
        <v>45.187065214874011</v>
      </c>
      <c r="O322" s="23"/>
      <c r="P322" s="23"/>
    </row>
    <row r="323" spans="4:16" x14ac:dyDescent="0.15">
      <c r="D323" s="16">
        <v>2128</v>
      </c>
      <c r="J323" s="23">
        <f t="shared" ca="1" si="43"/>
        <v>45.190607411731825</v>
      </c>
      <c r="O323" s="23"/>
      <c r="P323" s="23"/>
    </row>
    <row r="324" spans="4:16" x14ac:dyDescent="0.15">
      <c r="D324" s="16">
        <v>2129</v>
      </c>
      <c r="J324" s="23">
        <f t="shared" ca="1" si="43"/>
        <v>45.193942216779412</v>
      </c>
      <c r="O324" s="23"/>
      <c r="P324" s="23"/>
    </row>
    <row r="325" spans="4:16" x14ac:dyDescent="0.15">
      <c r="D325" s="16">
        <v>2130</v>
      </c>
      <c r="J325" s="23">
        <f t="shared" ca="1" si="43"/>
        <v>45.197081744575769</v>
      </c>
      <c r="O325" s="23"/>
      <c r="P325" s="23"/>
    </row>
    <row r="326" spans="4:16" x14ac:dyDescent="0.15">
      <c r="D326" s="16">
        <v>2131</v>
      </c>
      <c r="J326" s="23">
        <f t="shared" ca="1" si="43"/>
        <v>45.200037405209926</v>
      </c>
      <c r="O326" s="23"/>
      <c r="P326" s="23"/>
    </row>
    <row r="327" spans="4:16" x14ac:dyDescent="0.15">
      <c r="D327" s="16">
        <v>2132</v>
      </c>
      <c r="J327" s="23">
        <f t="shared" ca="1" si="43"/>
        <v>45.202819944903126</v>
      </c>
      <c r="O327" s="23"/>
      <c r="P327" s="23"/>
    </row>
    <row r="328" spans="4:16" x14ac:dyDescent="0.15">
      <c r="D328" s="16">
        <v>2133</v>
      </c>
      <c r="J328" s="23">
        <f t="shared" ca="1" si="43"/>
        <v>45.205439484312357</v>
      </c>
      <c r="O328" s="23"/>
      <c r="P328" s="23"/>
    </row>
    <row r="329" spans="4:16" x14ac:dyDescent="0.15">
      <c r="D329" s="16">
        <v>2134</v>
      </c>
      <c r="J329" s="23">
        <f t="shared" ca="1" si="43"/>
        <v>45.207905554660634</v>
      </c>
      <c r="O329" s="23"/>
      <c r="P329" s="23"/>
    </row>
    <row r="330" spans="4:16" x14ac:dyDescent="0.15">
      <c r="D330" s="16">
        <v>2135</v>
      </c>
      <c r="J330" s="23">
        <f t="shared" ca="1" si="43"/>
        <v>45.210227131813149</v>
      </c>
      <c r="O330" s="23"/>
      <c r="P330" s="23"/>
    </row>
    <row r="331" spans="4:16" x14ac:dyDescent="0.15">
      <c r="D331" s="16">
        <v>2136</v>
      </c>
      <c r="J331" s="23">
        <f t="shared" ca="1" si="43"/>
        <v>45.212412668412206</v>
      </c>
      <c r="O331" s="23"/>
      <c r="P331" s="23"/>
    </row>
    <row r="332" spans="4:16" x14ac:dyDescent="0.15">
      <c r="D332" s="16">
        <v>2137</v>
      </c>
      <c r="J332" s="23">
        <f t="shared" ca="1" si="43"/>
        <v>45.214470124178412</v>
      </c>
      <c r="O332" s="23"/>
      <c r="P332" s="23"/>
    </row>
    <row r="333" spans="4:16" x14ac:dyDescent="0.15">
      <c r="D333" s="16">
        <v>2138</v>
      </c>
      <c r="J333" s="23">
        <f t="shared" ref="J333:J345" ca="1" si="44">F$1/(1+EXP((AVERAGE(E$2:F$2)-D333)*LN(81)/(F$2-E$2)))</f>
        <v>45.216406994479591</v>
      </c>
      <c r="O333" s="23"/>
      <c r="P333" s="23"/>
    </row>
    <row r="334" spans="4:16" x14ac:dyDescent="0.15">
      <c r="D334" s="16">
        <v>2139</v>
      </c>
      <c r="J334" s="23">
        <f t="shared" ca="1" si="44"/>
        <v>45.218230337264089</v>
      </c>
      <c r="O334" s="23"/>
      <c r="P334" s="23"/>
    </row>
    <row r="335" spans="4:16" x14ac:dyDescent="0.15">
      <c r="D335" s="16">
        <v>2140</v>
      </c>
      <c r="J335" s="23">
        <f t="shared" ca="1" si="44"/>
        <v>45.219946798449691</v>
      </c>
      <c r="O335" s="23"/>
      <c r="P335" s="23"/>
    </row>
    <row r="336" spans="4:16" x14ac:dyDescent="0.15">
      <c r="D336" s="16">
        <v>2141</v>
      </c>
      <c r="J336" s="23">
        <f t="shared" ca="1" si="44"/>
        <v>45.221562635854625</v>
      </c>
      <c r="O336" s="23"/>
      <c r="P336" s="23"/>
    </row>
    <row r="337" spans="4:16" x14ac:dyDescent="0.15">
      <c r="D337" s="16">
        <v>2142</v>
      </c>
      <c r="J337" s="23">
        <f t="shared" ca="1" si="44"/>
        <v>45.223083741752689</v>
      </c>
      <c r="O337" s="23"/>
      <c r="P337" s="23"/>
    </row>
    <row r="338" spans="4:16" x14ac:dyDescent="0.15">
      <c r="D338" s="16">
        <v>2143</v>
      </c>
      <c r="J338" s="23">
        <f t="shared" ca="1" si="44"/>
        <v>45.224515664129861</v>
      </c>
      <c r="O338" s="23"/>
      <c r="P338" s="23"/>
    </row>
    <row r="339" spans="4:16" x14ac:dyDescent="0.15">
      <c r="D339" s="16">
        <v>2144</v>
      </c>
      <c r="J339" s="23">
        <f t="shared" ca="1" si="44"/>
        <v>45.225863626715899</v>
      </c>
      <c r="O339" s="23"/>
      <c r="P339" s="23"/>
    </row>
    <row r="340" spans="4:16" x14ac:dyDescent="0.15">
      <c r="D340" s="16">
        <v>2145</v>
      </c>
      <c r="J340" s="23">
        <f t="shared" ca="1" si="44"/>
        <v>45.22713254786013</v>
      </c>
      <c r="O340" s="23"/>
      <c r="P340" s="23"/>
    </row>
    <row r="341" spans="4:16" x14ac:dyDescent="0.15">
      <c r="D341" s="16">
        <v>2146</v>
      </c>
      <c r="J341" s="23">
        <f t="shared" ca="1" si="44"/>
        <v>45.228327058316978</v>
      </c>
      <c r="O341" s="23"/>
      <c r="P341" s="23"/>
    </row>
    <row r="342" spans="4:16" x14ac:dyDescent="0.15">
      <c r="D342" s="16">
        <v>2147</v>
      </c>
      <c r="J342" s="23">
        <f t="shared" ca="1" si="44"/>
        <v>45.229451518003494</v>
      </c>
      <c r="O342" s="23"/>
      <c r="P342" s="23"/>
    </row>
    <row r="343" spans="4:16" x14ac:dyDescent="0.15">
      <c r="D343" s="16">
        <v>2148</v>
      </c>
      <c r="J343" s="23">
        <f t="shared" ca="1" si="44"/>
        <v>45.23051003178702</v>
      </c>
      <c r="O343" s="23"/>
      <c r="P343" s="23"/>
    </row>
    <row r="344" spans="4:16" x14ac:dyDescent="0.15">
      <c r="D344" s="16">
        <v>2149</v>
      </c>
      <c r="J344" s="23">
        <f t="shared" ca="1" si="44"/>
        <v>45.23150646435866</v>
      </c>
      <c r="O344" s="23"/>
      <c r="P344" s="23"/>
    </row>
    <row r="345" spans="4:16" x14ac:dyDescent="0.15">
      <c r="D345" s="16">
        <v>2150</v>
      </c>
      <c r="J345" s="23">
        <f t="shared" ca="1" si="44"/>
        <v>45.232444454244749</v>
      </c>
      <c r="O345" s="23"/>
      <c r="P345" s="23"/>
    </row>
  </sheetData>
  <pageMargins left="0.7" right="0.7" top="0.75" bottom="0.75" header="0.3" footer="0.3"/>
  <pageSetup scale="55"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008000"/>
  </sheetPr>
  <dimension ref="A1:BE364"/>
  <sheetViews>
    <sheetView topLeftCell="A66" zoomScaleNormal="100" workbookViewId="0">
      <selection activeCell="C77" sqref="C77"/>
    </sheetView>
  </sheetViews>
  <sheetFormatPr baseColWidth="10" defaultColWidth="9.1640625" defaultRowHeight="11" x14ac:dyDescent="0.15"/>
  <cols>
    <col min="1" max="1" width="6.6640625" style="15" customWidth="1"/>
    <col min="2" max="2" width="90.6640625" style="15" customWidth="1"/>
    <col min="3" max="3" width="7.5" style="15" customWidth="1"/>
    <col min="4" max="4" width="4.5" style="15" bestFit="1" customWidth="1"/>
    <col min="5" max="5" width="6.5" style="15" bestFit="1" customWidth="1"/>
    <col min="6" max="6" width="4.5" style="15" bestFit="1" customWidth="1"/>
    <col min="7" max="7" width="12.6640625" style="15" bestFit="1" customWidth="1"/>
    <col min="8" max="8" width="8.6640625" style="15" bestFit="1" customWidth="1"/>
    <col min="9" max="9" width="6.5" style="15" bestFit="1" customWidth="1"/>
    <col min="10" max="10" width="4" style="15" bestFit="1" customWidth="1"/>
    <col min="11" max="11" width="5.1640625" style="15" bestFit="1" customWidth="1"/>
    <col min="12" max="12" width="4.5" style="15" bestFit="1" customWidth="1"/>
    <col min="13" max="13" width="7.6640625" style="15" bestFit="1" customWidth="1"/>
    <col min="14" max="14" width="6.83203125" style="15" bestFit="1" customWidth="1"/>
    <col min="15" max="15" width="6.33203125" style="15" bestFit="1" customWidth="1"/>
    <col min="16" max="16" width="8.83203125" style="15" bestFit="1" customWidth="1"/>
    <col min="17" max="17" width="5.83203125" style="15" bestFit="1" customWidth="1"/>
    <col min="18" max="18" width="6.5" style="15" bestFit="1" customWidth="1"/>
    <col min="19" max="19" width="11.33203125" style="15" bestFit="1" customWidth="1"/>
    <col min="20" max="21" width="7.1640625" style="15" bestFit="1" customWidth="1"/>
    <col min="22" max="22" width="5.83203125" style="15" bestFit="1" customWidth="1"/>
    <col min="23" max="23" width="6.5" style="15" bestFit="1" customWidth="1"/>
    <col min="24" max="24" width="5.83203125" style="15" bestFit="1" customWidth="1"/>
    <col min="25" max="25" width="4" style="15" bestFit="1" customWidth="1"/>
    <col min="26" max="26" width="9.5" style="15" bestFit="1" customWidth="1"/>
    <col min="27" max="27" width="6.1640625" style="15" bestFit="1" customWidth="1"/>
    <col min="28" max="28" width="5.6640625" style="15" bestFit="1" customWidth="1"/>
    <col min="29" max="29" width="6.6640625" style="15" bestFit="1" customWidth="1"/>
    <col min="30" max="30" width="7" style="15" bestFit="1" customWidth="1"/>
    <col min="31" max="31" width="4.6640625" style="15" bestFit="1" customWidth="1"/>
    <col min="32" max="32" width="6.33203125" style="15" bestFit="1" customWidth="1"/>
    <col min="33" max="33" width="5.5" style="15" bestFit="1" customWidth="1"/>
    <col min="34" max="34" width="6.33203125" style="15" bestFit="1" customWidth="1"/>
    <col min="35" max="35" width="8.1640625" style="15" bestFit="1" customWidth="1"/>
    <col min="36" max="16384" width="9.1640625" style="15"/>
  </cols>
  <sheetData>
    <row r="1" spans="1:57" x14ac:dyDescent="0.15">
      <c r="E1" s="95">
        <f ca="1">RSQ(OFFSET(G$13,E3-D$13,0):OFFSET(G$13,E4-D$13,0),OFFSET(D$13,E3-D$13,0):OFFSET(D$13,E4-D$13,0))</f>
        <v>0.99971651449399268</v>
      </c>
      <c r="F1" s="6">
        <v>81.667552204362536</v>
      </c>
      <c r="G1" s="268" t="s">
        <v>251</v>
      </c>
      <c r="H1" s="23"/>
    </row>
    <row r="2" spans="1:57" x14ac:dyDescent="0.15">
      <c r="E2" s="12">
        <f ca="1" xml:space="preserve"> (- INTERCEPT(OFFSET(G$13,E3-D$13,0):OFFSET(G$13,E4-D$13,0),OFFSET(D$13,E3-D$13,0):OFFSET(D$13,E4-D$13,0)) - LN(9))/SLOPE(OFFSET(G$13,E3-D$13,0):OFFSET(G$13,E4-D$13,0),OFFSET(D$13,E3-D$13,0):OFFSET(D$13,E4-D$13,0))</f>
        <v>1905.2507934749749</v>
      </c>
      <c r="F2" s="12">
        <f ca="1" xml:space="preserve"> (- INTERCEPT(OFFSET(G17,E3-D17,0):OFFSET(G17,E4-D17,0),OFFSET(D17,E3-D17,0):OFFSET(D17,E4-D17,0)) + LN(9))/SLOPE(OFFSET(G17,E3-D17,0):OFFSET(G17,E4-D17,0),OFFSET(D17,E3-D17,0):OFFSET(D17,E4-D17,0))</f>
        <v>2083.8127090518815</v>
      </c>
      <c r="G2" s="273" t="s">
        <v>249</v>
      </c>
      <c r="H2" s="107"/>
    </row>
    <row r="3" spans="1:57" x14ac:dyDescent="0.15">
      <c r="E3" s="3">
        <v>1947</v>
      </c>
      <c r="F3" s="8">
        <f ca="1">(E3-AVERAGE(E$2:F$2))/(F$2-E$2)*LN(81)</f>
        <v>-1.1697671560300347</v>
      </c>
      <c r="G3" s="268" t="s">
        <v>247</v>
      </c>
      <c r="H3" s="6"/>
    </row>
    <row r="4" spans="1:57" x14ac:dyDescent="0.15">
      <c r="E4" s="3">
        <f ca="1">OFFSET(D13,COUNT(E14:E298),0)</f>
        <v>2009</v>
      </c>
      <c r="F4" s="8">
        <f ca="1">(E4-AVERAGE(E$2:F$2))/(F$2-E$2)*LN(81)</f>
        <v>0.35606687587664337</v>
      </c>
      <c r="G4" s="10"/>
      <c r="H4" s="6"/>
    </row>
    <row r="5" spans="1:57" x14ac:dyDescent="0.15">
      <c r="E5" s="95">
        <f ca="1">RSQ(OFFSET(K$13,E3-D$13,0):OFFSET(K$13,E4-D$13,0),OFFSET(D$13,E3-D$13,0):OFFSET(D$13,E4-D$13,0))</f>
        <v>0.99962680377914803</v>
      </c>
      <c r="F5" s="6">
        <v>88.796217165442172</v>
      </c>
      <c r="G5" s="116" t="s">
        <v>73</v>
      </c>
      <c r="H5" s="3"/>
    </row>
    <row r="6" spans="1:57" x14ac:dyDescent="0.15">
      <c r="C6" s="108"/>
      <c r="E6" s="95">
        <f ca="1">RSQ(OFFSET(M$13,E8-D$13,0):OFFSET(M$13,E9-D$13,0),OFFSET(D$13,E8-D$13,0):OFFSET(D$13,E9-D$13,0))</f>
        <v>0.99983623998603022</v>
      </c>
      <c r="F6" s="6">
        <v>21.410135108499215</v>
      </c>
      <c r="G6" s="116" t="s">
        <v>77</v>
      </c>
      <c r="J6" s="110"/>
    </row>
    <row r="7" spans="1:57" x14ac:dyDescent="0.15">
      <c r="C7" s="108"/>
      <c r="E7" s="12">
        <f ca="1">(-INTERCEPT(OFFSET(M$13,E8-D$13,0):OFFSET(M$13,E9-D$13,0),OFFSET(D$13,E8-D$13,0):OFFSET(D$13,E9-D$13,0))-LN(9))/SLOPE(OFFSET(M$13,E8-D$13,0):OFFSET(M$13,E9-D$13,0),OFFSET(D$13,E8-D$13,0):OFFSET(D$13,E9-D$13,0))</f>
        <v>1898.8658454472218</v>
      </c>
      <c r="F7" s="12">
        <f ca="1">(-INTERCEPT(OFFSET(M$13,E8-D$13,0):OFFSET(M$13,E9-D$13,0),OFFSET(D$13,E8-D$13,0):OFFSET(D$13,E9-D$13,0))+LN(9))/SLOPE(OFFSET(M$13,E8-D$13,0):OFFSET(M$13,E9-D$13,0),OFFSET(D$13,E8-D$13,0):OFFSET(D$13,E9-D$13,0))</f>
        <v>1951.7156224545861</v>
      </c>
      <c r="G7" s="273" t="s">
        <v>176</v>
      </c>
      <c r="H7" s="110"/>
      <c r="J7" s="110"/>
    </row>
    <row r="8" spans="1:57" x14ac:dyDescent="0.15">
      <c r="E8" s="3">
        <v>1856</v>
      </c>
      <c r="F8" s="8">
        <f ca="1">(E8-AVERAGE(E$7:F$7))/(F$7-E$7)*LN(81)</f>
        <v>-5.7615116747749493</v>
      </c>
      <c r="G8" s="172" t="s">
        <v>81</v>
      </c>
      <c r="H8" s="6"/>
    </row>
    <row r="9" spans="1:57" x14ac:dyDescent="0.15">
      <c r="E9" s="3">
        <v>1931</v>
      </c>
      <c r="F9" s="8">
        <f ca="1">(E9-AVERAGE(E$7:F$7))/(F$7-E$7)*LN(81)</f>
        <v>0.47472441292902284</v>
      </c>
      <c r="G9" s="10"/>
      <c r="H9" s="6"/>
    </row>
    <row r="10" spans="1:57" x14ac:dyDescent="0.15">
      <c r="E10" s="11">
        <f ca="1">RSQ(OFFSET(P$13,E8-D$13,0):OFFSET(P$13,E9-D$13,0),OFFSET(D$13,E8-D$13,0):OFFSET(D$13,E9-D$13,0))</f>
        <v>0.9989049903385</v>
      </c>
      <c r="F10" s="12">
        <v>224.64388587701663</v>
      </c>
      <c r="G10" s="116" t="s">
        <v>76</v>
      </c>
      <c r="H10" s="3"/>
    </row>
    <row r="11" spans="1:57" x14ac:dyDescent="0.15">
      <c r="D11" s="75"/>
      <c r="G11" s="28"/>
    </row>
    <row r="12" spans="1:57" x14ac:dyDescent="0.15">
      <c r="D12" s="75"/>
      <c r="E12" s="17" t="s">
        <v>0</v>
      </c>
      <c r="F12" s="22" t="s">
        <v>1</v>
      </c>
      <c r="G12" s="109" t="s">
        <v>2</v>
      </c>
      <c r="H12" s="209" t="s">
        <v>217</v>
      </c>
      <c r="I12" s="127" t="s">
        <v>20</v>
      </c>
      <c r="J12" s="118" t="s">
        <v>41</v>
      </c>
      <c r="K12" s="112" t="s">
        <v>3</v>
      </c>
      <c r="M12" s="109" t="s">
        <v>70</v>
      </c>
      <c r="N12" s="171" t="s">
        <v>117</v>
      </c>
      <c r="O12" s="171" t="s">
        <v>118</v>
      </c>
      <c r="P12" s="109" t="s">
        <v>69</v>
      </c>
    </row>
    <row r="13" spans="1:57" x14ac:dyDescent="0.15">
      <c r="A13" s="75"/>
      <c r="B13" s="82"/>
      <c r="C13" s="75"/>
      <c r="D13" s="16">
        <v>1799</v>
      </c>
      <c r="E13" s="105"/>
      <c r="F13" s="105">
        <v>0</v>
      </c>
      <c r="G13" s="30"/>
      <c r="H13" s="30"/>
      <c r="I13" s="30"/>
      <c r="J13" s="30"/>
      <c r="K13" s="30"/>
      <c r="M13" s="23"/>
      <c r="N13" s="23"/>
      <c r="O13" s="23"/>
      <c r="P13" s="30"/>
      <c r="Q13" s="22"/>
      <c r="R13" s="22"/>
      <c r="S13" s="22"/>
      <c r="T13" s="22"/>
      <c r="U13" s="22"/>
      <c r="V13" s="22"/>
      <c r="W13" s="22"/>
      <c r="X13" s="22"/>
      <c r="Y13" s="22"/>
      <c r="Z13" s="22"/>
      <c r="AA13" s="22"/>
      <c r="AB13" s="22"/>
      <c r="AC13" s="22"/>
      <c r="AD13" s="22"/>
      <c r="AE13" s="22"/>
      <c r="AF13" s="22"/>
      <c r="AG13" s="22"/>
      <c r="AH13" s="22"/>
      <c r="AI13" s="22"/>
      <c r="AK13" s="23"/>
      <c r="AL13" s="23"/>
      <c r="AM13" s="23"/>
      <c r="AN13" s="23"/>
      <c r="AO13" s="23"/>
      <c r="AP13" s="23"/>
      <c r="AQ13" s="23"/>
      <c r="AR13" s="23"/>
      <c r="AS13" s="23"/>
      <c r="AT13" s="23"/>
      <c r="AU13" s="23"/>
      <c r="AV13" s="23"/>
      <c r="AW13" s="23"/>
      <c r="AX13" s="23"/>
      <c r="AY13" s="23"/>
      <c r="AZ13" s="23"/>
      <c r="BA13" s="23"/>
      <c r="BB13" s="23"/>
      <c r="BC13" s="23"/>
      <c r="BD13" s="23"/>
      <c r="BE13" s="23"/>
    </row>
    <row r="14" spans="1:57" x14ac:dyDescent="0.15">
      <c r="A14" s="75"/>
      <c r="B14" s="75"/>
      <c r="C14" s="75"/>
      <c r="D14" s="16">
        <v>1800</v>
      </c>
      <c r="E14" s="19">
        <v>9.5435834728031591E-2</v>
      </c>
      <c r="F14" s="23">
        <f t="shared" ref="F14:F77" si="0">F13+E14/1000</f>
        <v>9.5435834728031593E-5</v>
      </c>
      <c r="G14" s="6">
        <f t="shared" ref="G14:G77" si="1" xml:space="preserve"> - LN(F$1/F14 - 1)</f>
        <v>-13.659712020506337</v>
      </c>
      <c r="H14" s="6"/>
      <c r="I14" s="129">
        <f t="shared" ref="I14:I77" ca="1" si="2" xml:space="preserve"> (G14*(F$2-E$2)/LN(81) + AVERAGE(E$2:F$2) - D14)*12</f>
        <v>-4326.1243417401438</v>
      </c>
      <c r="J14" s="6"/>
      <c r="K14" s="6">
        <f t="shared" ref="K14:K77" si="3">NORMSINV(F14/F$5)</f>
        <v>-4.7388309534313873</v>
      </c>
      <c r="M14" s="6">
        <f t="shared" ref="M14:M45" si="4" xml:space="preserve"> - LN(F$6/F14 - 1)</f>
        <v>-12.320916379556667</v>
      </c>
      <c r="N14" s="6">
        <f t="shared" ref="N14:N45" ca="1" si="5" xml:space="preserve"> (M14*(F$7-E$7)/LN(81) + AVERAGE(E$7:F$7) - D14)*12</f>
        <v>-274.63899045506787</v>
      </c>
      <c r="O14" s="6"/>
      <c r="P14" s="30">
        <f t="shared" ref="P14:P45" si="6">NORMSINV(F14/F$10)</f>
        <v>-4.9236002166753714</v>
      </c>
      <c r="Q14" s="23"/>
      <c r="R14" s="23"/>
      <c r="S14" s="23"/>
      <c r="T14" s="23"/>
      <c r="U14" s="23"/>
      <c r="V14" s="23"/>
      <c r="W14" s="23"/>
      <c r="X14" s="23"/>
      <c r="Y14" s="23"/>
      <c r="Z14" s="23"/>
      <c r="AA14" s="23"/>
      <c r="AB14" s="23"/>
      <c r="AC14" s="23"/>
      <c r="AD14" s="23"/>
      <c r="AE14" s="23"/>
      <c r="AF14" s="23"/>
      <c r="AG14" s="23"/>
      <c r="AH14" s="23"/>
      <c r="AI14" s="23"/>
      <c r="AK14" s="23"/>
      <c r="AL14" s="23"/>
      <c r="AM14" s="23"/>
      <c r="AN14" s="23"/>
      <c r="AO14" s="23"/>
      <c r="AP14" s="23"/>
      <c r="AQ14" s="23"/>
      <c r="AR14" s="23"/>
      <c r="AS14" s="23"/>
      <c r="AT14" s="23"/>
      <c r="AU14" s="23"/>
      <c r="AV14" s="23"/>
      <c r="AW14" s="23"/>
      <c r="AX14" s="23"/>
      <c r="AY14" s="23"/>
      <c r="AZ14" s="23"/>
      <c r="BA14" s="23"/>
      <c r="BB14" s="23"/>
      <c r="BC14" s="23"/>
      <c r="BD14" s="23"/>
      <c r="BE14" s="23"/>
    </row>
    <row r="15" spans="1:57" x14ac:dyDescent="0.15">
      <c r="A15" s="75"/>
      <c r="B15" s="75"/>
      <c r="C15" s="75"/>
      <c r="D15" s="16">
        <v>1801</v>
      </c>
      <c r="E15" s="19">
        <v>0.10087894317259613</v>
      </c>
      <c r="F15" s="23">
        <f t="shared" si="0"/>
        <v>1.9631477790062771E-4</v>
      </c>
      <c r="G15" s="6">
        <f t="shared" si="1"/>
        <v>-12.938445538596442</v>
      </c>
      <c r="H15" s="6"/>
      <c r="I15" s="129">
        <f t="shared" ca="1" si="2"/>
        <v>-3986.4332329303597</v>
      </c>
      <c r="J15" s="6"/>
      <c r="K15" s="6">
        <f t="shared" si="3"/>
        <v>-4.5905076561963947</v>
      </c>
      <c r="M15" s="6">
        <f t="shared" si="4"/>
        <v>-11.599646421118035</v>
      </c>
      <c r="N15" s="6">
        <f t="shared" ca="1" si="5"/>
        <v>-182.54688209587766</v>
      </c>
      <c r="O15" s="6"/>
      <c r="P15" s="30">
        <f t="shared" si="6"/>
        <v>-4.780593264906563</v>
      </c>
      <c r="Q15" s="23"/>
      <c r="R15" s="23"/>
      <c r="S15" s="23"/>
      <c r="T15" s="23"/>
      <c r="U15" s="23"/>
      <c r="V15" s="23"/>
      <c r="W15" s="23"/>
      <c r="X15" s="23"/>
      <c r="Y15" s="23"/>
      <c r="Z15" s="23"/>
      <c r="AA15" s="23"/>
      <c r="AB15" s="23"/>
      <c r="AC15" s="23"/>
      <c r="AD15" s="23"/>
      <c r="AE15" s="23"/>
      <c r="AF15" s="23"/>
      <c r="AG15" s="23"/>
      <c r="AH15" s="23"/>
      <c r="AI15" s="23"/>
      <c r="AK15" s="23"/>
      <c r="AL15" s="23"/>
      <c r="AM15" s="23"/>
      <c r="AN15" s="23"/>
      <c r="AO15" s="23"/>
      <c r="AP15" s="23"/>
      <c r="AQ15" s="23"/>
      <c r="AR15" s="23"/>
      <c r="AS15" s="23"/>
      <c r="AT15" s="23"/>
      <c r="AU15" s="23"/>
      <c r="AV15" s="23"/>
      <c r="AW15" s="23"/>
      <c r="AX15" s="23"/>
      <c r="AY15" s="23"/>
      <c r="AZ15" s="23"/>
      <c r="BA15" s="23"/>
      <c r="BB15" s="23"/>
      <c r="BC15" s="23"/>
      <c r="BD15" s="23"/>
      <c r="BE15" s="23"/>
    </row>
    <row r="16" spans="1:57" x14ac:dyDescent="0.15">
      <c r="A16" s="75"/>
      <c r="B16" s="75"/>
      <c r="C16" s="75"/>
      <c r="D16" s="16">
        <v>1802</v>
      </c>
      <c r="E16" s="19">
        <v>0.10722923635792143</v>
      </c>
      <c r="F16" s="23">
        <f t="shared" si="0"/>
        <v>3.0354401425854914E-4</v>
      </c>
      <c r="G16" s="6">
        <f t="shared" si="1"/>
        <v>-12.502636984015206</v>
      </c>
      <c r="H16" s="6"/>
      <c r="I16" s="129">
        <f t="shared" ca="1" si="2"/>
        <v>-3785.932031732701</v>
      </c>
      <c r="J16" s="6"/>
      <c r="K16" s="6">
        <f t="shared" si="3"/>
        <v>-4.4987049017319087</v>
      </c>
      <c r="M16" s="6">
        <f t="shared" si="4"/>
        <v>-11.163834171139158</v>
      </c>
      <c r="N16" s="6">
        <f t="shared" ca="1" si="5"/>
        <v>-131.65140805275132</v>
      </c>
      <c r="O16" s="6"/>
      <c r="P16" s="30">
        <f t="shared" si="6"/>
        <v>-4.6922288170620163</v>
      </c>
      <c r="Q16" s="23"/>
      <c r="R16" s="23"/>
      <c r="S16" s="23"/>
      <c r="T16" s="23"/>
      <c r="U16" s="23"/>
      <c r="V16" s="23"/>
      <c r="W16" s="23"/>
      <c r="X16" s="23"/>
      <c r="Y16" s="23"/>
      <c r="Z16" s="23"/>
      <c r="AA16" s="23"/>
      <c r="AB16" s="23"/>
      <c r="AC16" s="23"/>
      <c r="AD16" s="23"/>
      <c r="AE16" s="23"/>
      <c r="AF16" s="23"/>
      <c r="AG16" s="23"/>
      <c r="AH16" s="23"/>
      <c r="AI16" s="23"/>
    </row>
    <row r="17" spans="1:35" x14ac:dyDescent="0.15">
      <c r="A17" s="75"/>
      <c r="B17" s="75"/>
      <c r="C17" s="75"/>
      <c r="D17" s="16">
        <v>1803</v>
      </c>
      <c r="E17" s="19">
        <v>0.11240018938025774</v>
      </c>
      <c r="F17" s="23">
        <f t="shared" si="0"/>
        <v>4.1594420363880689E-4</v>
      </c>
      <c r="G17" s="6">
        <f t="shared" si="1"/>
        <v>-12.187611104551422</v>
      </c>
      <c r="H17" s="6"/>
      <c r="I17" s="129">
        <f t="shared" ca="1" si="2"/>
        <v>-3644.3247262067034</v>
      </c>
      <c r="J17" s="6"/>
      <c r="K17" s="6">
        <f t="shared" si="3"/>
        <v>-4.431257532280533</v>
      </c>
      <c r="M17" s="6">
        <f t="shared" si="4"/>
        <v>-10.848804418048202</v>
      </c>
      <c r="N17" s="6">
        <f t="shared" ca="1" si="5"/>
        <v>-98.187000709212953</v>
      </c>
      <c r="O17" s="6"/>
      <c r="P17" s="30">
        <f t="shared" si="6"/>
        <v>-4.6273835709273463</v>
      </c>
      <c r="Q17" s="23"/>
      <c r="R17" s="23"/>
      <c r="S17" s="23"/>
      <c r="T17" s="23"/>
      <c r="U17" s="23"/>
      <c r="V17" s="23"/>
      <c r="W17" s="23"/>
      <c r="X17" s="23"/>
      <c r="Y17" s="23"/>
      <c r="Z17" s="23"/>
      <c r="AA17" s="23"/>
      <c r="AB17" s="23"/>
      <c r="AC17" s="23"/>
      <c r="AD17" s="23"/>
      <c r="AE17" s="23"/>
      <c r="AF17" s="23"/>
      <c r="AG17" s="23"/>
      <c r="AH17" s="23"/>
      <c r="AI17" s="23"/>
    </row>
    <row r="18" spans="1:35" x14ac:dyDescent="0.15">
      <c r="A18" s="75"/>
      <c r="B18" s="75"/>
      <c r="C18" s="75"/>
      <c r="D18" s="16">
        <v>1804</v>
      </c>
      <c r="E18" s="19">
        <v>0.12519149422498441</v>
      </c>
      <c r="F18" s="23">
        <f t="shared" si="0"/>
        <v>5.4113569786379127E-4</v>
      </c>
      <c r="G18" s="6">
        <f t="shared" si="1"/>
        <v>-11.924490621760539</v>
      </c>
      <c r="H18" s="6"/>
      <c r="I18" s="129">
        <f t="shared" ca="1" si="2"/>
        <v>-3528.0266052427887</v>
      </c>
      <c r="J18" s="6"/>
      <c r="K18" s="6">
        <f t="shared" si="3"/>
        <v>-4.3741928423168925</v>
      </c>
      <c r="M18" s="6">
        <f t="shared" si="4"/>
        <v>-10.585679620775531</v>
      </c>
      <c r="N18" s="6">
        <f t="shared" ca="1" si="5"/>
        <v>-72.21340346001125</v>
      </c>
      <c r="O18" s="6"/>
      <c r="P18" s="30">
        <f t="shared" si="6"/>
        <v>-4.572572682574279</v>
      </c>
      <c r="Q18" s="23"/>
      <c r="R18" s="23"/>
      <c r="S18" s="23"/>
      <c r="T18" s="23"/>
      <c r="U18" s="23"/>
      <c r="V18" s="23"/>
      <c r="W18" s="23"/>
      <c r="X18" s="23"/>
      <c r="Y18" s="23"/>
      <c r="Z18" s="23"/>
      <c r="AA18" s="23"/>
      <c r="AB18" s="23"/>
      <c r="AC18" s="23"/>
      <c r="AD18" s="23"/>
      <c r="AE18" s="23"/>
      <c r="AF18" s="23"/>
      <c r="AG18" s="23"/>
      <c r="AH18" s="23"/>
      <c r="AI18" s="23"/>
    </row>
    <row r="19" spans="1:35" x14ac:dyDescent="0.15">
      <c r="A19" s="75"/>
      <c r="B19" s="75"/>
      <c r="C19" s="75"/>
      <c r="D19" s="16">
        <v>1805</v>
      </c>
      <c r="E19" s="19">
        <v>0.1293645440324839</v>
      </c>
      <c r="F19" s="23">
        <f t="shared" si="0"/>
        <v>6.7050024189627523E-4</v>
      </c>
      <c r="G19" s="6">
        <f t="shared" si="1"/>
        <v>-11.710135049457453</v>
      </c>
      <c r="H19" s="6"/>
      <c r="I19" s="129">
        <f t="shared" ca="1" si="2"/>
        <v>-3435.5063609314157</v>
      </c>
      <c r="J19" s="6"/>
      <c r="K19" s="6">
        <f t="shared" si="3"/>
        <v>-4.3271953672223757</v>
      </c>
      <c r="M19" s="6">
        <f t="shared" si="4"/>
        <v>-10.371319590141145</v>
      </c>
      <c r="N19" s="6">
        <f t="shared" ca="1" si="5"/>
        <v>-53.277431046884885</v>
      </c>
      <c r="O19" s="6"/>
      <c r="P19" s="30">
        <f t="shared" si="6"/>
        <v>-4.5274684797649325</v>
      </c>
      <c r="Q19" s="23"/>
      <c r="R19" s="23"/>
      <c r="S19" s="23"/>
      <c r="T19" s="23"/>
      <c r="U19" s="23"/>
      <c r="V19" s="23"/>
      <c r="W19" s="23"/>
      <c r="X19" s="23"/>
      <c r="Y19" s="23"/>
      <c r="Z19" s="23"/>
      <c r="AA19" s="23"/>
      <c r="AB19" s="23"/>
      <c r="AC19" s="23"/>
      <c r="AD19" s="23"/>
      <c r="AE19" s="23"/>
      <c r="AF19" s="23"/>
      <c r="AG19" s="23"/>
      <c r="AH19" s="23"/>
      <c r="AI19" s="23"/>
    </row>
    <row r="20" spans="1:35" x14ac:dyDescent="0.15">
      <c r="A20" s="75"/>
      <c r="B20" s="75"/>
      <c r="C20" s="75"/>
      <c r="D20" s="16">
        <v>1806</v>
      </c>
      <c r="E20" s="19">
        <v>0.13421798239555394</v>
      </c>
      <c r="F20" s="23">
        <f t="shared" si="0"/>
        <v>8.047182242918292E-4</v>
      </c>
      <c r="G20" s="6">
        <f t="shared" si="1"/>
        <v>-11.527665285259115</v>
      </c>
      <c r="H20" s="6"/>
      <c r="I20" s="129">
        <f t="shared" ca="1" si="2"/>
        <v>-3358.5337061572127</v>
      </c>
      <c r="J20" s="6"/>
      <c r="K20" s="6">
        <f t="shared" si="3"/>
        <v>-4.2868181306271635</v>
      </c>
      <c r="M20" s="6">
        <f t="shared" si="4"/>
        <v>-10.188845200309983</v>
      </c>
      <c r="N20" s="6">
        <f t="shared" ca="1" si="5"/>
        <v>-38.943124818188153</v>
      </c>
      <c r="O20" s="6"/>
      <c r="P20" s="30">
        <f t="shared" si="6"/>
        <v>-4.4887452771886123</v>
      </c>
      <c r="Q20" s="23"/>
      <c r="R20" s="23"/>
      <c r="S20" s="23"/>
      <c r="T20" s="23"/>
      <c r="U20" s="23"/>
      <c r="V20" s="23"/>
      <c r="W20" s="23"/>
      <c r="X20" s="23"/>
      <c r="Y20" s="23"/>
      <c r="Z20" s="23"/>
      <c r="AA20" s="23"/>
      <c r="AB20" s="23"/>
      <c r="AC20" s="23"/>
      <c r="AD20" s="23"/>
      <c r="AE20" s="23"/>
      <c r="AF20" s="23"/>
      <c r="AG20" s="23"/>
      <c r="AH20" s="23"/>
      <c r="AI20" s="23"/>
    </row>
    <row r="21" spans="1:35" x14ac:dyDescent="0.15">
      <c r="A21" s="75"/>
      <c r="B21" s="75"/>
      <c r="C21" s="75"/>
      <c r="D21" s="16">
        <v>1807</v>
      </c>
      <c r="E21" s="19">
        <v>0.13893534304750987</v>
      </c>
      <c r="F21" s="23">
        <f t="shared" si="0"/>
        <v>9.4365356733933905E-4</v>
      </c>
      <c r="G21" s="6">
        <f t="shared" si="1"/>
        <v>-11.368396653177937</v>
      </c>
      <c r="H21" s="6"/>
      <c r="I21" s="129">
        <f t="shared" ca="1" si="2"/>
        <v>-3292.8739739776092</v>
      </c>
      <c r="J21" s="6"/>
      <c r="K21" s="6">
        <f t="shared" si="3"/>
        <v>-4.2512890541412771</v>
      </c>
      <c r="M21" s="6">
        <f t="shared" si="4"/>
        <v>-10.029571779980271</v>
      </c>
      <c r="N21" s="6">
        <f t="shared" ca="1" si="5"/>
        <v>-27.9571319403085</v>
      </c>
      <c r="O21" s="6"/>
      <c r="P21" s="30">
        <f t="shared" si="6"/>
        <v>-4.4546930934608193</v>
      </c>
      <c r="Q21" s="23"/>
      <c r="R21" s="23"/>
      <c r="S21" s="23"/>
      <c r="T21" s="23"/>
      <c r="U21" s="23"/>
      <c r="V21" s="23"/>
      <c r="W21" s="23"/>
      <c r="X21" s="23"/>
      <c r="Y21" s="23"/>
      <c r="Z21" s="23"/>
      <c r="AA21" s="23"/>
      <c r="AB21" s="23"/>
      <c r="AC21" s="23"/>
      <c r="AD21" s="23"/>
      <c r="AE21" s="23"/>
      <c r="AF21" s="23"/>
      <c r="AG21" s="23"/>
      <c r="AH21" s="23"/>
      <c r="AI21" s="23"/>
    </row>
    <row r="22" spans="1:35" x14ac:dyDescent="0.15">
      <c r="D22" s="16">
        <v>1808</v>
      </c>
      <c r="E22" s="19">
        <v>0.14365270369946581</v>
      </c>
      <c r="F22" s="23">
        <f t="shared" si="0"/>
        <v>1.0873062710388048E-3</v>
      </c>
      <c r="G22" s="6">
        <f t="shared" si="1"/>
        <v>-11.226695403681994</v>
      </c>
      <c r="H22" s="6"/>
      <c r="I22" s="129">
        <f t="shared" ca="1" si="2"/>
        <v>-3235.7801358402849</v>
      </c>
      <c r="J22" s="6"/>
      <c r="K22" s="6">
        <f t="shared" si="3"/>
        <v>-4.2194498105231109</v>
      </c>
      <c r="M22" s="6">
        <f t="shared" si="4"/>
        <v>-9.8878655796160828</v>
      </c>
      <c r="N22" s="6">
        <f t="shared" ca="1" si="5"/>
        <v>-19.506401959250979</v>
      </c>
      <c r="O22" s="6"/>
      <c r="P22" s="30">
        <f t="shared" si="6"/>
        <v>-4.4241947698928534</v>
      </c>
      <c r="Q22" s="23"/>
      <c r="R22" s="23"/>
      <c r="S22" s="23"/>
      <c r="T22" s="23"/>
      <c r="U22" s="23"/>
      <c r="V22" s="23"/>
      <c r="W22" s="23"/>
      <c r="X22" s="23"/>
      <c r="Y22" s="23"/>
      <c r="Z22" s="23"/>
      <c r="AA22" s="23"/>
      <c r="AB22" s="23"/>
      <c r="AC22" s="23"/>
      <c r="AD22" s="23"/>
      <c r="AE22" s="23"/>
      <c r="AF22" s="23"/>
      <c r="AG22" s="23"/>
      <c r="AH22" s="23"/>
      <c r="AI22" s="23"/>
    </row>
    <row r="23" spans="1:35" x14ac:dyDescent="0.15">
      <c r="D23" s="16">
        <v>1809</v>
      </c>
      <c r="E23" s="19">
        <v>0.14846078282549782</v>
      </c>
      <c r="F23" s="23">
        <f t="shared" si="0"/>
        <v>1.2357670538643026E-3</v>
      </c>
      <c r="G23" s="6">
        <f t="shared" si="1"/>
        <v>-11.098705038800913</v>
      </c>
      <c r="H23" s="6"/>
      <c r="I23" s="129">
        <f t="shared" ca="1" si="2"/>
        <v>-3185.3717549284174</v>
      </c>
      <c r="J23" s="6"/>
      <c r="K23" s="6">
        <f t="shared" si="3"/>
        <v>-4.1905021557523501</v>
      </c>
      <c r="M23" s="6">
        <f t="shared" si="4"/>
        <v>-9.7598700981163464</v>
      </c>
      <c r="N23" s="6">
        <f t="shared" ca="1" si="5"/>
        <v>-13.034373041534309</v>
      </c>
      <c r="O23" s="6"/>
      <c r="P23" s="30">
        <f t="shared" si="6"/>
        <v>-4.3964807907791474</v>
      </c>
      <c r="Q23" s="23"/>
      <c r="R23" s="23"/>
      <c r="S23" s="23"/>
      <c r="T23" s="23"/>
      <c r="U23" s="23"/>
      <c r="V23" s="23"/>
      <c r="W23" s="23"/>
      <c r="X23" s="23"/>
      <c r="Y23" s="23"/>
      <c r="Z23" s="23"/>
      <c r="AA23" s="23"/>
      <c r="AB23" s="23"/>
      <c r="AC23" s="23"/>
      <c r="AD23" s="23"/>
      <c r="AE23" s="23"/>
      <c r="AF23" s="23"/>
      <c r="AG23" s="23"/>
      <c r="AH23" s="23"/>
      <c r="AI23" s="23"/>
    </row>
    <row r="24" spans="1:35" x14ac:dyDescent="0.15">
      <c r="D24" s="16">
        <v>1810</v>
      </c>
      <c r="E24" s="19">
        <v>0.15376781355894825</v>
      </c>
      <c r="F24" s="23">
        <f t="shared" si="0"/>
        <v>1.3895348674232508E-3</v>
      </c>
      <c r="G24" s="6">
        <f t="shared" si="1"/>
        <v>-10.981425966056591</v>
      </c>
      <c r="H24" s="6"/>
      <c r="I24" s="129">
        <f t="shared" ca="1" si="2"/>
        <v>-3140.1862234111113</v>
      </c>
      <c r="J24" s="6"/>
      <c r="K24" s="6">
        <f t="shared" si="3"/>
        <v>-4.1638165300378391</v>
      </c>
      <c r="M24" s="6">
        <f t="shared" si="4"/>
        <v>-9.6425857258022756</v>
      </c>
      <c r="N24" s="6">
        <f t="shared" ca="1" si="5"/>
        <v>-8.1081480561160788</v>
      </c>
      <c r="O24" s="6"/>
      <c r="P24" s="30">
        <f t="shared" si="6"/>
        <v>-4.3709449020016455</v>
      </c>
      <c r="Q24" s="23"/>
      <c r="R24" s="23"/>
      <c r="S24" s="23"/>
      <c r="T24" s="23"/>
      <c r="U24" s="23"/>
      <c r="V24" s="23"/>
      <c r="W24" s="23"/>
      <c r="X24" s="23"/>
      <c r="Y24" s="23"/>
      <c r="Z24" s="23"/>
      <c r="AA24" s="23"/>
      <c r="AB24" s="23"/>
      <c r="AC24" s="23"/>
      <c r="AD24" s="23"/>
      <c r="AE24" s="23"/>
      <c r="AF24" s="23"/>
      <c r="AG24" s="23"/>
      <c r="AH24" s="23"/>
      <c r="AI24" s="23"/>
    </row>
    <row r="25" spans="1:35" x14ac:dyDescent="0.15">
      <c r="D25" s="16">
        <v>1811</v>
      </c>
      <c r="E25" s="19">
        <v>0.16420043807769694</v>
      </c>
      <c r="F25" s="23">
        <f t="shared" si="0"/>
        <v>1.5537353055009478E-3</v>
      </c>
      <c r="G25" s="6">
        <f t="shared" si="1"/>
        <v>-10.869731112456737</v>
      </c>
      <c r="H25" s="6"/>
      <c r="I25" s="129">
        <f t="shared" ca="1" si="2"/>
        <v>-3097.723569321236</v>
      </c>
      <c r="J25" s="6"/>
      <c r="K25" s="6">
        <f t="shared" si="3"/>
        <v>-4.1382563166804154</v>
      </c>
      <c r="M25" s="6">
        <f t="shared" si="4"/>
        <v>-9.5308852130218042</v>
      </c>
      <c r="N25" s="6">
        <f t="shared" ca="1" si="5"/>
        <v>-3.9877735082964136</v>
      </c>
      <c r="O25" s="6"/>
      <c r="P25" s="30">
        <f t="shared" si="6"/>
        <v>-4.3464973182385114</v>
      </c>
      <c r="Q25" s="23"/>
      <c r="R25" s="23"/>
      <c r="S25" s="23"/>
      <c r="T25" s="23"/>
      <c r="U25" s="23"/>
      <c r="V25" s="23"/>
      <c r="W25" s="23"/>
      <c r="X25" s="23"/>
      <c r="Y25" s="23"/>
      <c r="Z25" s="23"/>
      <c r="AA25" s="23"/>
      <c r="AB25" s="23"/>
      <c r="AC25" s="23"/>
      <c r="AD25" s="23"/>
      <c r="AE25" s="23"/>
      <c r="AF25" s="23"/>
      <c r="AG25" s="23"/>
      <c r="AH25" s="23"/>
      <c r="AI25" s="23"/>
    </row>
    <row r="26" spans="1:35" x14ac:dyDescent="0.15">
      <c r="D26" s="16">
        <v>1812</v>
      </c>
      <c r="E26" s="19">
        <v>0.17744533529280399</v>
      </c>
      <c r="F26" s="23">
        <f t="shared" si="0"/>
        <v>1.7311806407937517E-3</v>
      </c>
      <c r="G26" s="6">
        <f t="shared" si="1"/>
        <v>-10.761587218922029</v>
      </c>
      <c r="H26" s="6"/>
      <c r="I26" s="129">
        <f t="shared" ca="1" si="2"/>
        <v>-3056.9923710995799</v>
      </c>
      <c r="J26" s="6"/>
      <c r="K26" s="6">
        <f t="shared" si="3"/>
        <v>-4.1133714813555748</v>
      </c>
      <c r="M26" s="6">
        <f t="shared" si="4"/>
        <v>-9.4227352037584939</v>
      </c>
      <c r="N26" s="6">
        <f t="shared" ca="1" si="5"/>
        <v>-0.37979988957704336</v>
      </c>
      <c r="O26" s="6"/>
      <c r="P26" s="30">
        <f t="shared" si="6"/>
        <v>-4.3227065657731378</v>
      </c>
      <c r="Q26" s="23"/>
      <c r="R26" s="23"/>
      <c r="S26" s="23"/>
      <c r="T26" s="23"/>
      <c r="U26" s="23"/>
      <c r="V26" s="23"/>
      <c r="W26" s="23"/>
      <c r="X26" s="23"/>
      <c r="Y26" s="23"/>
      <c r="Z26" s="23"/>
      <c r="AA26" s="23"/>
      <c r="AB26" s="23"/>
      <c r="AC26" s="23"/>
      <c r="AD26" s="23"/>
      <c r="AE26" s="23"/>
      <c r="AF26" s="23"/>
      <c r="AG26" s="23"/>
      <c r="AH26" s="23"/>
      <c r="AI26" s="23"/>
    </row>
    <row r="27" spans="1:35" x14ac:dyDescent="0.15">
      <c r="D27" s="16">
        <v>1813</v>
      </c>
      <c r="E27" s="19">
        <v>0.19091702869310123</v>
      </c>
      <c r="F27" s="23">
        <f t="shared" si="0"/>
        <v>1.9220976694868529E-3</v>
      </c>
      <c r="G27" s="6">
        <f t="shared" si="1"/>
        <v>-10.656971382359663</v>
      </c>
      <c r="H27" s="6"/>
      <c r="I27" s="129">
        <f t="shared" ca="1" si="2"/>
        <v>-3017.9814611481615</v>
      </c>
      <c r="J27" s="6"/>
      <c r="K27" s="6">
        <f t="shared" si="3"/>
        <v>-4.0891679474201279</v>
      </c>
      <c r="M27" s="6">
        <f t="shared" si="4"/>
        <v>-9.3181127870884595</v>
      </c>
      <c r="N27" s="6">
        <f t="shared" ca="1" si="5"/>
        <v>2.7190792546352895</v>
      </c>
      <c r="O27" s="6"/>
      <c r="P27" s="30">
        <f t="shared" si="6"/>
        <v>-4.2995775759863024</v>
      </c>
      <c r="Q27" s="23"/>
      <c r="R27" s="23"/>
      <c r="S27" s="23"/>
      <c r="T27" s="23"/>
      <c r="U27" s="23"/>
      <c r="V27" s="23"/>
      <c r="W27" s="23"/>
      <c r="X27" s="23"/>
      <c r="Y27" s="23"/>
      <c r="Z27" s="23"/>
      <c r="AA27" s="23"/>
      <c r="AB27" s="23"/>
      <c r="AC27" s="23"/>
      <c r="AD27" s="23"/>
      <c r="AE27" s="23"/>
      <c r="AF27" s="23"/>
      <c r="AG27" s="23"/>
      <c r="AH27" s="23"/>
      <c r="AI27" s="23"/>
    </row>
    <row r="28" spans="1:35" x14ac:dyDescent="0.15">
      <c r="D28" s="16">
        <v>1814</v>
      </c>
      <c r="E28" s="19">
        <v>0.20624845081195803</v>
      </c>
      <c r="F28" s="23">
        <f t="shared" si="0"/>
        <v>2.128346120298811E-3</v>
      </c>
      <c r="G28" s="6">
        <f t="shared" si="1"/>
        <v>-10.555040773911022</v>
      </c>
      <c r="H28" s="6"/>
      <c r="I28" s="129">
        <f t="shared" ca="1" si="2"/>
        <v>-2980.2798742783052</v>
      </c>
      <c r="J28" s="6"/>
      <c r="K28" s="6">
        <f t="shared" si="3"/>
        <v>-4.0654602455831608</v>
      </c>
      <c r="M28" s="6">
        <f t="shared" si="4"/>
        <v>-9.2161750700392382</v>
      </c>
      <c r="N28" s="6">
        <f t="shared" ca="1" si="5"/>
        <v>5.4305084010065912</v>
      </c>
      <c r="O28" s="6"/>
      <c r="P28" s="30">
        <f t="shared" si="6"/>
        <v>-4.2769324990898419</v>
      </c>
      <c r="Q28" s="23"/>
      <c r="R28" s="23"/>
      <c r="S28" s="23"/>
      <c r="T28" s="23"/>
      <c r="U28" s="23"/>
      <c r="V28" s="23"/>
      <c r="W28" s="23"/>
      <c r="X28" s="23"/>
      <c r="Y28" s="23"/>
      <c r="Z28" s="23"/>
      <c r="AA28" s="23"/>
      <c r="AB28" s="23"/>
      <c r="AC28" s="23"/>
      <c r="AD28" s="23"/>
      <c r="AE28" s="23"/>
      <c r="AF28" s="23"/>
      <c r="AG28" s="23"/>
      <c r="AH28" s="23"/>
      <c r="AI28" s="23"/>
    </row>
    <row r="29" spans="1:35" x14ac:dyDescent="0.15">
      <c r="D29" s="16">
        <v>1815</v>
      </c>
      <c r="E29" s="19">
        <v>0.22176130987896694</v>
      </c>
      <c r="F29" s="23">
        <f t="shared" si="0"/>
        <v>2.3501074301777781E-3</v>
      </c>
      <c r="G29" s="6">
        <f t="shared" si="1"/>
        <v>-10.455922225110559</v>
      </c>
      <c r="H29" s="6"/>
      <c r="I29" s="129">
        <f t="shared" ca="1" si="2"/>
        <v>-2943.9494538226872</v>
      </c>
      <c r="J29" s="6"/>
      <c r="K29" s="6">
        <f t="shared" si="3"/>
        <v>-4.0422860533500318</v>
      </c>
      <c r="M29" s="6">
        <f t="shared" si="4"/>
        <v>-9.1170488778724348</v>
      </c>
      <c r="N29" s="6">
        <f t="shared" ca="1" si="5"/>
        <v>7.7361844042015946</v>
      </c>
      <c r="O29" s="6"/>
      <c r="P29" s="30">
        <f t="shared" si="6"/>
        <v>-4.2548068033023592</v>
      </c>
      <c r="Q29" s="23"/>
      <c r="R29" s="23"/>
      <c r="S29" s="23"/>
      <c r="T29" s="23"/>
      <c r="U29" s="23"/>
      <c r="V29" s="23"/>
      <c r="W29" s="23"/>
      <c r="X29" s="23"/>
      <c r="Y29" s="23"/>
      <c r="Z29" s="23"/>
      <c r="AA29" s="23"/>
      <c r="AB29" s="23"/>
      <c r="AC29" s="23"/>
      <c r="AD29" s="23"/>
      <c r="AE29" s="23"/>
      <c r="AF29" s="23"/>
      <c r="AG29" s="23"/>
      <c r="AH29" s="23"/>
      <c r="AI29" s="23"/>
    </row>
    <row r="30" spans="1:35" x14ac:dyDescent="0.15">
      <c r="D30" s="16">
        <v>1816</v>
      </c>
      <c r="E30" s="19">
        <v>0.2441234137387196</v>
      </c>
      <c r="F30" s="23">
        <f t="shared" si="0"/>
        <v>2.5942308439164978E-3</v>
      </c>
      <c r="G30" s="6">
        <f t="shared" si="1"/>
        <v>-10.357090204445186</v>
      </c>
      <c r="H30" s="6"/>
      <c r="I30" s="129">
        <f t="shared" ca="1" si="2"/>
        <v>-2907.7587451103154</v>
      </c>
      <c r="J30" s="6"/>
      <c r="K30" s="6">
        <f t="shared" si="3"/>
        <v>-4.019058706776951</v>
      </c>
      <c r="M30" s="6">
        <f t="shared" si="4"/>
        <v>-9.0182084429786702</v>
      </c>
      <c r="N30" s="6">
        <f t="shared" ca="1" si="5"/>
        <v>10.000620540574346</v>
      </c>
      <c r="O30" s="6"/>
      <c r="P30" s="30">
        <f t="shared" si="6"/>
        <v>-4.2326401935478133</v>
      </c>
      <c r="Q30" s="23"/>
      <c r="R30" s="23"/>
      <c r="S30" s="23"/>
      <c r="T30" s="23"/>
      <c r="U30" s="23"/>
      <c r="V30" s="23"/>
      <c r="W30" s="23"/>
      <c r="X30" s="23"/>
      <c r="Y30" s="23"/>
      <c r="Z30" s="23"/>
      <c r="AA30" s="23"/>
      <c r="AB30" s="23"/>
      <c r="AC30" s="23"/>
      <c r="AD30" s="23"/>
      <c r="AE30" s="23"/>
      <c r="AF30" s="23"/>
      <c r="AG30" s="23"/>
      <c r="AH30" s="23"/>
      <c r="AI30" s="23"/>
    </row>
    <row r="31" spans="1:35" x14ac:dyDescent="0.15">
      <c r="D31" s="16">
        <v>1817</v>
      </c>
      <c r="E31" s="19">
        <v>0.26589584751697776</v>
      </c>
      <c r="F31" s="23">
        <f t="shared" si="0"/>
        <v>2.8601266914334757E-3</v>
      </c>
      <c r="G31" s="6">
        <f t="shared" si="1"/>
        <v>-10.259511100371025</v>
      </c>
      <c r="H31" s="6"/>
      <c r="I31" s="129">
        <f t="shared" ca="1" si="2"/>
        <v>-2872.17896125895</v>
      </c>
      <c r="J31" s="6"/>
      <c r="K31" s="6">
        <f t="shared" si="3"/>
        <v>-3.9960063296870798</v>
      </c>
      <c r="M31" s="6">
        <f t="shared" si="4"/>
        <v>-8.9206201741054763</v>
      </c>
      <c r="N31" s="6">
        <f t="shared" ca="1" si="5"/>
        <v>12.084346806011126</v>
      </c>
      <c r="O31" s="6"/>
      <c r="P31" s="30">
        <f t="shared" si="6"/>
        <v>-4.2106504272349117</v>
      </c>
      <c r="Q31" s="23"/>
      <c r="R31" s="23"/>
      <c r="S31" s="23"/>
      <c r="T31" s="23"/>
      <c r="U31" s="23"/>
      <c r="V31" s="23"/>
      <c r="W31" s="23"/>
      <c r="X31" s="23"/>
      <c r="Y31" s="23"/>
      <c r="Z31" s="23"/>
      <c r="AA31" s="23"/>
      <c r="AB31" s="23"/>
      <c r="AC31" s="23"/>
      <c r="AD31" s="23"/>
      <c r="AE31" s="23"/>
      <c r="AF31" s="23"/>
      <c r="AG31" s="23"/>
      <c r="AH31" s="23"/>
      <c r="AI31" s="23"/>
    </row>
    <row r="32" spans="1:35" x14ac:dyDescent="0.15">
      <c r="D32" s="16">
        <v>1818</v>
      </c>
      <c r="E32" s="19">
        <v>0.28857546603599665</v>
      </c>
      <c r="F32" s="23">
        <f t="shared" si="0"/>
        <v>3.1487021574694725E-3</v>
      </c>
      <c r="G32" s="6">
        <f t="shared" si="1"/>
        <v>-10.163383133821963</v>
      </c>
      <c r="H32" s="6"/>
      <c r="I32" s="129">
        <f t="shared" ca="1" si="2"/>
        <v>-2837.3067552280409</v>
      </c>
      <c r="J32" s="6"/>
      <c r="K32" s="6">
        <f t="shared" si="3"/>
        <v>-3.9731789187812989</v>
      </c>
      <c r="M32" s="6">
        <f t="shared" si="4"/>
        <v>-8.8244822608821565</v>
      </c>
      <c r="N32" s="6">
        <f t="shared" ca="1" si="5"/>
        <v>13.958760905181407</v>
      </c>
      <c r="O32" s="6"/>
      <c r="P32" s="30">
        <f t="shared" si="6"/>
        <v>-4.1888850686371502</v>
      </c>
      <c r="Q32" s="23"/>
      <c r="R32" s="23"/>
      <c r="S32" s="23"/>
      <c r="T32" s="23"/>
      <c r="U32" s="23"/>
      <c r="V32" s="23"/>
      <c r="W32" s="23"/>
      <c r="X32" s="23"/>
      <c r="Y32" s="23"/>
      <c r="Z32" s="23"/>
      <c r="AA32" s="23"/>
      <c r="AB32" s="23"/>
      <c r="AC32" s="23"/>
      <c r="AD32" s="23"/>
      <c r="AE32" s="23"/>
      <c r="AF32" s="23"/>
      <c r="AG32" s="23"/>
      <c r="AH32" s="23"/>
      <c r="AI32" s="23"/>
    </row>
    <row r="33" spans="4:35" x14ac:dyDescent="0.15">
      <c r="D33" s="16">
        <v>1819</v>
      </c>
      <c r="E33" s="19">
        <v>0.27392443247271042</v>
      </c>
      <c r="F33" s="23">
        <f t="shared" si="0"/>
        <v>3.422626589942183E-3</v>
      </c>
      <c r="G33" s="6">
        <f t="shared" si="1"/>
        <v>-10.079961868919835</v>
      </c>
      <c r="H33" s="6"/>
      <c r="I33" s="129">
        <f t="shared" ca="1" si="2"/>
        <v>-2808.6303646184906</v>
      </c>
      <c r="J33" s="6"/>
      <c r="K33" s="6">
        <f t="shared" si="3"/>
        <v>-3.9532727786055313</v>
      </c>
      <c r="M33" s="6">
        <f t="shared" si="4"/>
        <v>-8.7410515541438265</v>
      </c>
      <c r="N33" s="6">
        <f t="shared" ca="1" si="5"/>
        <v>13.999298660405657</v>
      </c>
      <c r="O33" s="6"/>
      <c r="P33" s="30">
        <f t="shared" si="6"/>
        <v>-4.1699131372427303</v>
      </c>
      <c r="Q33" s="23"/>
      <c r="R33" s="23"/>
      <c r="S33" s="23"/>
      <c r="T33" s="23"/>
      <c r="U33" s="23"/>
      <c r="V33" s="23"/>
      <c r="W33" s="23"/>
      <c r="X33" s="23"/>
      <c r="Y33" s="23"/>
      <c r="Z33" s="23"/>
      <c r="AA33" s="23"/>
      <c r="AB33" s="23"/>
      <c r="AC33" s="23"/>
      <c r="AD33" s="23"/>
      <c r="AE33" s="23"/>
      <c r="AF33" s="23"/>
      <c r="AG33" s="23"/>
      <c r="AH33" s="23"/>
      <c r="AI33" s="23"/>
    </row>
    <row r="34" spans="4:35" x14ac:dyDescent="0.15">
      <c r="D34" s="16">
        <v>1820</v>
      </c>
      <c r="E34" s="19">
        <v>0.27496769492458534</v>
      </c>
      <c r="F34" s="23">
        <f t="shared" si="0"/>
        <v>3.6975942848667684E-3</v>
      </c>
      <c r="G34" s="6">
        <f t="shared" si="1"/>
        <v>-10.002684352016317</v>
      </c>
      <c r="H34" s="6"/>
      <c r="I34" s="129">
        <f t="shared" ca="1" si="2"/>
        <v>-2782.9496789253208</v>
      </c>
      <c r="J34" s="6"/>
      <c r="K34" s="6">
        <f t="shared" si="3"/>
        <v>-3.9347518499966299</v>
      </c>
      <c r="M34" s="6">
        <f t="shared" si="4"/>
        <v>-8.6637645592907759</v>
      </c>
      <c r="N34" s="6">
        <f t="shared" ca="1" si="5"/>
        <v>13.153189306865897</v>
      </c>
      <c r="O34" s="6"/>
      <c r="P34" s="30">
        <f t="shared" si="6"/>
        <v>-4.1522682391902421</v>
      </c>
      <c r="Q34" s="23"/>
      <c r="R34" s="23"/>
      <c r="S34" s="23"/>
      <c r="T34" s="23"/>
      <c r="U34" s="23"/>
      <c r="V34" s="23"/>
      <c r="W34" s="23"/>
      <c r="X34" s="23"/>
      <c r="Y34" s="23"/>
      <c r="Z34" s="23"/>
      <c r="AA34" s="23"/>
      <c r="AB34" s="23"/>
      <c r="AC34" s="23"/>
      <c r="AD34" s="23"/>
      <c r="AE34" s="23"/>
      <c r="AF34" s="23"/>
      <c r="AG34" s="23"/>
      <c r="AH34" s="23"/>
      <c r="AI34" s="23"/>
    </row>
    <row r="35" spans="4:35" x14ac:dyDescent="0.15">
      <c r="D35" s="16">
        <v>1821</v>
      </c>
      <c r="E35" s="19">
        <v>0.28276948369512783</v>
      </c>
      <c r="F35" s="23">
        <f t="shared" si="0"/>
        <v>3.9803637685618962E-3</v>
      </c>
      <c r="G35" s="6">
        <f t="shared" si="1"/>
        <v>-9.9289900900553736</v>
      </c>
      <c r="H35" s="6"/>
      <c r="I35" s="129">
        <f t="shared" ca="1" si="2"/>
        <v>-2759.0161961529993</v>
      </c>
      <c r="J35" s="6"/>
      <c r="K35" s="6">
        <f t="shared" si="3"/>
        <v>-3.9170164006324306</v>
      </c>
      <c r="M35" s="6">
        <f t="shared" si="4"/>
        <v>-8.5900605502976841</v>
      </c>
      <c r="N35" s="6">
        <f t="shared" ca="1" si="5"/>
        <v>11.789991243304939</v>
      </c>
      <c r="O35" s="6"/>
      <c r="P35" s="30">
        <f t="shared" si="6"/>
        <v>-4.1353779058039279</v>
      </c>
      <c r="Q35" s="23"/>
      <c r="R35" s="23"/>
      <c r="S35" s="23"/>
      <c r="T35" s="23"/>
      <c r="U35" s="23"/>
      <c r="V35" s="23"/>
      <c r="W35" s="23"/>
      <c r="X35" s="23"/>
      <c r="Y35" s="23"/>
      <c r="Z35" s="23"/>
      <c r="AA35" s="23"/>
      <c r="AB35" s="23"/>
      <c r="AC35" s="23"/>
      <c r="AD35" s="23"/>
      <c r="AE35" s="23"/>
      <c r="AF35" s="23"/>
      <c r="AG35" s="23"/>
      <c r="AH35" s="23"/>
      <c r="AI35" s="23"/>
    </row>
    <row r="36" spans="4:35" x14ac:dyDescent="0.15">
      <c r="D36" s="16">
        <v>1822</v>
      </c>
      <c r="E36" s="19">
        <v>0.28403954233219286</v>
      </c>
      <c r="F36" s="23">
        <f t="shared" si="0"/>
        <v>4.2644033108940891E-3</v>
      </c>
      <c r="G36" s="6">
        <f t="shared" si="1"/>
        <v>-9.8600575586410102</v>
      </c>
      <c r="H36" s="6"/>
      <c r="I36" s="129">
        <f t="shared" ca="1" si="2"/>
        <v>-2737.4045435749003</v>
      </c>
      <c r="J36" s="6"/>
      <c r="K36" s="6">
        <f t="shared" si="3"/>
        <v>-3.9003613741525638</v>
      </c>
      <c r="M36" s="6">
        <f t="shared" si="4"/>
        <v>-8.5211182279087936</v>
      </c>
      <c r="N36" s="6">
        <f t="shared" ca="1" si="5"/>
        <v>9.7395969473518562</v>
      </c>
      <c r="O36" s="6"/>
      <c r="P36" s="30">
        <f t="shared" si="6"/>
        <v>-4.1195221251946199</v>
      </c>
    </row>
    <row r="37" spans="4:35" x14ac:dyDescent="0.15">
      <c r="D37" s="16">
        <v>1823</v>
      </c>
      <c r="E37" s="19">
        <v>0.28573234905845246</v>
      </c>
      <c r="F37" s="23">
        <f t="shared" si="0"/>
        <v>4.5501356599525417E-3</v>
      </c>
      <c r="G37" s="6">
        <f t="shared" si="1"/>
        <v>-9.795199279331241</v>
      </c>
      <c r="H37" s="6"/>
      <c r="I37" s="129">
        <f t="shared" ca="1" si="2"/>
        <v>-2717.7795052041347</v>
      </c>
      <c r="J37" s="6"/>
      <c r="K37" s="6">
        <f t="shared" si="3"/>
        <v>-3.8846322417663939</v>
      </c>
      <c r="M37" s="6">
        <f t="shared" si="4"/>
        <v>-8.4562500991072191</v>
      </c>
      <c r="N37" s="6">
        <f t="shared" ca="1" si="5"/>
        <v>7.1012239127785506</v>
      </c>
      <c r="O37" s="6"/>
      <c r="P37" s="30">
        <f t="shared" si="6"/>
        <v>-4.1045528470073664</v>
      </c>
    </row>
    <row r="38" spans="4:35" x14ac:dyDescent="0.15">
      <c r="D38" s="16">
        <v>1824</v>
      </c>
      <c r="E38" s="19">
        <v>0.31700663581143879</v>
      </c>
      <c r="F38" s="23">
        <f t="shared" si="0"/>
        <v>4.8671422957639807E-3</v>
      </c>
      <c r="G38" s="6">
        <f t="shared" si="1"/>
        <v>-9.7278454780511669</v>
      </c>
      <c r="H38" s="6"/>
      <c r="I38" s="129">
        <f t="shared" ca="1" si="2"/>
        <v>-2696.9376448808616</v>
      </c>
      <c r="J38" s="6"/>
      <c r="K38" s="6">
        <f t="shared" si="3"/>
        <v>-3.8682372169121142</v>
      </c>
      <c r="M38" s="6">
        <f t="shared" si="4"/>
        <v>-8.3888853700839103</v>
      </c>
      <c r="N38" s="6">
        <f t="shared" ca="1" si="5"/>
        <v>4.8231547807454263</v>
      </c>
      <c r="O38" s="6"/>
      <c r="P38" s="30">
        <f t="shared" si="6"/>
        <v>-4.0889551055855575</v>
      </c>
    </row>
    <row r="39" spans="4:35" x14ac:dyDescent="0.15">
      <c r="D39" s="16">
        <v>1825</v>
      </c>
      <c r="E39" s="19">
        <v>0.3304601855169208</v>
      </c>
      <c r="F39" s="23">
        <f t="shared" si="0"/>
        <v>5.1976024812809014E-3</v>
      </c>
      <c r="G39" s="6">
        <f t="shared" si="1"/>
        <v>-9.6621509406976447</v>
      </c>
      <c r="H39" s="6"/>
      <c r="I39" s="129">
        <f t="shared" ca="1" si="2"/>
        <v>-2676.9048452650704</v>
      </c>
      <c r="J39" s="6"/>
      <c r="K39" s="6">
        <f t="shared" si="3"/>
        <v>-3.852185870359238</v>
      </c>
      <c r="M39" s="6">
        <f t="shared" si="4"/>
        <v>-8.3231794410035889</v>
      </c>
      <c r="N39" s="6">
        <f t="shared" ca="1" si="5"/>
        <v>2.3056912563733931</v>
      </c>
      <c r="O39" s="6"/>
      <c r="P39" s="30">
        <f t="shared" si="6"/>
        <v>-4.0736895803849702</v>
      </c>
    </row>
    <row r="40" spans="4:35" x14ac:dyDescent="0.15">
      <c r="D40" s="16">
        <v>1826</v>
      </c>
      <c r="E40" s="19">
        <v>0.37259982390999868</v>
      </c>
      <c r="F40" s="23">
        <f t="shared" si="0"/>
        <v>5.5702023051909001E-3</v>
      </c>
      <c r="G40" s="6">
        <f t="shared" si="1"/>
        <v>-9.5929124621926274</v>
      </c>
      <c r="H40" s="6"/>
      <c r="I40" s="129">
        <f t="shared" ca="1" si="2"/>
        <v>-2655.1440122186614</v>
      </c>
      <c r="J40" s="6"/>
      <c r="K40" s="6">
        <f t="shared" si="3"/>
        <v>-3.835203543922673</v>
      </c>
      <c r="M40" s="6">
        <f t="shared" si="4"/>
        <v>-8.2539281178547537</v>
      </c>
      <c r="N40" s="6">
        <f t="shared" ca="1" si="5"/>
        <v>0.29989127661337989</v>
      </c>
      <c r="O40" s="6"/>
      <c r="P40" s="30">
        <f t="shared" si="6"/>
        <v>-4.0575443633951727</v>
      </c>
    </row>
    <row r="41" spans="4:35" x14ac:dyDescent="0.15">
      <c r="D41" s="16">
        <v>1827</v>
      </c>
      <c r="E41" s="19">
        <v>0.39949694428881438</v>
      </c>
      <c r="F41" s="23">
        <f t="shared" si="0"/>
        <v>5.9696992494797149E-3</v>
      </c>
      <c r="G41" s="6">
        <f t="shared" si="1"/>
        <v>-9.5236423947174202</v>
      </c>
      <c r="H41" s="6"/>
      <c r="I41" s="129">
        <f t="shared" ca="1" si="2"/>
        <v>-2633.3677763215273</v>
      </c>
      <c r="J41" s="6"/>
      <c r="K41" s="6">
        <f t="shared" si="3"/>
        <v>-3.8181458800221302</v>
      </c>
      <c r="M41" s="6">
        <f t="shared" si="4"/>
        <v>-8.184644278197073</v>
      </c>
      <c r="N41" s="6">
        <f t="shared" ca="1" si="5"/>
        <v>-1.7012159914620497</v>
      </c>
      <c r="O41" s="6"/>
      <c r="P41" s="30">
        <f t="shared" si="6"/>
        <v>-4.0413334907364771</v>
      </c>
    </row>
    <row r="42" spans="4:35" x14ac:dyDescent="0.15">
      <c r="D42" s="16">
        <v>1828</v>
      </c>
      <c r="E42" s="19">
        <v>0.44069220336676035</v>
      </c>
      <c r="F42" s="23">
        <f t="shared" si="0"/>
        <v>6.4103914528464753E-3</v>
      </c>
      <c r="G42" s="6">
        <f t="shared" si="1"/>
        <v>-9.4524132091450586</v>
      </c>
      <c r="H42" s="6"/>
      <c r="I42" s="129">
        <f t="shared" ca="1" si="2"/>
        <v>-2610.636270169698</v>
      </c>
      <c r="J42" s="6"/>
      <c r="K42" s="6">
        <f t="shared" si="3"/>
        <v>-3.8005344601129325</v>
      </c>
      <c r="M42" s="6">
        <f t="shared" si="4"/>
        <v>-8.113399899908293</v>
      </c>
      <c r="N42" s="6">
        <f t="shared" ca="1" si="5"/>
        <v>-3.4193825973843559</v>
      </c>
      <c r="O42" s="6"/>
      <c r="P42" s="30">
        <f t="shared" si="6"/>
        <v>-4.0246026913170541</v>
      </c>
    </row>
    <row r="43" spans="4:35" x14ac:dyDescent="0.15">
      <c r="D43" s="16">
        <v>1829</v>
      </c>
      <c r="E43" s="19">
        <v>0.46497753887692583</v>
      </c>
      <c r="F43" s="23">
        <f t="shared" si="0"/>
        <v>6.8753689917234011E-3</v>
      </c>
      <c r="G43" s="6">
        <f t="shared" si="1"/>
        <v>-9.382382539660103</v>
      </c>
      <c r="H43" s="6"/>
      <c r="I43" s="129">
        <f t="shared" ca="1" si="2"/>
        <v>-2588.4891630746351</v>
      </c>
      <c r="J43" s="6"/>
      <c r="K43" s="6">
        <f t="shared" si="3"/>
        <v>-3.7831480333107548</v>
      </c>
      <c r="M43" s="6">
        <f t="shared" si="4"/>
        <v>-8.0433532000500545</v>
      </c>
      <c r="N43" s="6">
        <f t="shared" ca="1" si="5"/>
        <v>-5.3103955440064965</v>
      </c>
      <c r="O43" s="6"/>
      <c r="P43" s="30">
        <f t="shared" si="6"/>
        <v>-4.008092016773527</v>
      </c>
    </row>
    <row r="44" spans="4:35" x14ac:dyDescent="0.15">
      <c r="D44" s="16">
        <v>1830</v>
      </c>
      <c r="E44" s="19">
        <v>0.50239800224856623</v>
      </c>
      <c r="F44" s="23">
        <f t="shared" si="0"/>
        <v>7.3777669939719672E-3</v>
      </c>
      <c r="G44" s="6">
        <f t="shared" si="1"/>
        <v>-9.3118506835287675</v>
      </c>
      <c r="H44" s="6"/>
      <c r="I44" s="129">
        <f t="shared" ca="1" si="2"/>
        <v>-2566.0976762783048</v>
      </c>
      <c r="J44" s="6"/>
      <c r="K44" s="6">
        <f t="shared" si="3"/>
        <v>-3.7655648237571184</v>
      </c>
      <c r="M44" s="6">
        <f t="shared" si="4"/>
        <v>-7.9728040229590018</v>
      </c>
      <c r="N44" s="6">
        <f t="shared" ca="1" si="5"/>
        <v>-7.128892071559676</v>
      </c>
      <c r="O44" s="6"/>
      <c r="P44" s="30">
        <f t="shared" si="6"/>
        <v>-3.9914009871459801</v>
      </c>
    </row>
    <row r="45" spans="4:35" x14ac:dyDescent="0.15">
      <c r="D45" s="16">
        <v>1831</v>
      </c>
      <c r="E45" s="19">
        <v>0.53493055423698777</v>
      </c>
      <c r="F45" s="23">
        <f t="shared" si="0"/>
        <v>7.9126975482089554E-3</v>
      </c>
      <c r="G45" s="6">
        <f t="shared" si="1"/>
        <v>-9.2418463965442541</v>
      </c>
      <c r="H45" s="6"/>
      <c r="I45" s="129">
        <f t="shared" ca="1" si="2"/>
        <v>-2543.9634333479662</v>
      </c>
      <c r="J45" s="6"/>
      <c r="K45" s="6">
        <f t="shared" si="3"/>
        <v>-3.748040472499258</v>
      </c>
      <c r="M45" s="6">
        <f t="shared" si="4"/>
        <v>-7.9027812928398999</v>
      </c>
      <c r="N45" s="6">
        <f t="shared" ca="1" si="5"/>
        <v>-9.023364278689769</v>
      </c>
      <c r="O45" s="6"/>
      <c r="P45" s="30">
        <f t="shared" si="6"/>
        <v>-3.9747724163052927</v>
      </c>
    </row>
    <row r="46" spans="4:35" x14ac:dyDescent="0.15">
      <c r="D46" s="16">
        <v>1832</v>
      </c>
      <c r="E46" s="19">
        <v>0.59998749355116399</v>
      </c>
      <c r="F46" s="23">
        <f t="shared" si="0"/>
        <v>8.5126850417601187E-3</v>
      </c>
      <c r="G46" s="6">
        <f t="shared" si="1"/>
        <v>-9.1687503939652526</v>
      </c>
      <c r="H46" s="6"/>
      <c r="I46" s="129">
        <f t="shared" ca="1" si="2"/>
        <v>-2520.3216631543755</v>
      </c>
      <c r="J46" s="6"/>
      <c r="K46" s="6">
        <f t="shared" si="3"/>
        <v>-3.7296639600928887</v>
      </c>
      <c r="M46" s="6">
        <f t="shared" ref="M46:M77" si="7" xml:space="preserve"> - LN(F$6/F46 - 1)</f>
        <v>-7.8296646034253738</v>
      </c>
      <c r="N46" s="6">
        <f t="shared" ref="N46:N77" ca="1" si="8" xml:space="preserve"> (M46*(F$7-E$7)/LN(81) + AVERAGE(E$7:F$7) - D46)*12</f>
        <v>-10.471323023737568</v>
      </c>
      <c r="O46" s="6"/>
      <c r="P46" s="30">
        <f t="shared" ref="P46:P77" si="9">NORMSINV(F46/F$10)</f>
        <v>-3.9573423816799744</v>
      </c>
    </row>
    <row r="47" spans="4:35" x14ac:dyDescent="0.15">
      <c r="D47" s="16">
        <v>1833</v>
      </c>
      <c r="E47" s="19">
        <v>0.61203762846268894</v>
      </c>
      <c r="F47" s="23">
        <f t="shared" si="0"/>
        <v>9.1247226702228078E-3</v>
      </c>
      <c r="G47" s="6">
        <f t="shared" si="1"/>
        <v>-9.0993128010875921</v>
      </c>
      <c r="H47" s="6"/>
      <c r="I47" s="129">
        <f t="shared" ca="1" si="2"/>
        <v>-2498.4637415058332</v>
      </c>
      <c r="J47" s="6"/>
      <c r="K47" s="6">
        <f t="shared" si="3"/>
        <v>-3.7121322740657474</v>
      </c>
      <c r="M47" s="6">
        <f t="shared" si="7"/>
        <v>-7.7602059074841074</v>
      </c>
      <c r="N47" s="6">
        <f t="shared" ca="1" si="8"/>
        <v>-12.447195414073576</v>
      </c>
      <c r="O47" s="6"/>
      <c r="P47" s="30">
        <f t="shared" si="9"/>
        <v>-3.9407205442005098</v>
      </c>
    </row>
    <row r="48" spans="4:35" x14ac:dyDescent="0.15">
      <c r="D48" s="16">
        <v>1834</v>
      </c>
      <c r="E48" s="19">
        <v>0.65651780348692967</v>
      </c>
      <c r="F48" s="23">
        <f t="shared" si="0"/>
        <v>9.7812404737097382E-3</v>
      </c>
      <c r="G48" s="6">
        <f t="shared" si="1"/>
        <v>-9.0298259541468671</v>
      </c>
      <c r="H48" s="6"/>
      <c r="I48" s="129">
        <f t="shared" ca="1" si="2"/>
        <v>-2476.5818034687718</v>
      </c>
      <c r="J48" s="6"/>
      <c r="K48" s="6">
        <f t="shared" si="3"/>
        <v>-3.6945141868190987</v>
      </c>
      <c r="M48" s="6">
        <f t="shared" si="7"/>
        <v>-7.6906964229561456</v>
      </c>
      <c r="N48" s="6">
        <f t="shared" ca="1" si="8"/>
        <v>-14.415738106274148</v>
      </c>
      <c r="O48" s="6"/>
      <c r="P48" s="30">
        <f t="shared" si="9"/>
        <v>-3.92402363263552</v>
      </c>
    </row>
    <row r="49" spans="4:16" x14ac:dyDescent="0.15">
      <c r="D49" s="16">
        <v>1835</v>
      </c>
      <c r="E49" s="19">
        <v>0.76277544498749639</v>
      </c>
      <c r="F49" s="23">
        <f t="shared" si="0"/>
        <v>1.0544015918697235E-2</v>
      </c>
      <c r="G49" s="6">
        <f t="shared" si="1"/>
        <v>-8.9547244392854868</v>
      </c>
      <c r="H49" s="6"/>
      <c r="I49" s="129">
        <f t="shared" ca="1" si="2"/>
        <v>-2451.9621411146381</v>
      </c>
      <c r="J49" s="6"/>
      <c r="K49" s="6">
        <f t="shared" si="3"/>
        <v>-3.6753882767220674</v>
      </c>
      <c r="M49" s="6">
        <f t="shared" si="7"/>
        <v>-7.6155686055051595</v>
      </c>
      <c r="N49" s="6">
        <f t="shared" ca="1" si="8"/>
        <v>-15.573455236448353</v>
      </c>
      <c r="O49" s="6"/>
      <c r="P49" s="30">
        <f t="shared" si="9"/>
        <v>-3.9059055856018223</v>
      </c>
    </row>
    <row r="50" spans="4:16" x14ac:dyDescent="0.15">
      <c r="D50" s="16">
        <v>1836</v>
      </c>
      <c r="E50" s="19">
        <v>0.77406808064048616</v>
      </c>
      <c r="F50" s="23">
        <f t="shared" si="0"/>
        <v>1.1318083999337722E-2</v>
      </c>
      <c r="G50" s="6">
        <f t="shared" si="1"/>
        <v>-8.883871646793418</v>
      </c>
      <c r="H50" s="6"/>
      <c r="I50" s="129">
        <f t="shared" ca="1" si="2"/>
        <v>-2429.4141650492293</v>
      </c>
      <c r="J50" s="6"/>
      <c r="K50" s="6">
        <f t="shared" si="3"/>
        <v>-3.6572631209088597</v>
      </c>
      <c r="M50" s="6">
        <f t="shared" si="7"/>
        <v>-7.5446891198127641</v>
      </c>
      <c r="N50" s="6">
        <f t="shared" ca="1" si="8"/>
        <v>-17.344282346582986</v>
      </c>
      <c r="O50" s="6"/>
      <c r="P50" s="30">
        <f t="shared" si="9"/>
        <v>-3.8887431810995454</v>
      </c>
    </row>
    <row r="51" spans="4:16" x14ac:dyDescent="0.15">
      <c r="D51" s="16">
        <v>1837</v>
      </c>
      <c r="E51" s="19">
        <v>0.76188186801784696</v>
      </c>
      <c r="F51" s="23">
        <f t="shared" si="0"/>
        <v>1.2079965867355569E-2</v>
      </c>
      <c r="G51" s="6">
        <f t="shared" si="1"/>
        <v>-8.8187157498798552</v>
      </c>
      <c r="H51" s="6"/>
      <c r="I51" s="129">
        <f t="shared" ca="1" si="2"/>
        <v>-2409.6440076861018</v>
      </c>
      <c r="J51" s="6"/>
      <c r="K51" s="6">
        <f t="shared" si="3"/>
        <v>-3.6405248035587783</v>
      </c>
      <c r="M51" s="6">
        <f t="shared" si="7"/>
        <v>-7.4795069487419292</v>
      </c>
      <c r="N51" s="6">
        <f t="shared" ca="1" si="8"/>
        <v>-19.937333485326235</v>
      </c>
      <c r="O51" s="6"/>
      <c r="P51" s="30">
        <f t="shared" si="9"/>
        <v>-3.8729006113213713</v>
      </c>
    </row>
    <row r="52" spans="4:16" x14ac:dyDescent="0.15">
      <c r="D52" s="16">
        <v>1838</v>
      </c>
      <c r="E52" s="19">
        <v>0.8221688299651031</v>
      </c>
      <c r="F52" s="23">
        <f t="shared" si="0"/>
        <v>1.2902134697320673E-2</v>
      </c>
      <c r="G52" s="6">
        <f t="shared" si="1"/>
        <v>-8.7528612699384993</v>
      </c>
      <c r="H52" s="6"/>
      <c r="I52" s="129">
        <f t="shared" ca="1" si="2"/>
        <v>-2389.5332197158386</v>
      </c>
      <c r="J52" s="6"/>
      <c r="K52" s="6">
        <f t="shared" si="3"/>
        <v>-3.623537544250488</v>
      </c>
      <c r="M52" s="6">
        <f t="shared" si="7"/>
        <v>-7.4136241142706005</v>
      </c>
      <c r="N52" s="6">
        <f t="shared" ca="1" si="8"/>
        <v>-22.429266409239062</v>
      </c>
      <c r="O52" s="6"/>
      <c r="P52" s="30">
        <f t="shared" si="9"/>
        <v>-3.8568290288686109</v>
      </c>
    </row>
    <row r="53" spans="4:16" x14ac:dyDescent="0.15">
      <c r="D53" s="16">
        <v>1839</v>
      </c>
      <c r="E53" s="19">
        <v>0.92491022341048101</v>
      </c>
      <c r="F53" s="23">
        <f t="shared" si="0"/>
        <v>1.3827044920731153E-2</v>
      </c>
      <c r="G53" s="6">
        <f t="shared" si="1"/>
        <v>-8.6836162696956958</v>
      </c>
      <c r="H53" s="6"/>
      <c r="I53" s="129">
        <f t="shared" ca="1" si="2"/>
        <v>-2367.7692066558675</v>
      </c>
      <c r="J53" s="6"/>
      <c r="K53" s="6">
        <f t="shared" si="3"/>
        <v>-3.6055994462242569</v>
      </c>
      <c r="M53" s="6">
        <f t="shared" si="7"/>
        <v>-7.3443472145626973</v>
      </c>
      <c r="N53" s="6">
        <f t="shared" ca="1" si="8"/>
        <v>-24.431375235740234</v>
      </c>
      <c r="O53" s="6"/>
      <c r="P53" s="30">
        <f t="shared" si="9"/>
        <v>-3.8398651617786355</v>
      </c>
    </row>
    <row r="54" spans="4:16" x14ac:dyDescent="0.15">
      <c r="D54" s="16">
        <v>1840</v>
      </c>
      <c r="E54" s="19">
        <v>0.92233926185516502</v>
      </c>
      <c r="F54" s="23">
        <f t="shared" si="0"/>
        <v>1.4749384182586318E-2</v>
      </c>
      <c r="G54" s="6">
        <f t="shared" si="1"/>
        <v>-8.6190300934809798</v>
      </c>
      <c r="H54" s="6"/>
      <c r="I54" s="129">
        <f t="shared" ca="1" si="2"/>
        <v>-2348.2768463473849</v>
      </c>
      <c r="J54" s="6"/>
      <c r="K54" s="6">
        <f t="shared" si="3"/>
        <v>-3.5887969197801919</v>
      </c>
      <c r="M54" s="6">
        <f t="shared" si="7"/>
        <v>-7.2797292258203665</v>
      </c>
      <c r="N54" s="6">
        <f t="shared" ca="1" si="8"/>
        <v>-27.105847938472834</v>
      </c>
      <c r="O54" s="6"/>
      <c r="P54" s="30">
        <f t="shared" si="9"/>
        <v>-3.823982065496192</v>
      </c>
    </row>
    <row r="55" spans="4:16" x14ac:dyDescent="0.15">
      <c r="D55" s="16">
        <v>1841</v>
      </c>
      <c r="E55" s="19">
        <v>1.013424238566508</v>
      </c>
      <c r="F55" s="23">
        <f t="shared" si="0"/>
        <v>1.5762808421152828E-2</v>
      </c>
      <c r="G55" s="6">
        <f t="shared" si="1"/>
        <v>-8.5525657457358726</v>
      </c>
      <c r="H55" s="6"/>
      <c r="I55" s="129">
        <f t="shared" ca="1" si="2"/>
        <v>-2327.8686855066089</v>
      </c>
      <c r="J55" s="6"/>
      <c r="K55" s="6">
        <f t="shared" si="3"/>
        <v>-3.571433032812918</v>
      </c>
      <c r="M55" s="6">
        <f t="shared" si="7"/>
        <v>-7.2132299219278098</v>
      </c>
      <c r="N55" s="6">
        <f t="shared" ca="1" si="8"/>
        <v>-29.508813339140033</v>
      </c>
      <c r="O55" s="6"/>
      <c r="P55" s="30">
        <f t="shared" si="9"/>
        <v>-3.8075753849114227</v>
      </c>
    </row>
    <row r="56" spans="4:16" x14ac:dyDescent="0.15">
      <c r="D56" s="16">
        <v>1842</v>
      </c>
      <c r="E56" s="19">
        <v>1.0890281076767687</v>
      </c>
      <c r="F56" s="23">
        <f t="shared" si="0"/>
        <v>1.6851836528829597E-2</v>
      </c>
      <c r="G56" s="6">
        <f t="shared" si="1"/>
        <v>-8.4857460323770635</v>
      </c>
      <c r="H56" s="6"/>
      <c r="I56" s="129">
        <f t="shared" ca="1" si="2"/>
        <v>-2307.2872476179609</v>
      </c>
      <c r="J56" s="6"/>
      <c r="K56" s="6">
        <f t="shared" si="3"/>
        <v>-3.5539010190991234</v>
      </c>
      <c r="M56" s="6">
        <f t="shared" si="7"/>
        <v>-7.1463726422800242</v>
      </c>
      <c r="N56" s="6">
        <f t="shared" ca="1" si="8"/>
        <v>-31.860116459038181</v>
      </c>
      <c r="O56" s="6"/>
      <c r="P56" s="30">
        <f t="shared" si="9"/>
        <v>-3.7910172012510595</v>
      </c>
    </row>
    <row r="57" spans="4:16" x14ac:dyDescent="0.15">
      <c r="D57" s="16">
        <v>1843</v>
      </c>
      <c r="E57" s="19">
        <v>1.2021730957291912</v>
      </c>
      <c r="F57" s="23">
        <f t="shared" si="0"/>
        <v>1.8054009624558789E-2</v>
      </c>
      <c r="G57" s="6">
        <f t="shared" si="1"/>
        <v>-8.4168231525970132</v>
      </c>
      <c r="H57" s="6"/>
      <c r="I57" s="129">
        <f t="shared" ca="1" si="2"/>
        <v>-2285.6803011977918</v>
      </c>
      <c r="J57" s="6"/>
      <c r="K57" s="6">
        <f t="shared" si="3"/>
        <v>-3.5357370955581575</v>
      </c>
      <c r="M57" s="6">
        <f t="shared" si="7"/>
        <v>-7.0774082904445699</v>
      </c>
      <c r="N57" s="6">
        <f t="shared" ca="1" si="8"/>
        <v>-33.907331513276404</v>
      </c>
      <c r="O57" s="6"/>
      <c r="P57" s="30">
        <f t="shared" si="9"/>
        <v>-3.773870087029696</v>
      </c>
    </row>
    <row r="58" spans="4:16" x14ac:dyDescent="0.15">
      <c r="D58" s="16">
        <v>1844</v>
      </c>
      <c r="E58" s="19">
        <v>1.3753174681660485</v>
      </c>
      <c r="F58" s="23">
        <f t="shared" si="0"/>
        <v>1.9429327092724838E-2</v>
      </c>
      <c r="G58" s="6">
        <f t="shared" si="1"/>
        <v>-8.3433904778633892</v>
      </c>
      <c r="H58" s="6"/>
      <c r="I58" s="129">
        <f t="shared" ca="1" si="2"/>
        <v>-2261.8743689277235</v>
      </c>
      <c r="J58" s="6"/>
      <c r="K58" s="6">
        <f t="shared" si="3"/>
        <v>-3.5162940037547248</v>
      </c>
      <c r="M58" s="6">
        <f t="shared" si="7"/>
        <v>-7.0039281669874285</v>
      </c>
      <c r="N58" s="6">
        <f t="shared" ca="1" si="8"/>
        <v>-35.302840249416477</v>
      </c>
      <c r="O58" s="6"/>
      <c r="P58" s="30">
        <f t="shared" si="9"/>
        <v>-3.7555243974499692</v>
      </c>
    </row>
    <row r="59" spans="4:16" x14ac:dyDescent="0.15">
      <c r="D59" s="16">
        <v>1845</v>
      </c>
      <c r="E59" s="19">
        <v>1.5941730653203585</v>
      </c>
      <c r="F59" s="23">
        <f t="shared" si="0"/>
        <v>2.1023500158045196E-2</v>
      </c>
      <c r="G59" s="6">
        <f t="shared" si="1"/>
        <v>-8.2645137159626962</v>
      </c>
      <c r="H59" s="6"/>
      <c r="I59" s="129">
        <f t="shared" ca="1" si="2"/>
        <v>-2235.4138878878675</v>
      </c>
      <c r="J59" s="6"/>
      <c r="K59" s="6">
        <f t="shared" si="3"/>
        <v>-3.4953038100809475</v>
      </c>
      <c r="M59" s="6">
        <f t="shared" si="7"/>
        <v>-6.9249964009840959</v>
      </c>
      <c r="N59" s="6">
        <f t="shared" ca="1" si="8"/>
        <v>-35.911579815408004</v>
      </c>
      <c r="O59" s="6"/>
      <c r="P59" s="30">
        <f t="shared" si="9"/>
        <v>-3.7357294816101225</v>
      </c>
    </row>
    <row r="60" spans="4:16" x14ac:dyDescent="0.15">
      <c r="D60" s="16">
        <v>1846</v>
      </c>
      <c r="E60" s="19">
        <v>1.7385787323546558</v>
      </c>
      <c r="F60" s="23">
        <f t="shared" si="0"/>
        <v>2.2762078890399853E-2</v>
      </c>
      <c r="G60" s="6">
        <f t="shared" si="1"/>
        <v>-8.1850373442235203</v>
      </c>
      <c r="H60" s="6"/>
      <c r="I60" s="129">
        <f t="shared" ca="1" si="2"/>
        <v>-2208.6610357837235</v>
      </c>
      <c r="J60" s="6"/>
      <c r="K60" s="6">
        <f t="shared" si="3"/>
        <v>-3.4740417400192447</v>
      </c>
      <c r="M60" s="6">
        <f t="shared" si="7"/>
        <v>-6.8454600367838818</v>
      </c>
      <c r="N60" s="6">
        <f t="shared" ca="1" si="8"/>
        <v>-36.433065087375326</v>
      </c>
      <c r="O60" s="6"/>
      <c r="P60" s="30">
        <f t="shared" si="9"/>
        <v>-3.7156894846989412</v>
      </c>
    </row>
    <row r="61" spans="4:16" x14ac:dyDescent="0.15">
      <c r="D61" s="16">
        <v>1847</v>
      </c>
      <c r="E61" s="19">
        <v>2.0314297600738578</v>
      </c>
      <c r="F61" s="23">
        <f t="shared" si="0"/>
        <v>2.4793508650473712E-2</v>
      </c>
      <c r="G61" s="6">
        <f t="shared" si="1"/>
        <v>-8.0995265363899733</v>
      </c>
      <c r="H61" s="6"/>
      <c r="I61" s="129">
        <f t="shared" ca="1" si="2"/>
        <v>-2178.9657794859859</v>
      </c>
      <c r="J61" s="6"/>
      <c r="K61" s="6">
        <f t="shared" si="3"/>
        <v>-3.4510374156217392</v>
      </c>
      <c r="M61" s="6">
        <f t="shared" si="7"/>
        <v>-6.7598791233955868</v>
      </c>
      <c r="N61" s="6">
        <f t="shared" ca="1" si="8"/>
        <v>-36.082214194908374</v>
      </c>
      <c r="O61" s="6"/>
      <c r="P61" s="30">
        <f t="shared" si="9"/>
        <v>-3.6940203685339763</v>
      </c>
    </row>
    <row r="62" spans="4:16" x14ac:dyDescent="0.15">
      <c r="D62" s="16">
        <v>1848</v>
      </c>
      <c r="E62" s="19">
        <v>2.4161786020321245</v>
      </c>
      <c r="F62" s="23">
        <f t="shared" si="0"/>
        <v>2.7209687252505835E-2</v>
      </c>
      <c r="G62" s="6">
        <f t="shared" si="1"/>
        <v>-8.0065057534868469</v>
      </c>
      <c r="H62" s="6"/>
      <c r="I62" s="129">
        <f t="shared" ca="1" si="2"/>
        <v>-2145.6086429739353</v>
      </c>
      <c r="J62" s="6"/>
      <c r="K62" s="6">
        <f t="shared" si="3"/>
        <v>-3.425859681118836</v>
      </c>
      <c r="M62" s="6">
        <f t="shared" si="7"/>
        <v>-6.6667749461392916</v>
      </c>
      <c r="N62" s="6">
        <f t="shared" ca="1" si="8"/>
        <v>-34.645622258324693</v>
      </c>
      <c r="O62" s="6"/>
      <c r="P62" s="30">
        <f t="shared" si="9"/>
        <v>-3.6703196946167691</v>
      </c>
    </row>
    <row r="63" spans="4:16" x14ac:dyDescent="0.15">
      <c r="D63" s="16">
        <v>1849</v>
      </c>
      <c r="E63" s="19">
        <v>2.7156602430215475</v>
      </c>
      <c r="F63" s="23">
        <f t="shared" si="0"/>
        <v>2.9925347495527384E-2</v>
      </c>
      <c r="G63" s="6">
        <f t="shared" si="1"/>
        <v>-7.9113396845226642</v>
      </c>
      <c r="H63" s="6"/>
      <c r="I63" s="129">
        <f t="shared" ca="1" si="2"/>
        <v>-2111.2054603021761</v>
      </c>
      <c r="J63" s="6"/>
      <c r="K63" s="6">
        <f t="shared" si="3"/>
        <v>-3.3999332602566064</v>
      </c>
      <c r="M63" s="6">
        <f t="shared" si="7"/>
        <v>-6.5715151320248077</v>
      </c>
      <c r="N63" s="6">
        <f t="shared" ca="1" si="8"/>
        <v>-32.897933508682399</v>
      </c>
      <c r="O63" s="6"/>
      <c r="P63" s="30">
        <f t="shared" si="9"/>
        <v>-3.6459316715312124</v>
      </c>
    </row>
    <row r="64" spans="4:16" x14ac:dyDescent="0.15">
      <c r="D64" s="16">
        <v>1850</v>
      </c>
      <c r="E64" s="19">
        <v>3.2239349880207619</v>
      </c>
      <c r="F64" s="23">
        <f t="shared" si="0"/>
        <v>3.3149282483548148E-2</v>
      </c>
      <c r="G64" s="6">
        <f t="shared" si="1"/>
        <v>-7.8089849846777044</v>
      </c>
      <c r="H64" s="6"/>
      <c r="I64" s="129">
        <f t="shared" ca="1" si="2"/>
        <v>-2073.2970855430358</v>
      </c>
      <c r="J64" s="6"/>
      <c r="K64" s="6">
        <f t="shared" si="3"/>
        <v>-3.3718550711485418</v>
      </c>
      <c r="M64" s="6">
        <f t="shared" si="7"/>
        <v>-6.4690491217716151</v>
      </c>
      <c r="N64" s="6">
        <f t="shared" ca="1" si="8"/>
        <v>-30.110262238556061</v>
      </c>
      <c r="O64" s="6"/>
      <c r="P64" s="30">
        <f t="shared" si="9"/>
        <v>-3.6195398193221897</v>
      </c>
    </row>
    <row r="65" spans="4:16" x14ac:dyDescent="0.15">
      <c r="D65" s="16">
        <v>1851</v>
      </c>
      <c r="E65" s="19">
        <v>3.7164483053339987</v>
      </c>
      <c r="F65" s="23">
        <f t="shared" si="0"/>
        <v>3.6865730788882146E-2</v>
      </c>
      <c r="G65" s="6">
        <f t="shared" si="1"/>
        <v>-7.7026781153600812</v>
      </c>
      <c r="H65" s="6"/>
      <c r="I65" s="129">
        <f t="shared" ca="1" si="2"/>
        <v>-2033.4616243340079</v>
      </c>
      <c r="J65" s="6"/>
      <c r="K65" s="6">
        <f t="shared" si="3"/>
        <v>-3.34247624406136</v>
      </c>
      <c r="M65" s="6">
        <f t="shared" si="7"/>
        <v>-6.3626139111171058</v>
      </c>
      <c r="N65" s="6">
        <f t="shared" ca="1" si="8"/>
        <v>-26.749764617573419</v>
      </c>
      <c r="O65" s="6"/>
      <c r="P65" s="30">
        <f t="shared" si="9"/>
        <v>-3.5919483897953617</v>
      </c>
    </row>
    <row r="66" spans="4:16" x14ac:dyDescent="0.15">
      <c r="D66" s="16">
        <v>1852</v>
      </c>
      <c r="E66" s="19">
        <v>4.2664372190828743</v>
      </c>
      <c r="F66" s="23">
        <f t="shared" si="0"/>
        <v>4.1132168007965021E-2</v>
      </c>
      <c r="G66" s="6">
        <f t="shared" si="1"/>
        <v>-7.5931177715403129</v>
      </c>
      <c r="H66" s="6"/>
      <c r="I66" s="129">
        <f t="shared" ca="1" si="2"/>
        <v>-1992.0397618657489</v>
      </c>
      <c r="J66" s="6"/>
      <c r="K66" s="6">
        <f t="shared" si="3"/>
        <v>-3.3119624964990342</v>
      </c>
      <c r="M66" s="6">
        <f t="shared" si="7"/>
        <v>-6.2529061982885104</v>
      </c>
      <c r="N66" s="6">
        <f t="shared" ca="1" si="8"/>
        <v>-22.916986615405222</v>
      </c>
      <c r="O66" s="6"/>
      <c r="P66" s="30">
        <f t="shared" si="9"/>
        <v>-3.563316389595264</v>
      </c>
    </row>
    <row r="67" spans="4:16" x14ac:dyDescent="0.15">
      <c r="D67" s="16">
        <v>1853</v>
      </c>
      <c r="E67" s="19">
        <v>5.0310732999736709</v>
      </c>
      <c r="F67" s="23">
        <f t="shared" si="0"/>
        <v>4.6163241307938689E-2</v>
      </c>
      <c r="G67" s="6">
        <f t="shared" si="1"/>
        <v>-7.4776627875393746</v>
      </c>
      <c r="H67" s="6"/>
      <c r="I67" s="129">
        <f t="shared" ca="1" si="2"/>
        <v>-1947.7436599959001</v>
      </c>
      <c r="J67" s="6"/>
      <c r="K67" s="6">
        <f t="shared" si="3"/>
        <v>-3.2795421049573177</v>
      </c>
      <c r="M67" s="6">
        <f t="shared" si="7"/>
        <v>-6.1372773859155831</v>
      </c>
      <c r="N67" s="6">
        <f t="shared" ca="1" si="8"/>
        <v>-18.229688432318653</v>
      </c>
      <c r="O67" s="6"/>
      <c r="P67" s="30">
        <f t="shared" si="9"/>
        <v>-3.5329241237882489</v>
      </c>
    </row>
    <row r="68" spans="4:16" x14ac:dyDescent="0.15">
      <c r="D68" s="16">
        <v>1854</v>
      </c>
      <c r="E68" s="19">
        <v>6.1110413536444623</v>
      </c>
      <c r="F68" s="23">
        <f t="shared" si="0"/>
        <v>5.2274282661583155E-2</v>
      </c>
      <c r="G68" s="6">
        <f t="shared" si="1"/>
        <v>-7.3532672300381954</v>
      </c>
      <c r="H68" s="6"/>
      <c r="I68" s="129">
        <f t="shared" ca="1" si="2"/>
        <v>-1899.0881149985016</v>
      </c>
      <c r="J68" s="6"/>
      <c r="K68" s="6">
        <f t="shared" si="3"/>
        <v>-3.2442994731036516</v>
      </c>
      <c r="M68" s="6">
        <f t="shared" si="7"/>
        <v>-6.0126706166344484</v>
      </c>
      <c r="N68" s="6">
        <f t="shared" ca="1" si="8"/>
        <v>-12.24671107613176</v>
      </c>
      <c r="O68" s="6"/>
      <c r="P68" s="30">
        <f t="shared" si="9"/>
        <v>-3.4999205264897864</v>
      </c>
    </row>
    <row r="69" spans="4:16" x14ac:dyDescent="0.15">
      <c r="D69" s="16">
        <v>1855</v>
      </c>
      <c r="E69" s="19">
        <v>6.2934000014932261</v>
      </c>
      <c r="F69" s="23">
        <f t="shared" si="0"/>
        <v>5.8567682663076381E-2</v>
      </c>
      <c r="G69" s="6">
        <f t="shared" si="1"/>
        <v>-7.2395115852587217</v>
      </c>
      <c r="H69" s="6"/>
      <c r="I69" s="129">
        <f t="shared" ca="1" si="2"/>
        <v>-1855.6206146372951</v>
      </c>
      <c r="J69" s="6"/>
      <c r="K69" s="6">
        <f t="shared" si="3"/>
        <v>-3.2117811698093774</v>
      </c>
      <c r="M69" s="6">
        <f t="shared" si="7"/>
        <v>-5.898697377626978</v>
      </c>
      <c r="N69" s="6">
        <f t="shared" ca="1" si="8"/>
        <v>-7.7983416327479063</v>
      </c>
      <c r="O69" s="6"/>
      <c r="P69" s="30">
        <f t="shared" si="9"/>
        <v>-3.4695006008255933</v>
      </c>
    </row>
    <row r="70" spans="4:16" x14ac:dyDescent="0.15">
      <c r="D70" s="16">
        <v>1856</v>
      </c>
      <c r="E70" s="19">
        <v>6.7254167971840912</v>
      </c>
      <c r="F70" s="23">
        <f t="shared" si="0"/>
        <v>6.5293099460260476E-2</v>
      </c>
      <c r="G70" s="6">
        <f t="shared" si="1"/>
        <v>-7.1307258694013571</v>
      </c>
      <c r="H70" s="6"/>
      <c r="I70" s="129">
        <f t="shared" ca="1" si="2"/>
        <v>-1814.5764624520516</v>
      </c>
      <c r="J70" s="6"/>
      <c r="K70" s="6">
        <f t="shared" si="3"/>
        <v>-3.1804179176212828</v>
      </c>
      <c r="M70" s="6">
        <f t="shared" si="7"/>
        <v>-5.7896790411095056</v>
      </c>
      <c r="N70" s="6">
        <f t="shared" ca="1" si="8"/>
        <v>-4.0650529172698953</v>
      </c>
      <c r="O70" s="6">
        <f t="shared" ref="O70:O101" ca="1" si="10">F$6/(1+EXP((AVERAGE(E$7:F$7)-D70)*LN(81)/(F$7-E$7)))</f>
        <v>6.7152530395153009E-2</v>
      </c>
      <c r="P70" s="30">
        <f t="shared" si="9"/>
        <v>-3.4401912999540047</v>
      </c>
    </row>
    <row r="71" spans="4:16" x14ac:dyDescent="0.15">
      <c r="D71" s="16">
        <v>1857</v>
      </c>
      <c r="E71" s="19">
        <v>7.407737656252479</v>
      </c>
      <c r="F71" s="23">
        <f t="shared" si="0"/>
        <v>7.2700837116512956E-2</v>
      </c>
      <c r="G71" s="6">
        <f t="shared" si="1"/>
        <v>-7.0231685438286959</v>
      </c>
      <c r="H71" s="6"/>
      <c r="I71" s="129">
        <f t="shared" ca="1" si="2"/>
        <v>-1774.1312760473002</v>
      </c>
      <c r="J71" s="6"/>
      <c r="K71" s="6">
        <f t="shared" si="3"/>
        <v>-3.1491473645945494</v>
      </c>
      <c r="M71" s="6">
        <f t="shared" si="7"/>
        <v>-5.6818653875274272</v>
      </c>
      <c r="N71" s="6">
        <f t="shared" ca="1" si="8"/>
        <v>-0.50562141736463673</v>
      </c>
      <c r="O71" s="6">
        <f t="shared" ca="1" si="10"/>
        <v>7.2955123747579731E-2</v>
      </c>
      <c r="P71" s="30">
        <f t="shared" si="9"/>
        <v>-3.4109986619491464</v>
      </c>
    </row>
    <row r="72" spans="4:16" x14ac:dyDescent="0.15">
      <c r="D72" s="16">
        <v>1858</v>
      </c>
      <c r="E72" s="19">
        <v>7.4374896870104692</v>
      </c>
      <c r="F72" s="23">
        <f t="shared" si="0"/>
        <v>8.0138326803523424E-2</v>
      </c>
      <c r="G72" s="6">
        <f t="shared" si="1"/>
        <v>-6.9256760607878274</v>
      </c>
      <c r="H72" s="6"/>
      <c r="I72" s="129">
        <f t="shared" ca="1" si="2"/>
        <v>-1738.5937288005871</v>
      </c>
      <c r="J72" s="6"/>
      <c r="K72" s="6">
        <f t="shared" si="3"/>
        <v>-3.1205732242609918</v>
      </c>
      <c r="M72" s="6">
        <f t="shared" si="7"/>
        <v>-5.5841154340124781</v>
      </c>
      <c r="N72" s="6">
        <f t="shared" ca="1" si="8"/>
        <v>1.6014388231751582</v>
      </c>
      <c r="O72" s="6">
        <f t="shared" ca="1" si="10"/>
        <v>7.9257252343160126E-2</v>
      </c>
      <c r="P72" s="30">
        <f t="shared" si="9"/>
        <v>-3.3843499995037525</v>
      </c>
    </row>
    <row r="73" spans="4:16" x14ac:dyDescent="0.15">
      <c r="D73" s="16">
        <v>1859</v>
      </c>
      <c r="E73" s="19">
        <v>7.6760683876136584</v>
      </c>
      <c r="F73" s="23">
        <f t="shared" si="0"/>
        <v>8.7814395191137082E-2</v>
      </c>
      <c r="G73" s="6">
        <f t="shared" si="1"/>
        <v>-6.8341107574127662</v>
      </c>
      <c r="H73" s="6"/>
      <c r="I73" s="129">
        <f t="shared" ca="1" si="2"/>
        <v>-1705.9462872791019</v>
      </c>
      <c r="J73" s="6"/>
      <c r="K73" s="6">
        <f t="shared" si="3"/>
        <v>-3.0935329395994136</v>
      </c>
      <c r="M73" s="6">
        <f t="shared" si="7"/>
        <v>-5.4922842822813775</v>
      </c>
      <c r="N73" s="6">
        <f t="shared" ca="1" si="8"/>
        <v>2.8543104905802466</v>
      </c>
      <c r="O73" s="6">
        <f t="shared" ca="1" si="10"/>
        <v>8.610158488725371E-2</v>
      </c>
      <c r="P73" s="30">
        <f t="shared" si="9"/>
        <v>-3.3591557899821645</v>
      </c>
    </row>
    <row r="74" spans="4:16" x14ac:dyDescent="0.15">
      <c r="D74" s="16">
        <v>1860</v>
      </c>
      <c r="E74" s="19">
        <v>7.5618411281655087</v>
      </c>
      <c r="F74" s="23">
        <f t="shared" si="0"/>
        <v>9.5376236319302587E-2</v>
      </c>
      <c r="G74" s="6">
        <f t="shared" si="1"/>
        <v>-6.7514140497818742</v>
      </c>
      <c r="H74" s="6"/>
      <c r="I74" s="129">
        <f t="shared" ca="1" si="2"/>
        <v>-1677.623192374409</v>
      </c>
      <c r="J74" s="6"/>
      <c r="K74" s="6">
        <f t="shared" si="3"/>
        <v>-3.0689389379294942</v>
      </c>
      <c r="M74" s="6">
        <f t="shared" si="7"/>
        <v>-5.4093255643076263</v>
      </c>
      <c r="N74" s="6">
        <f t="shared" ca="1" si="8"/>
        <v>2.8267318560228887</v>
      </c>
      <c r="O74" s="6">
        <f t="shared" ca="1" si="10"/>
        <v>9.3534374324700797E-2</v>
      </c>
      <c r="P74" s="30">
        <f t="shared" si="9"/>
        <v>-3.3362614347799835</v>
      </c>
    </row>
    <row r="75" spans="4:16" x14ac:dyDescent="0.15">
      <c r="D75" s="16">
        <v>1861</v>
      </c>
      <c r="E75" s="19">
        <v>7.2995903489369081</v>
      </c>
      <c r="F75" s="23">
        <f t="shared" si="0"/>
        <v>0.10267582666823949</v>
      </c>
      <c r="G75" s="6">
        <f t="shared" si="1"/>
        <v>-6.6775773006198653</v>
      </c>
      <c r="H75" s="6"/>
      <c r="I75" s="129">
        <f t="shared" ca="1" si="2"/>
        <v>-1653.6202325322511</v>
      </c>
      <c r="J75" s="6"/>
      <c r="K75" s="6">
        <f t="shared" si="3"/>
        <v>-3.0468387765016027</v>
      </c>
      <c r="M75" s="6">
        <f t="shared" si="7"/>
        <v>-5.335235780296312</v>
      </c>
      <c r="N75" s="6">
        <f t="shared" ca="1" si="8"/>
        <v>1.5192080022789014</v>
      </c>
      <c r="O75" s="6">
        <f t="shared" ca="1" si="10"/>
        <v>0.10160574803989347</v>
      </c>
      <c r="P75" s="30">
        <f t="shared" si="9"/>
        <v>-3.3157055692397988</v>
      </c>
    </row>
    <row r="76" spans="4:16" x14ac:dyDescent="0.15">
      <c r="D76" s="16">
        <v>1862</v>
      </c>
      <c r="E76" s="19">
        <v>7.8710296458810713</v>
      </c>
      <c r="F76" s="23">
        <f t="shared" si="0"/>
        <v>0.11054685631412056</v>
      </c>
      <c r="G76" s="6">
        <f t="shared" si="1"/>
        <v>-6.6036180367291415</v>
      </c>
      <c r="H76" s="6"/>
      <c r="I76" s="129">
        <f t="shared" ca="1" si="2"/>
        <v>-1629.5575342413122</v>
      </c>
      <c r="J76" s="6"/>
      <c r="K76" s="6">
        <f t="shared" si="3"/>
        <v>-3.0245661526247858</v>
      </c>
      <c r="M76" s="6">
        <f t="shared" si="7"/>
        <v>-5.2610035505068682</v>
      </c>
      <c r="N76" s="6">
        <f t="shared" ca="1" si="8"/>
        <v>0.23224161276357336</v>
      </c>
      <c r="O76" s="6">
        <f t="shared" ca="1" si="10"/>
        <v>0.11037001958008488</v>
      </c>
      <c r="P76" s="30">
        <f t="shared" si="9"/>
        <v>-3.2950058128556532</v>
      </c>
    </row>
    <row r="77" spans="4:16" x14ac:dyDescent="0.15">
      <c r="D77" s="16">
        <v>1863</v>
      </c>
      <c r="E77" s="19">
        <v>9.2025083186345977</v>
      </c>
      <c r="F77" s="23">
        <f t="shared" si="0"/>
        <v>0.11974936463275516</v>
      </c>
      <c r="G77" s="6">
        <f t="shared" si="1"/>
        <v>-6.5235437346974221</v>
      </c>
      <c r="H77" s="6"/>
      <c r="I77" s="129">
        <f t="shared" ca="1" si="2"/>
        <v>-1602.5131300231442</v>
      </c>
      <c r="J77" s="6"/>
      <c r="K77" s="6">
        <f t="shared" si="3"/>
        <v>-3.0002961031436395</v>
      </c>
      <c r="M77" s="6">
        <f t="shared" si="7"/>
        <v>-5.1806099457742265</v>
      </c>
      <c r="N77" s="6">
        <f t="shared" ca="1" si="8"/>
        <v>-0.16552857396072795</v>
      </c>
      <c r="O77" s="6">
        <f t="shared" ca="1" si="10"/>
        <v>0.11988602313303198</v>
      </c>
      <c r="P77" s="30">
        <f t="shared" si="9"/>
        <v>-3.2724688530988599</v>
      </c>
    </row>
    <row r="78" spans="4:16" x14ac:dyDescent="0.15">
      <c r="D78" s="16">
        <v>1864</v>
      </c>
      <c r="E78" s="19">
        <v>9.338525248371079</v>
      </c>
      <c r="F78" s="23">
        <f t="shared" ref="F78:F141" si="11">F77+E78/1000</f>
        <v>0.12908788988112624</v>
      </c>
      <c r="G78" s="6">
        <f t="shared" ref="G78:G141" si="12" xml:space="preserve"> - LN(F$1/F78 - 1)</f>
        <v>-6.4483366533936097</v>
      </c>
      <c r="H78" s="6"/>
      <c r="I78" s="129">
        <f t="shared" ref="I78:I141" ca="1" si="13" xml:space="preserve"> (G78*(F$2-E$2)/LN(81) + AVERAGE(E$2:F$2) - D78)*12</f>
        <v>-1577.8419932415673</v>
      </c>
      <c r="J78" s="6"/>
      <c r="K78" s="6">
        <f t="shared" ref="K78:K141" si="14">NORMSINV(F78/F$5)</f>
        <v>-2.9773510580633467</v>
      </c>
      <c r="M78" s="6">
        <f t="shared" ref="M78:M109" si="15" xml:space="preserve"> - LN(F$6/F78 - 1)</f>
        <v>-5.1050786643673352</v>
      </c>
      <c r="N78" s="6">
        <f t="shared" ref="N78:N109" ca="1" si="16" xml:space="preserve"> (M78*(F$7-E$7)/LN(81) + AVERAGE(E$7:F$7) - D78)*12</f>
        <v>-1.2650186653918354</v>
      </c>
      <c r="O78" s="6">
        <f t="shared" ca="1" si="10"/>
        <v>0.13021747198834258</v>
      </c>
      <c r="P78" s="30">
        <f t="shared" ref="P78:P109" si="17">NORMSINV(F78/F$10)</f>
        <v>-3.2511809435150965</v>
      </c>
    </row>
    <row r="79" spans="4:16" x14ac:dyDescent="0.15">
      <c r="D79" s="16">
        <v>1865</v>
      </c>
      <c r="E79" s="19">
        <v>10.658080792076786</v>
      </c>
      <c r="F79" s="23">
        <f t="shared" si="11"/>
        <v>0.13974597067320302</v>
      </c>
      <c r="G79" s="6">
        <f t="shared" si="12"/>
        <v>-6.3688731425940501</v>
      </c>
      <c r="H79" s="6"/>
      <c r="I79" s="129">
        <f t="shared" ca="1" si="13"/>
        <v>-1551.0954121596169</v>
      </c>
      <c r="J79" s="6"/>
      <c r="K79" s="6">
        <f t="shared" si="14"/>
        <v>-2.952946424349308</v>
      </c>
      <c r="M79" s="6">
        <f t="shared" si="15"/>
        <v>-5.025244923948808</v>
      </c>
      <c r="N79" s="6">
        <f t="shared" ca="1" si="16"/>
        <v>-1.7435872496780576</v>
      </c>
      <c r="O79" s="6">
        <f t="shared" ca="1" si="10"/>
        <v>0.14143334219217663</v>
      </c>
      <c r="P79" s="30">
        <f t="shared" si="17"/>
        <v>-3.2285590802211246</v>
      </c>
    </row>
    <row r="80" spans="4:16" x14ac:dyDescent="0.15">
      <c r="D80" s="16">
        <v>1866</v>
      </c>
      <c r="E80" s="19">
        <v>11.152867514350369</v>
      </c>
      <c r="F80" s="23">
        <f t="shared" si="11"/>
        <v>0.1508988381875534</v>
      </c>
      <c r="G80" s="6">
        <f t="shared" si="12"/>
        <v>-6.2919529476133507</v>
      </c>
      <c r="H80" s="6"/>
      <c r="I80" s="129">
        <f t="shared" ca="1" si="13"/>
        <v>-1525.5889574149078</v>
      </c>
      <c r="J80" s="6"/>
      <c r="K80" s="6">
        <f t="shared" si="14"/>
        <v>-2.9291624631962279</v>
      </c>
      <c r="M80" s="6">
        <f t="shared" si="15"/>
        <v>-4.947937061411964</v>
      </c>
      <c r="N80" s="6">
        <f t="shared" ca="1" si="16"/>
        <v>-2.5866850245756723</v>
      </c>
      <c r="O80" s="6">
        <f t="shared" ca="1" si="10"/>
        <v>0.15360828256292017</v>
      </c>
      <c r="P80" s="30">
        <f t="shared" si="17"/>
        <v>-3.2065329201881245</v>
      </c>
    </row>
    <row r="81" spans="4:16" x14ac:dyDescent="0.15">
      <c r="D81" s="16">
        <v>1867</v>
      </c>
      <c r="E81" s="19">
        <v>11.665413285109086</v>
      </c>
      <c r="F81" s="23">
        <f t="shared" si="11"/>
        <v>0.16256425147266249</v>
      </c>
      <c r="G81" s="6">
        <f t="shared" si="12"/>
        <v>-6.2173461819319114</v>
      </c>
      <c r="H81" s="6"/>
      <c r="I81" s="129">
        <f t="shared" ca="1" si="13"/>
        <v>-1501.2105358393792</v>
      </c>
      <c r="J81" s="6"/>
      <c r="K81" s="6">
        <f t="shared" si="14"/>
        <v>-2.9059403014761762</v>
      </c>
      <c r="M81" s="6">
        <f t="shared" si="15"/>
        <v>-4.8729245379076298</v>
      </c>
      <c r="N81" s="6">
        <f t="shared" ca="1" si="16"/>
        <v>-3.7610411258456224</v>
      </c>
      <c r="O81" s="6">
        <f t="shared" ca="1" si="10"/>
        <v>0.16682305216604248</v>
      </c>
      <c r="P81" s="30">
        <f t="shared" si="17"/>
        <v>-3.185046748053102</v>
      </c>
    </row>
    <row r="82" spans="4:16" x14ac:dyDescent="0.15">
      <c r="D82" s="16">
        <v>1868</v>
      </c>
      <c r="E82" s="19">
        <v>13.483259098557195</v>
      </c>
      <c r="F82" s="23">
        <f t="shared" si="11"/>
        <v>0.17604751057121967</v>
      </c>
      <c r="G82" s="6">
        <f t="shared" si="12"/>
        <v>-6.1375001518733612</v>
      </c>
      <c r="H82" s="6"/>
      <c r="I82" s="129">
        <f t="shared" ca="1" si="13"/>
        <v>-1474.2774375329209</v>
      </c>
      <c r="J82" s="6"/>
      <c r="K82" s="6">
        <f t="shared" si="14"/>
        <v>-2.8809168010878392</v>
      </c>
      <c r="M82" s="6">
        <f t="shared" si="15"/>
        <v>-4.7926091698900439</v>
      </c>
      <c r="N82" s="6">
        <f t="shared" ca="1" si="16"/>
        <v>-4.1701022647666832</v>
      </c>
      <c r="O82" s="6">
        <f t="shared" ca="1" si="10"/>
        <v>0.18116498624369376</v>
      </c>
      <c r="P82" s="30">
        <f t="shared" si="17"/>
        <v>-3.1619160455714108</v>
      </c>
    </row>
    <row r="83" spans="4:16" x14ac:dyDescent="0.15">
      <c r="D83" s="16">
        <v>1869</v>
      </c>
      <c r="E83" s="19">
        <v>16.499084999862699</v>
      </c>
      <c r="F83" s="23">
        <f t="shared" si="11"/>
        <v>0.19254659557108236</v>
      </c>
      <c r="G83" s="6">
        <f t="shared" si="12"/>
        <v>-6.0477133931944156</v>
      </c>
      <c r="H83" s="6"/>
      <c r="I83" s="129">
        <f t="shared" ca="1" si="13"/>
        <v>-1442.4972182821675</v>
      </c>
      <c r="J83" s="6"/>
      <c r="K83" s="6">
        <f t="shared" si="14"/>
        <v>-2.8525631260969431</v>
      </c>
      <c r="M83" s="6">
        <f t="shared" si="15"/>
        <v>-4.7022475841776457</v>
      </c>
      <c r="N83" s="6">
        <f t="shared" ca="1" si="16"/>
        <v>-3.1293151621885045</v>
      </c>
      <c r="O83" s="6">
        <f t="shared" ca="1" si="10"/>
        <v>0.19672849145184118</v>
      </c>
      <c r="P83" s="30">
        <f t="shared" si="17"/>
        <v>-3.135735305801469</v>
      </c>
    </row>
    <row r="84" spans="4:16" x14ac:dyDescent="0.15">
      <c r="D84" s="16">
        <v>1870</v>
      </c>
      <c r="E84" s="19">
        <v>17.05546230855601</v>
      </c>
      <c r="F84" s="23">
        <f t="shared" si="11"/>
        <v>0.20960205787963837</v>
      </c>
      <c r="G84" s="6">
        <f t="shared" si="12"/>
        <v>-5.9626314464317609</v>
      </c>
      <c r="H84" s="6"/>
      <c r="I84" s="129">
        <f t="shared" ca="1" si="13"/>
        <v>-1413.0110755774376</v>
      </c>
      <c r="J84" s="6"/>
      <c r="K84" s="6">
        <f t="shared" si="14"/>
        <v>-2.8254810404350112</v>
      </c>
      <c r="M84" s="6">
        <f t="shared" si="15"/>
        <v>-4.616570833714416</v>
      </c>
      <c r="N84" s="6">
        <f t="shared" ca="1" si="16"/>
        <v>-2.7646332719477869</v>
      </c>
      <c r="O84" s="6">
        <f t="shared" ca="1" si="10"/>
        <v>0.21361557106698698</v>
      </c>
      <c r="P84" s="30">
        <f t="shared" si="17"/>
        <v>-3.1107572246906887</v>
      </c>
    </row>
    <row r="85" spans="4:16" x14ac:dyDescent="0.15">
      <c r="D85" s="16">
        <v>1871</v>
      </c>
      <c r="E85" s="19">
        <v>20.944048011264623</v>
      </c>
      <c r="F85" s="23">
        <f t="shared" si="11"/>
        <v>0.23054610589090299</v>
      </c>
      <c r="G85" s="6">
        <f t="shared" si="12"/>
        <v>-5.867134201065122</v>
      </c>
      <c r="H85" s="6"/>
      <c r="I85" s="129">
        <f t="shared" ca="1" si="13"/>
        <v>-1378.4464105699362</v>
      </c>
      <c r="J85" s="6"/>
      <c r="K85" s="6">
        <f t="shared" si="14"/>
        <v>-2.7948300162748936</v>
      </c>
      <c r="M85" s="6">
        <f t="shared" si="15"/>
        <v>-4.5203423459997962</v>
      </c>
      <c r="N85" s="6">
        <f t="shared" ca="1" si="16"/>
        <v>-0.877147659604816</v>
      </c>
      <c r="O85" s="6">
        <f t="shared" ca="1" si="10"/>
        <v>0.23193638057672358</v>
      </c>
      <c r="P85" s="30">
        <f t="shared" si="17"/>
        <v>-3.082521743850263</v>
      </c>
    </row>
    <row r="86" spans="4:16" x14ac:dyDescent="0.15">
      <c r="D86" s="16">
        <v>1872</v>
      </c>
      <c r="E86" s="19">
        <v>24.581448774212433</v>
      </c>
      <c r="F86" s="23">
        <f t="shared" si="11"/>
        <v>0.25512755466511544</v>
      </c>
      <c r="G86" s="6">
        <f t="shared" si="12"/>
        <v>-5.7655195428510408</v>
      </c>
      <c r="H86" s="6"/>
      <c r="I86" s="129">
        <f t="shared" ca="1" si="13"/>
        <v>-1340.8988817231675</v>
      </c>
      <c r="J86" s="6"/>
      <c r="K86" s="6">
        <f t="shared" si="14"/>
        <v>-2.7619140196867993</v>
      </c>
      <c r="M86" s="6">
        <f t="shared" si="15"/>
        <v>-4.4178682857590434</v>
      </c>
      <c r="N86" s="6">
        <f t="shared" ca="1" si="16"/>
        <v>1.9116853671821445</v>
      </c>
      <c r="O86" s="6">
        <f t="shared" ca="1" si="10"/>
        <v>0.25180981375320027</v>
      </c>
      <c r="P86" s="30">
        <f t="shared" si="17"/>
        <v>-3.0522411393898654</v>
      </c>
    </row>
    <row r="87" spans="4:16" x14ac:dyDescent="0.15">
      <c r="D87" s="16">
        <v>1873</v>
      </c>
      <c r="E87" s="19">
        <v>27.015322014613094</v>
      </c>
      <c r="F87" s="23">
        <f t="shared" si="11"/>
        <v>0.28214287667972854</v>
      </c>
      <c r="G87" s="6">
        <f t="shared" si="12"/>
        <v>-5.6645376918108648</v>
      </c>
      <c r="H87" s="6"/>
      <c r="I87" s="129">
        <f t="shared" ca="1" si="13"/>
        <v>-1303.6599110338029</v>
      </c>
      <c r="J87" s="6"/>
      <c r="K87" s="6">
        <f t="shared" si="14"/>
        <v>-2.7288873925553174</v>
      </c>
      <c r="M87" s="6">
        <f t="shared" si="15"/>
        <v>-4.315940488780079</v>
      </c>
      <c r="N87" s="6">
        <f t="shared" ca="1" si="16"/>
        <v>4.6216828706337765</v>
      </c>
      <c r="O87" s="6">
        <f t="shared" ca="1" si="10"/>
        <v>0.27336411891433082</v>
      </c>
      <c r="P87" s="30">
        <f t="shared" si="17"/>
        <v>-3.0219027482889529</v>
      </c>
    </row>
    <row r="88" spans="4:16" x14ac:dyDescent="0.15">
      <c r="D88" s="16">
        <v>1874</v>
      </c>
      <c r="E88" s="19">
        <v>24.84308629655628</v>
      </c>
      <c r="F88" s="23">
        <f t="shared" si="11"/>
        <v>0.30698596297628483</v>
      </c>
      <c r="G88" s="6">
        <f t="shared" si="12"/>
        <v>-5.5798439670630353</v>
      </c>
      <c r="H88" s="6"/>
      <c r="I88" s="129">
        <f t="shared" ca="1" si="13"/>
        <v>-1274.3630662297537</v>
      </c>
      <c r="J88" s="6"/>
      <c r="K88" s="6">
        <f t="shared" si="14"/>
        <v>-2.7009394361018901</v>
      </c>
      <c r="M88" s="6">
        <f t="shared" si="15"/>
        <v>-4.2303755335930999</v>
      </c>
      <c r="N88" s="6">
        <f t="shared" ca="1" si="16"/>
        <v>4.9702307102697887</v>
      </c>
      <c r="O88" s="6">
        <f t="shared" ca="1" si="10"/>
        <v>0.29673754459109108</v>
      </c>
      <c r="P88" s="30">
        <f t="shared" si="17"/>
        <v>-2.9962647999343184</v>
      </c>
    </row>
    <row r="89" spans="4:16" x14ac:dyDescent="0.15">
      <c r="D89" s="16">
        <v>1875</v>
      </c>
      <c r="E89" s="19">
        <v>25.98542148678489</v>
      </c>
      <c r="F89" s="23">
        <f t="shared" si="11"/>
        <v>0.33297138446306973</v>
      </c>
      <c r="G89" s="6">
        <f t="shared" si="12"/>
        <v>-5.4982699996944904</v>
      </c>
      <c r="H89" s="6"/>
      <c r="I89" s="129">
        <f t="shared" ca="1" si="13"/>
        <v>-1246.5874219243524</v>
      </c>
      <c r="J89" s="6"/>
      <c r="K89" s="6">
        <f t="shared" si="14"/>
        <v>-2.6738018494065989</v>
      </c>
      <c r="M89" s="6">
        <f t="shared" si="15"/>
        <v>-4.1478888916625527</v>
      </c>
      <c r="N89" s="6">
        <f t="shared" ca="1" si="16"/>
        <v>4.8745230900722163</v>
      </c>
      <c r="O89" s="6">
        <f t="shared" ca="1" si="10"/>
        <v>0.32207901322586086</v>
      </c>
      <c r="P89" s="30">
        <f t="shared" si="17"/>
        <v>-2.9714017026452857</v>
      </c>
    </row>
    <row r="90" spans="4:16" x14ac:dyDescent="0.15">
      <c r="D90" s="16">
        <v>1876</v>
      </c>
      <c r="E90" s="19">
        <v>25.158942622116431</v>
      </c>
      <c r="F90" s="23">
        <f t="shared" si="11"/>
        <v>0.35813032708518616</v>
      </c>
      <c r="G90" s="6">
        <f t="shared" si="12"/>
        <v>-5.425120216779729</v>
      </c>
      <c r="H90" s="6"/>
      <c r="I90" s="129">
        <f t="shared" ca="1" si="13"/>
        <v>-1222.9194283218148</v>
      </c>
      <c r="J90" s="6"/>
      <c r="K90" s="6">
        <f t="shared" si="14"/>
        <v>-2.6492802140760121</v>
      </c>
      <c r="M90" s="6">
        <f t="shared" si="15"/>
        <v>-4.0738541113067939</v>
      </c>
      <c r="N90" s="6">
        <f t="shared" ca="1" si="16"/>
        <v>3.5590612286396208</v>
      </c>
      <c r="O90" s="6">
        <f t="shared" ca="1" si="10"/>
        <v>0.34954882081027716</v>
      </c>
      <c r="P90" s="30">
        <f t="shared" si="17"/>
        <v>-2.9489624531543956</v>
      </c>
    </row>
    <row r="91" spans="4:16" x14ac:dyDescent="0.15">
      <c r="D91" s="16">
        <v>1877</v>
      </c>
      <c r="E91" s="19">
        <v>26.92429509772516</v>
      </c>
      <c r="F91" s="23">
        <f t="shared" si="11"/>
        <v>0.38505462218291131</v>
      </c>
      <c r="G91" s="6">
        <f t="shared" si="12"/>
        <v>-5.3523007904432847</v>
      </c>
      <c r="H91" s="6"/>
      <c r="I91" s="129">
        <f t="shared" ca="1" si="13"/>
        <v>-1199.4125173069797</v>
      </c>
      <c r="J91" s="6"/>
      <c r="K91" s="6">
        <f t="shared" si="14"/>
        <v>-2.6246907096092453</v>
      </c>
      <c r="M91" s="6">
        <f t="shared" si="15"/>
        <v>-4.0000861129341247</v>
      </c>
      <c r="N91" s="6">
        <f t="shared" ca="1" si="16"/>
        <v>2.205097972870135</v>
      </c>
      <c r="O91" s="6">
        <f t="shared" ca="1" si="10"/>
        <v>0.37931935951375045</v>
      </c>
      <c r="P91" s="30">
        <f t="shared" si="17"/>
        <v>-2.9264874326349162</v>
      </c>
    </row>
    <row r="92" spans="4:16" x14ac:dyDescent="0.15">
      <c r="D92" s="16">
        <v>1878</v>
      </c>
      <c r="E92" s="19">
        <v>28.717919078594957</v>
      </c>
      <c r="F92" s="23">
        <f t="shared" si="11"/>
        <v>0.41377254126150625</v>
      </c>
      <c r="G92" s="6">
        <f t="shared" si="12"/>
        <v>-5.2800162124428685</v>
      </c>
      <c r="H92" s="6"/>
      <c r="I92" s="129">
        <f t="shared" ca="1" si="13"/>
        <v>-1176.1663995066683</v>
      </c>
      <c r="J92" s="6"/>
      <c r="K92" s="6">
        <f t="shared" si="14"/>
        <v>-2.6001022613975744</v>
      </c>
      <c r="M92" s="6">
        <f t="shared" si="15"/>
        <v>-3.9267880850212515</v>
      </c>
      <c r="N92" s="6">
        <f t="shared" ca="1" si="16"/>
        <v>0.7833096046697392</v>
      </c>
      <c r="O92" s="6">
        <f t="shared" ca="1" si="10"/>
        <v>0.41157585933658952</v>
      </c>
      <c r="P92" s="30">
        <f t="shared" si="17"/>
        <v>-2.9040401957788768</v>
      </c>
    </row>
    <row r="93" spans="4:16" x14ac:dyDescent="0.15">
      <c r="D93" s="16">
        <v>1879</v>
      </c>
      <c r="E93" s="19">
        <v>31.768479269254712</v>
      </c>
      <c r="F93" s="23">
        <f t="shared" si="11"/>
        <v>0.44554102053076095</v>
      </c>
      <c r="G93" s="6">
        <f t="shared" si="12"/>
        <v>-5.2056522429263277</v>
      </c>
      <c r="H93" s="6"/>
      <c r="I93" s="129">
        <f t="shared" ca="1" si="13"/>
        <v>-1151.9063658703953</v>
      </c>
      <c r="J93" s="6"/>
      <c r="K93" s="6">
        <f t="shared" si="14"/>
        <v>-2.5746162699813566</v>
      </c>
      <c r="M93" s="6">
        <f t="shared" si="15"/>
        <v>-3.8513009778219311</v>
      </c>
      <c r="N93" s="6">
        <f t="shared" ca="1" si="16"/>
        <v>-0.32255561211877648</v>
      </c>
      <c r="O93" s="6">
        <f t="shared" ca="1" si="10"/>
        <v>0.44651714362434364</v>
      </c>
      <c r="P93" s="30">
        <f t="shared" si="17"/>
        <v>-2.8808023692140932</v>
      </c>
    </row>
    <row r="94" spans="4:16" x14ac:dyDescent="0.15">
      <c r="D94" s="16">
        <v>1880</v>
      </c>
      <c r="E94" s="19">
        <v>40.181346773988921</v>
      </c>
      <c r="F94" s="23">
        <f t="shared" si="11"/>
        <v>0.48572236730474988</v>
      </c>
      <c r="G94" s="6">
        <f t="shared" si="12"/>
        <v>-5.1188095306507133</v>
      </c>
      <c r="H94" s="6"/>
      <c r="I94" s="129">
        <f t="shared" ca="1" si="13"/>
        <v>-1121.5616700633946</v>
      </c>
      <c r="J94" s="6"/>
      <c r="K94" s="6">
        <f t="shared" si="14"/>
        <v>-2.5446044406217396</v>
      </c>
      <c r="M94" s="6">
        <f t="shared" si="15"/>
        <v>-3.7630346300477826</v>
      </c>
      <c r="N94" s="6">
        <f t="shared" ca="1" si="16"/>
        <v>0.41585131788360741</v>
      </c>
      <c r="O94" s="6">
        <f t="shared" ca="1" si="10"/>
        <v>0.48435639188142049</v>
      </c>
      <c r="P94" s="30">
        <f t="shared" si="17"/>
        <v>-2.853476216461333</v>
      </c>
    </row>
    <row r="95" spans="4:16" x14ac:dyDescent="0.15">
      <c r="D95" s="16">
        <v>1881</v>
      </c>
      <c r="E95" s="19">
        <v>42.292908162214175</v>
      </c>
      <c r="F95" s="23">
        <f t="shared" si="11"/>
        <v>0.52801527546696403</v>
      </c>
      <c r="G95" s="6">
        <f t="shared" si="12"/>
        <v>-5.0348004155845798</v>
      </c>
      <c r="H95" s="6"/>
      <c r="I95" s="129">
        <f t="shared" ca="1" si="13"/>
        <v>-1092.5986424324656</v>
      </c>
      <c r="J95" s="6"/>
      <c r="K95" s="6">
        <f t="shared" si="14"/>
        <v>-2.5153109935071365</v>
      </c>
      <c r="M95" s="6">
        <f t="shared" si="15"/>
        <v>-3.6775233473173969</v>
      </c>
      <c r="N95" s="6">
        <f t="shared" ca="1" si="16"/>
        <v>0.75665326556736545</v>
      </c>
      <c r="O95" s="6">
        <f t="shared" ca="1" si="10"/>
        <v>0.52532190170099424</v>
      </c>
      <c r="P95" s="30">
        <f t="shared" si="17"/>
        <v>-2.8268448772175541</v>
      </c>
    </row>
    <row r="96" spans="4:16" x14ac:dyDescent="0.15">
      <c r="D96" s="16">
        <v>1882</v>
      </c>
      <c r="E96" s="19">
        <v>47.612353718841909</v>
      </c>
      <c r="F96" s="23">
        <f t="shared" si="11"/>
        <v>0.5756276291858059</v>
      </c>
      <c r="G96" s="6">
        <f t="shared" si="12"/>
        <v>-4.9478776869419354</v>
      </c>
      <c r="H96" s="6"/>
      <c r="I96" s="129">
        <f t="shared" ca="1" si="13"/>
        <v>-1062.2149304704817</v>
      </c>
      <c r="J96" s="6"/>
      <c r="K96" s="6">
        <f t="shared" si="14"/>
        <v>-2.4847254436760284</v>
      </c>
      <c r="M96" s="6">
        <f t="shared" si="15"/>
        <v>-3.5889049299438329</v>
      </c>
      <c r="N96" s="6">
        <f t="shared" ca="1" si="16"/>
        <v>1.545870112801822</v>
      </c>
      <c r="O96" s="6">
        <f t="shared" ca="1" si="10"/>
        <v>0.56965783976380668</v>
      </c>
      <c r="P96" s="30">
        <f t="shared" si="17"/>
        <v>-2.7990826874223784</v>
      </c>
    </row>
    <row r="97" spans="4:16" x14ac:dyDescent="0.15">
      <c r="D97" s="16">
        <v>1883</v>
      </c>
      <c r="E97" s="19">
        <v>52.898285149591729</v>
      </c>
      <c r="F97" s="23">
        <f t="shared" si="11"/>
        <v>0.62852591433539762</v>
      </c>
      <c r="G97" s="6">
        <f t="shared" si="12"/>
        <v>-4.8593088644555138</v>
      </c>
      <c r="H97" s="6"/>
      <c r="I97" s="129">
        <f t="shared" ca="1" si="13"/>
        <v>-1031.0285795620821</v>
      </c>
      <c r="J97" s="6"/>
      <c r="K97" s="6">
        <f t="shared" si="14"/>
        <v>-2.453265212771667</v>
      </c>
      <c r="M97" s="6">
        <f t="shared" si="15"/>
        <v>-3.4984464420025674</v>
      </c>
      <c r="N97" s="6">
        <f t="shared" ca="1" si="16"/>
        <v>2.6006419338473279</v>
      </c>
      <c r="O97" s="6">
        <f t="shared" ca="1" si="10"/>
        <v>0.61762496973135839</v>
      </c>
      <c r="P97" s="30">
        <f t="shared" si="17"/>
        <v>-2.7705742773013755</v>
      </c>
    </row>
    <row r="98" spans="4:16" x14ac:dyDescent="0.15">
      <c r="D98" s="16">
        <v>1884</v>
      </c>
      <c r="E98" s="19">
        <v>56.199188412572852</v>
      </c>
      <c r="F98" s="23">
        <f t="shared" si="11"/>
        <v>0.68472510274797049</v>
      </c>
      <c r="G98" s="6">
        <f t="shared" si="12"/>
        <v>-4.7729749522269715</v>
      </c>
      <c r="H98" s="6"/>
      <c r="I98" s="129">
        <f t="shared" ca="1" si="13"/>
        <v>-1000.9319757671274</v>
      </c>
      <c r="J98" s="6"/>
      <c r="K98" s="6">
        <f t="shared" si="14"/>
        <v>-2.4223051610814217</v>
      </c>
      <c r="M98" s="6">
        <f t="shared" si="15"/>
        <v>-3.4100983150973461</v>
      </c>
      <c r="N98" s="6">
        <f t="shared" ca="1" si="16"/>
        <v>3.3508510498049873</v>
      </c>
      <c r="O98" s="6">
        <f t="shared" ca="1" si="10"/>
        <v>0.66950134245275295</v>
      </c>
      <c r="P98" s="30">
        <f t="shared" si="17"/>
        <v>-2.7425673977933158</v>
      </c>
    </row>
    <row r="99" spans="4:16" x14ac:dyDescent="0.15">
      <c r="D99" s="16">
        <v>1885</v>
      </c>
      <c r="E99" s="19">
        <v>55.541530277866791</v>
      </c>
      <c r="F99" s="23">
        <f t="shared" si="11"/>
        <v>0.74026663302583728</v>
      </c>
      <c r="G99" s="6">
        <f t="shared" si="12"/>
        <v>-4.6942958852765297</v>
      </c>
      <c r="H99" s="6"/>
      <c r="I99" s="129">
        <f t="shared" ca="1" si="13"/>
        <v>-974.56789121595193</v>
      </c>
      <c r="J99" s="6"/>
      <c r="K99" s="6">
        <f t="shared" si="14"/>
        <v>-2.3938320373173747</v>
      </c>
      <c r="M99" s="6">
        <f t="shared" si="15"/>
        <v>-3.3294218533917017</v>
      </c>
      <c r="N99" s="6">
        <f t="shared" ca="1" si="16"/>
        <v>2.9939021649215647</v>
      </c>
      <c r="O99" s="6">
        <f t="shared" ca="1" si="10"/>
        <v>0.72558293120723161</v>
      </c>
      <c r="P99" s="30">
        <f t="shared" si="17"/>
        <v>-2.7168534161225484</v>
      </c>
    </row>
    <row r="100" spans="4:16" x14ac:dyDescent="0.15">
      <c r="D100" s="16">
        <v>1886</v>
      </c>
      <c r="E100" s="19">
        <v>56.481849034099085</v>
      </c>
      <c r="F100" s="23">
        <f t="shared" si="11"/>
        <v>0.79674848205993642</v>
      </c>
      <c r="G100" s="6">
        <f t="shared" si="12"/>
        <v>-4.6200690963578213</v>
      </c>
      <c r="H100" s="6"/>
      <c r="I100" s="129">
        <f t="shared" ca="1" si="13"/>
        <v>-950.37474713821121</v>
      </c>
      <c r="J100" s="6"/>
      <c r="K100" s="6">
        <f t="shared" si="14"/>
        <v>-2.3667396840818622</v>
      </c>
      <c r="M100" s="6">
        <f t="shared" si="15"/>
        <v>-3.2531569318296314</v>
      </c>
      <c r="N100" s="6">
        <f t="shared" ca="1" si="16"/>
        <v>2.0002894216850109</v>
      </c>
      <c r="O100" s="6">
        <f t="shared" ca="1" si="10"/>
        <v>0.7861841917112472</v>
      </c>
      <c r="P100" s="30">
        <f t="shared" si="17"/>
        <v>-2.6924256144744478</v>
      </c>
    </row>
    <row r="101" spans="4:16" x14ac:dyDescent="0.15">
      <c r="D101" s="16">
        <v>1887</v>
      </c>
      <c r="E101" s="19">
        <v>65.873331191712069</v>
      </c>
      <c r="F101" s="23">
        <f t="shared" si="11"/>
        <v>0.86262181325164855</v>
      </c>
      <c r="G101" s="6">
        <f t="shared" si="12"/>
        <v>-4.5398168906508847</v>
      </c>
      <c r="H101" s="6"/>
      <c r="I101" s="129">
        <f t="shared" ca="1" si="13"/>
        <v>-923.24359670020931</v>
      </c>
      <c r="J101" s="6"/>
      <c r="K101" s="6">
        <f t="shared" si="14"/>
        <v>-2.3371911547513293</v>
      </c>
      <c r="M101" s="6">
        <f t="shared" si="15"/>
        <v>-3.1705188333832042</v>
      </c>
      <c r="N101" s="6">
        <f t="shared" ca="1" si="16"/>
        <v>1.9264396757480426</v>
      </c>
      <c r="O101" s="6">
        <f t="shared" ca="1" si="10"/>
        <v>0.85163852333440737</v>
      </c>
      <c r="P101" s="30">
        <f t="shared" si="17"/>
        <v>-2.6658276816738691</v>
      </c>
    </row>
    <row r="102" spans="4:16" x14ac:dyDescent="0.15">
      <c r="D102" s="16">
        <v>1888</v>
      </c>
      <c r="E102" s="19">
        <v>72.355585283797922</v>
      </c>
      <c r="F102" s="23">
        <f t="shared" si="11"/>
        <v>0.93497739853544648</v>
      </c>
      <c r="G102" s="6">
        <f t="shared" si="12"/>
        <v>-4.4583750696130222</v>
      </c>
      <c r="H102" s="6"/>
      <c r="I102" s="129">
        <f t="shared" ca="1" si="13"/>
        <v>-895.53238723370396</v>
      </c>
      <c r="J102" s="6"/>
      <c r="K102" s="6">
        <f t="shared" si="14"/>
        <v>-2.306925985408034</v>
      </c>
      <c r="M102" s="6">
        <f t="shared" si="15"/>
        <v>-3.0864452549467778</v>
      </c>
      <c r="N102" s="6">
        <f t="shared" ca="1" si="16"/>
        <v>2.059755273272458</v>
      </c>
      <c r="O102" s="6">
        <f t="shared" ref="O102:O133" ca="1" si="18">F$6/(1+EXP((AVERAGE(E$7:F$7)-D102)*LN(81)/(F$7-E$7)))</f>
        <v>0.92229860441023537</v>
      </c>
      <c r="P102" s="30">
        <f t="shared" si="17"/>
        <v>-2.6386337794270394</v>
      </c>
    </row>
    <row r="103" spans="4:16" x14ac:dyDescent="0.15">
      <c r="D103" s="16">
        <v>1889</v>
      </c>
      <c r="E103" s="19">
        <v>72.809979605489119</v>
      </c>
      <c r="F103" s="23">
        <f t="shared" si="11"/>
        <v>1.0077873781409357</v>
      </c>
      <c r="G103" s="6">
        <f t="shared" si="12"/>
        <v>-4.3824826608071952</v>
      </c>
      <c r="H103" s="6"/>
      <c r="I103" s="129">
        <f t="shared" ca="1" si="13"/>
        <v>-870.52708326825268</v>
      </c>
      <c r="J103" s="6"/>
      <c r="K103" s="6">
        <f t="shared" si="14"/>
        <v>-2.2784651113984684</v>
      </c>
      <c r="M103" s="6">
        <f t="shared" si="15"/>
        <v>-3.0078927660345065</v>
      </c>
      <c r="N103" s="6">
        <f t="shared" ca="1" si="16"/>
        <v>1.3962792641523265</v>
      </c>
      <c r="O103" s="6">
        <f t="shared" ca="1" si="18"/>
        <v>0.99853657072984892</v>
      </c>
      <c r="P103" s="30">
        <f t="shared" si="17"/>
        <v>-2.6131073784713927</v>
      </c>
    </row>
    <row r="104" spans="4:16" x14ac:dyDescent="0.15">
      <c r="D104" s="16">
        <v>1890</v>
      </c>
      <c r="E104" s="19">
        <v>84.669151221899369</v>
      </c>
      <c r="F104" s="23">
        <f t="shared" si="11"/>
        <v>1.092456529362835</v>
      </c>
      <c r="G104" s="6">
        <f t="shared" si="12"/>
        <v>-4.3007607579647722</v>
      </c>
      <c r="H104" s="6"/>
      <c r="I104" s="129">
        <f t="shared" ca="1" si="13"/>
        <v>-842.67930530331705</v>
      </c>
      <c r="J104" s="6"/>
      <c r="K104" s="6">
        <f t="shared" si="14"/>
        <v>-2.2475339249857953</v>
      </c>
      <c r="M104" s="6">
        <f t="shared" si="15"/>
        <v>-2.9230625158922368</v>
      </c>
      <c r="N104" s="6">
        <f t="shared" ca="1" si="16"/>
        <v>1.6387960730635314</v>
      </c>
      <c r="O104" s="6">
        <f t="shared" ca="1" si="18"/>
        <v>1.0807440023250601</v>
      </c>
      <c r="P104" s="30">
        <f t="shared" si="17"/>
        <v>-2.5854173603961192</v>
      </c>
    </row>
    <row r="105" spans="4:16" x14ac:dyDescent="0.15">
      <c r="D105" s="16">
        <v>1891</v>
      </c>
      <c r="E105" s="19">
        <v>89.501050297669551</v>
      </c>
      <c r="F105" s="23">
        <f t="shared" si="11"/>
        <v>1.1819575796605046</v>
      </c>
      <c r="G105" s="6">
        <f t="shared" si="12"/>
        <v>-4.2209061899220117</v>
      </c>
      <c r="H105" s="6"/>
      <c r="I105" s="129">
        <f t="shared" ca="1" si="13"/>
        <v>-815.74204385714529</v>
      </c>
      <c r="J105" s="6"/>
      <c r="K105" s="6">
        <f t="shared" si="14"/>
        <v>-2.2170188962884039</v>
      </c>
      <c r="M105" s="6">
        <f t="shared" si="15"/>
        <v>-2.8399045298425007</v>
      </c>
      <c r="N105" s="6">
        <f t="shared" ca="1" si="16"/>
        <v>1.6399753729165241</v>
      </c>
      <c r="O105" s="6">
        <f t="shared" ca="1" si="18"/>
        <v>1.1693316795642905</v>
      </c>
      <c r="P105" s="30">
        <f t="shared" si="17"/>
        <v>-2.5581541127283147</v>
      </c>
    </row>
    <row r="106" spans="4:16" x14ac:dyDescent="0.15">
      <c r="D106" s="16">
        <v>1892</v>
      </c>
      <c r="E106" s="19">
        <v>97.327041849910813</v>
      </c>
      <c r="F106" s="23">
        <f t="shared" si="11"/>
        <v>1.2792846215104154</v>
      </c>
      <c r="G106" s="6">
        <f t="shared" si="12"/>
        <v>-4.1405672077007134</v>
      </c>
      <c r="H106" s="6"/>
      <c r="I106" s="129">
        <f t="shared" ca="1" si="13"/>
        <v>-788.56858100158479</v>
      </c>
      <c r="J106" s="6"/>
      <c r="K106" s="6">
        <f t="shared" si="14"/>
        <v>-2.18602270613684</v>
      </c>
      <c r="M106" s="6">
        <f t="shared" si="15"/>
        <v>-2.7559524562358089</v>
      </c>
      <c r="N106" s="6">
        <f t="shared" ca="1" si="16"/>
        <v>1.7557556582405596</v>
      </c>
      <c r="O106" s="6">
        <f t="shared" ca="1" si="18"/>
        <v>1.2647290655144048</v>
      </c>
      <c r="P106" s="30">
        <f t="shared" si="17"/>
        <v>-2.530517347555159</v>
      </c>
    </row>
    <row r="107" spans="4:16" x14ac:dyDescent="0.15">
      <c r="D107" s="16">
        <v>1893</v>
      </c>
      <c r="E107" s="19">
        <v>98.576860288224751</v>
      </c>
      <c r="F107" s="23">
        <f t="shared" si="11"/>
        <v>1.3778614817986401</v>
      </c>
      <c r="G107" s="6">
        <f t="shared" si="12"/>
        <v>-4.0651085818369825</v>
      </c>
      <c r="H107" s="6"/>
      <c r="I107" s="129">
        <f t="shared" ca="1" si="13"/>
        <v>-763.77479054427113</v>
      </c>
      <c r="J107" s="6"/>
      <c r="K107" s="6">
        <f t="shared" si="14"/>
        <v>-2.156633421513479</v>
      </c>
      <c r="M107" s="6">
        <f t="shared" si="15"/>
        <v>-2.6768120079565034</v>
      </c>
      <c r="N107" s="6">
        <f t="shared" ca="1" si="16"/>
        <v>1.1771326634834622</v>
      </c>
      <c r="O107" s="6">
        <f t="shared" ca="1" si="18"/>
        <v>1.3673834676162493</v>
      </c>
      <c r="P107" s="30">
        <f t="shared" si="17"/>
        <v>-2.504366957982552</v>
      </c>
    </row>
    <row r="108" spans="4:16" x14ac:dyDescent="0.15">
      <c r="D108" s="16">
        <v>1894</v>
      </c>
      <c r="E108" s="19">
        <v>89.53435395668761</v>
      </c>
      <c r="F108" s="23">
        <f t="shared" si="11"/>
        <v>1.4673958357553276</v>
      </c>
      <c r="G108" s="6">
        <f t="shared" si="12"/>
        <v>-4.001036175148907</v>
      </c>
      <c r="H108" s="6"/>
      <c r="I108" s="129">
        <f t="shared" ca="1" si="13"/>
        <v>-744.53294537690181</v>
      </c>
      <c r="J108" s="6"/>
      <c r="K108" s="6">
        <f t="shared" si="14"/>
        <v>-2.1314648686255113</v>
      </c>
      <c r="M108" s="6">
        <f t="shared" si="15"/>
        <v>-2.6093758414080757</v>
      </c>
      <c r="N108" s="6">
        <f t="shared" ca="1" si="16"/>
        <v>-1.0906267606251276</v>
      </c>
      <c r="O108" s="6">
        <f t="shared" ca="1" si="18"/>
        <v>1.4777588281772867</v>
      </c>
      <c r="P108" s="30">
        <f t="shared" si="17"/>
        <v>-2.4820145077996512</v>
      </c>
    </row>
    <row r="109" spans="4:16" x14ac:dyDescent="0.15">
      <c r="D109" s="16">
        <v>1895</v>
      </c>
      <c r="E109" s="19">
        <v>103.54619694503543</v>
      </c>
      <c r="F109" s="23">
        <f t="shared" si="11"/>
        <v>1.5709420327003631</v>
      </c>
      <c r="G109" s="6">
        <f t="shared" si="12"/>
        <v>-3.9315580729765678</v>
      </c>
      <c r="H109" s="6"/>
      <c r="I109" s="129">
        <f t="shared" ca="1" si="13"/>
        <v>-722.65527130796909</v>
      </c>
      <c r="J109" s="6"/>
      <c r="K109" s="6">
        <f t="shared" si="14"/>
        <v>-2.103946838129664</v>
      </c>
      <c r="M109" s="6">
        <f t="shared" si="15"/>
        <v>-2.535983969198945</v>
      </c>
      <c r="N109" s="6">
        <f t="shared" ca="1" si="16"/>
        <v>-2.4988717245287262</v>
      </c>
      <c r="O109" s="6">
        <f t="shared" ca="1" si="18"/>
        <v>1.5963340902457432</v>
      </c>
      <c r="P109" s="30">
        <f t="shared" si="17"/>
        <v>-2.4576210856781771</v>
      </c>
    </row>
    <row r="110" spans="4:16" x14ac:dyDescent="0.15">
      <c r="D110" s="16">
        <v>1896</v>
      </c>
      <c r="E110" s="19">
        <v>105.57085094228054</v>
      </c>
      <c r="F110" s="23">
        <f t="shared" si="11"/>
        <v>1.6765128836426437</v>
      </c>
      <c r="G110" s="6">
        <f t="shared" si="12"/>
        <v>-3.8651986481698422</v>
      </c>
      <c r="H110" s="6"/>
      <c r="I110" s="129">
        <f t="shared" ca="1" si="13"/>
        <v>-702.29827112066141</v>
      </c>
      <c r="J110" s="6"/>
      <c r="K110" s="6">
        <f t="shared" si="14"/>
        <v>-2.0774406486414074</v>
      </c>
      <c r="M110" s="6">
        <f t="shared" ref="M110:M141" si="19" xml:space="preserve"> - LN(F$6/F110 - 1)</f>
        <v>-2.4656079211482083</v>
      </c>
      <c r="N110" s="6">
        <f t="shared" ref="N110:N141" ca="1" si="20" xml:space="preserve"> (M110*(F$7-E$7)/LN(81) + AVERAGE(E$7:F$7) - D110)*12</f>
        <v>-4.3423538578408625</v>
      </c>
      <c r="O110" s="6">
        <f t="shared" ca="1" si="18"/>
        <v>1.7236010833947617</v>
      </c>
      <c r="P110" s="30">
        <f t="shared" ref="P110:P141" si="21">NORMSINV(F110/F$10)</f>
        <v>-2.4341705478700928</v>
      </c>
    </row>
    <row r="111" spans="4:16" x14ac:dyDescent="0.15">
      <c r="D111" s="16">
        <v>1897</v>
      </c>
      <c r="E111" s="19">
        <v>112.34278726578611</v>
      </c>
      <c r="F111" s="23">
        <f t="shared" si="11"/>
        <v>1.7888556709084298</v>
      </c>
      <c r="G111" s="6">
        <f t="shared" si="12"/>
        <v>-3.7989330651815498</v>
      </c>
      <c r="H111" s="6"/>
      <c r="I111" s="129">
        <f t="shared" ca="1" si="13"/>
        <v>-681.98702840858277</v>
      </c>
      <c r="J111" s="6"/>
      <c r="K111" s="6">
        <f t="shared" si="14"/>
        <v>-2.0507504156688032</v>
      </c>
      <c r="M111" s="6">
        <f t="shared" si="19"/>
        <v>-2.3950385374730687</v>
      </c>
      <c r="N111" s="6">
        <f t="shared" ca="1" si="20"/>
        <v>-6.1579342152190293</v>
      </c>
      <c r="O111" s="6">
        <f t="shared" ca="1" si="18"/>
        <v>1.8600618731641587</v>
      </c>
      <c r="P111" s="30">
        <f t="shared" si="21"/>
        <v>-2.4106036316882355</v>
      </c>
    </row>
    <row r="112" spans="4:16" x14ac:dyDescent="0.15">
      <c r="D112" s="16">
        <v>1898</v>
      </c>
      <c r="E112" s="18">
        <v>126.64861798433331</v>
      </c>
      <c r="F112" s="23">
        <f t="shared" si="11"/>
        <v>1.9155042888927631</v>
      </c>
      <c r="G112" s="6">
        <f t="shared" si="12"/>
        <v>-3.7289414963239542</v>
      </c>
      <c r="H112" s="6"/>
      <c r="I112" s="129">
        <f t="shared" ca="1" si="13"/>
        <v>-659.85898686465316</v>
      </c>
      <c r="J112" s="6"/>
      <c r="K112" s="6">
        <f t="shared" si="14"/>
        <v>-2.0223149377918923</v>
      </c>
      <c r="M112" s="6">
        <f t="shared" si="19"/>
        <v>-2.3201581608695494</v>
      </c>
      <c r="N112" s="6">
        <f t="shared" ca="1" si="20"/>
        <v>-7.3513614691946714</v>
      </c>
      <c r="O112" s="6">
        <f t="shared" ca="1" si="18"/>
        <v>2.0062255187870051</v>
      </c>
      <c r="P112" s="30">
        <f t="shared" si="21"/>
        <v>-2.3855480120146146</v>
      </c>
    </row>
    <row r="113" spans="4:16" x14ac:dyDescent="0.15">
      <c r="D113" s="16">
        <v>1899</v>
      </c>
      <c r="E113" s="18">
        <v>147.85756212553056</v>
      </c>
      <c r="F113" s="23">
        <f t="shared" si="11"/>
        <v>2.0633618510182936</v>
      </c>
      <c r="G113" s="6">
        <f t="shared" si="12"/>
        <v>-3.6527301149897995</v>
      </c>
      <c r="H113" s="6"/>
      <c r="I113" s="129">
        <f t="shared" ca="1" si="13"/>
        <v>-634.69815119908799</v>
      </c>
      <c r="J113" s="6"/>
      <c r="K113" s="6">
        <f t="shared" si="14"/>
        <v>-1.9910617992456932</v>
      </c>
      <c r="M113" s="6">
        <f t="shared" si="19"/>
        <v>-2.2381890297460951</v>
      </c>
      <c r="N113" s="6">
        <f t="shared" ca="1" si="20"/>
        <v>-7.5217551211317186</v>
      </c>
      <c r="O113" s="6">
        <f t="shared" ca="1" si="18"/>
        <v>2.1626041868215111</v>
      </c>
      <c r="P113" s="30">
        <f t="shared" si="21"/>
        <v>-2.3580732226122301</v>
      </c>
    </row>
    <row r="114" spans="4:16" x14ac:dyDescent="0.15">
      <c r="D114" s="16">
        <v>1900</v>
      </c>
      <c r="E114" s="18">
        <v>162.10845192180781</v>
      </c>
      <c r="F114" s="23">
        <f t="shared" si="11"/>
        <v>2.2254703029401015</v>
      </c>
      <c r="G114" s="6">
        <f t="shared" si="12"/>
        <v>-3.5750599612216449</v>
      </c>
      <c r="H114" s="6"/>
      <c r="I114" s="129">
        <f t="shared" ca="1" si="13"/>
        <v>-608.82601491484365</v>
      </c>
      <c r="J114" s="6"/>
      <c r="K114" s="6">
        <f t="shared" si="14"/>
        <v>-1.9588928177790383</v>
      </c>
      <c r="M114" s="6">
        <f t="shared" si="19"/>
        <v>-2.1541429864625492</v>
      </c>
      <c r="N114" s="6">
        <f t="shared" ca="1" si="20"/>
        <v>-7.3924133368591356</v>
      </c>
      <c r="O114" s="6">
        <f t="shared" ca="1" si="18"/>
        <v>2.329708573904627</v>
      </c>
      <c r="P114" s="30">
        <f t="shared" si="21"/>
        <v>-2.3298644329962293</v>
      </c>
    </row>
    <row r="115" spans="4:16" x14ac:dyDescent="0.15">
      <c r="D115" s="16">
        <v>1901</v>
      </c>
      <c r="E115" s="18">
        <v>170.94765633857102</v>
      </c>
      <c r="F115" s="23">
        <f t="shared" si="11"/>
        <v>2.3964179592786725</v>
      </c>
      <c r="G115" s="6">
        <f t="shared" si="12"/>
        <v>-3.4988989499027499</v>
      </c>
      <c r="H115" s="6"/>
      <c r="I115" s="129">
        <f t="shared" ca="1" si="13"/>
        <v>-583.68973977851783</v>
      </c>
      <c r="J115" s="6"/>
      <c r="K115" s="6">
        <f t="shared" si="14"/>
        <v>-1.9270317215449397</v>
      </c>
      <c r="M115" s="6">
        <f t="shared" si="19"/>
        <v>-2.0711855684305251</v>
      </c>
      <c r="N115" s="6">
        <f t="shared" ca="1" si="20"/>
        <v>-7.420179576171904</v>
      </c>
      <c r="O115" s="6">
        <f t="shared" ca="1" si="18"/>
        <v>2.5080426005483849</v>
      </c>
      <c r="P115" s="30">
        <f t="shared" si="21"/>
        <v>-2.301998426437621</v>
      </c>
    </row>
    <row r="116" spans="4:16" x14ac:dyDescent="0.15">
      <c r="D116" s="16">
        <v>1902</v>
      </c>
      <c r="E116" s="18">
        <v>200.01906539451181</v>
      </c>
      <c r="F116" s="23">
        <f t="shared" si="11"/>
        <v>2.5964370246731843</v>
      </c>
      <c r="G116" s="6">
        <f t="shared" si="12"/>
        <v>-3.4162075096059872</v>
      </c>
      <c r="H116" s="6"/>
      <c r="I116" s="129">
        <f t="shared" ca="1" si="13"/>
        <v>-555.36921323742718</v>
      </c>
      <c r="J116" s="6"/>
      <c r="K116" s="6">
        <f t="shared" si="14"/>
        <v>-1.8920763969262038</v>
      </c>
      <c r="M116" s="6">
        <f t="shared" si="19"/>
        <v>-1.9804450959212088</v>
      </c>
      <c r="N116" s="6">
        <f t="shared" ca="1" si="20"/>
        <v>-6.3247123568653478</v>
      </c>
      <c r="O116" s="6">
        <f t="shared" ca="1" si="18"/>
        <v>2.6980973502084451</v>
      </c>
      <c r="P116" s="30">
        <f t="shared" si="21"/>
        <v>-2.2715115821446417</v>
      </c>
    </row>
    <row r="117" spans="4:16" x14ac:dyDescent="0.15">
      <c r="D117" s="16">
        <v>1903</v>
      </c>
      <c r="E117" s="18">
        <v>216.39024188185095</v>
      </c>
      <c r="F117" s="23">
        <f t="shared" si="11"/>
        <v>2.8128272665550353</v>
      </c>
      <c r="G117" s="6">
        <f t="shared" si="12"/>
        <v>-3.3334171125282741</v>
      </c>
      <c r="H117" s="6"/>
      <c r="I117" s="129">
        <f t="shared" ca="1" si="13"/>
        <v>-527.00043515423658</v>
      </c>
      <c r="J117" s="6"/>
      <c r="K117" s="6">
        <f t="shared" si="14"/>
        <v>-1.8566942619566422</v>
      </c>
      <c r="M117" s="6">
        <f t="shared" si="19"/>
        <v>-1.8888267083600752</v>
      </c>
      <c r="N117" s="6">
        <f t="shared" ca="1" si="20"/>
        <v>-5.1025463507376116</v>
      </c>
      <c r="O117" s="6">
        <f t="shared" ca="1" si="18"/>
        <v>2.900344244212977</v>
      </c>
      <c r="P117" s="30">
        <f t="shared" si="21"/>
        <v>-2.2407458147538994</v>
      </c>
    </row>
    <row r="118" spans="4:16" x14ac:dyDescent="0.15">
      <c r="D118" s="16">
        <v>1904</v>
      </c>
      <c r="E118" s="18">
        <v>213.5651225423787</v>
      </c>
      <c r="F118" s="23">
        <f t="shared" si="11"/>
        <v>3.0263923890974143</v>
      </c>
      <c r="G118" s="6">
        <f t="shared" si="12"/>
        <v>-3.2575239446474469</v>
      </c>
      <c r="H118" s="6"/>
      <c r="I118" s="129">
        <f t="shared" ca="1" si="13"/>
        <v>-501.99476106216207</v>
      </c>
      <c r="J118" s="6"/>
      <c r="K118" s="6">
        <f t="shared" si="14"/>
        <v>-1.8239151921981891</v>
      </c>
      <c r="M118" s="6">
        <f t="shared" si="19"/>
        <v>-1.8040954467013077</v>
      </c>
      <c r="N118" s="6">
        <f t="shared" ca="1" si="20"/>
        <v>-4.8743153440182141</v>
      </c>
      <c r="O118" s="6">
        <f t="shared" ca="1" si="18"/>
        <v>3.1152274638982145</v>
      </c>
      <c r="P118" s="30">
        <f t="shared" si="21"/>
        <v>-2.2123294363902617</v>
      </c>
    </row>
    <row r="119" spans="4:16" x14ac:dyDescent="0.15">
      <c r="D119" s="16">
        <v>1905</v>
      </c>
      <c r="E119" s="18">
        <v>244.2613629719539</v>
      </c>
      <c r="F119" s="23">
        <f t="shared" si="11"/>
        <v>3.2706537520693679</v>
      </c>
      <c r="G119" s="6">
        <f t="shared" si="12"/>
        <v>-3.1767944769091163</v>
      </c>
      <c r="H119" s="6"/>
      <c r="I119" s="129">
        <f t="shared" ca="1" si="13"/>
        <v>-474.63089661730919</v>
      </c>
      <c r="J119" s="6"/>
      <c r="K119" s="6">
        <f t="shared" si="14"/>
        <v>-1.7886790987267078</v>
      </c>
      <c r="M119" s="6">
        <f t="shared" si="19"/>
        <v>-1.7131009640150172</v>
      </c>
      <c r="N119" s="6">
        <f t="shared" ca="1" si="20"/>
        <v>-3.7421899295968615</v>
      </c>
      <c r="O119" s="6">
        <f t="shared" ca="1" si="18"/>
        <v>3.3431556566489644</v>
      </c>
      <c r="P119" s="30">
        <f t="shared" si="21"/>
        <v>-2.1818776384703384</v>
      </c>
    </row>
    <row r="120" spans="4:16" x14ac:dyDescent="0.15">
      <c r="D120" s="16">
        <v>1906</v>
      </c>
      <c r="E120" s="18">
        <v>266.44402206124511</v>
      </c>
      <c r="F120" s="23">
        <f t="shared" si="11"/>
        <v>3.5370977741306131</v>
      </c>
      <c r="G120" s="6">
        <f t="shared" si="12"/>
        <v>-3.095073369247805</v>
      </c>
      <c r="H120" s="6"/>
      <c r="I120" s="129">
        <f t="shared" ca="1" si="13"/>
        <v>-446.78350638441498</v>
      </c>
      <c r="J120" s="6"/>
      <c r="K120" s="6">
        <f t="shared" si="14"/>
        <v>-1.7526170765071145</v>
      </c>
      <c r="M120" s="6">
        <f t="shared" si="19"/>
        <v>-1.6199867299971289</v>
      </c>
      <c r="N120" s="6">
        <f t="shared" ca="1" si="20"/>
        <v>-2.3041466231015875</v>
      </c>
      <c r="O120" s="6">
        <f t="shared" ca="1" si="18"/>
        <v>3.5844929924598721</v>
      </c>
      <c r="P120" s="30">
        <f t="shared" si="21"/>
        <v>-2.1508161941478252</v>
      </c>
    </row>
    <row r="121" spans="4:16" x14ac:dyDescent="0.15">
      <c r="D121" s="16">
        <v>1907</v>
      </c>
      <c r="E121" s="18">
        <v>308.48101159372123</v>
      </c>
      <c r="F121" s="23">
        <f t="shared" si="11"/>
        <v>3.8455787857243342</v>
      </c>
      <c r="G121" s="6">
        <f t="shared" si="12"/>
        <v>-3.0074997049176964</v>
      </c>
      <c r="H121" s="6"/>
      <c r="I121" s="129">
        <f t="shared" ca="1" si="13"/>
        <v>-416.08239676229914</v>
      </c>
      <c r="J121" s="6"/>
      <c r="K121" s="6">
        <f t="shared" si="14"/>
        <v>-1.713525943994691</v>
      </c>
      <c r="M121" s="6">
        <f t="shared" si="19"/>
        <v>-1.5189589051578858</v>
      </c>
      <c r="N121" s="6">
        <f t="shared" ca="1" si="20"/>
        <v>0.27596886268020171</v>
      </c>
      <c r="O121" s="6">
        <f t="shared" ca="1" si="18"/>
        <v>3.8395496717951736</v>
      </c>
      <c r="P121" s="30">
        <f t="shared" si="21"/>
        <v>-2.1172679822044325</v>
      </c>
    </row>
    <row r="122" spans="4:16" x14ac:dyDescent="0.15">
      <c r="D122" s="16">
        <v>1908</v>
      </c>
      <c r="E122" s="18">
        <v>257.31870337064765</v>
      </c>
      <c r="F122" s="23">
        <f t="shared" si="11"/>
        <v>4.1028974890949819</v>
      </c>
      <c r="G122" s="6">
        <f t="shared" si="12"/>
        <v>-2.9394184141836508</v>
      </c>
      <c r="H122" s="6"/>
      <c r="I122" s="129">
        <f t="shared" ca="1" si="13"/>
        <v>-394.88581099547446</v>
      </c>
      <c r="J122" s="6"/>
      <c r="K122" s="6">
        <f t="shared" si="14"/>
        <v>-1.6828117597230279</v>
      </c>
      <c r="M122" s="6">
        <f t="shared" si="19"/>
        <v>-1.4394313447495048</v>
      </c>
      <c r="N122" s="6">
        <f t="shared" ca="1" si="20"/>
        <v>-0.24678695333750511</v>
      </c>
      <c r="O122" s="6">
        <f t="shared" ca="1" si="18"/>
        <v>4.1085720232458796</v>
      </c>
      <c r="P122" s="30">
        <f t="shared" si="21"/>
        <v>-2.0910005590497742</v>
      </c>
    </row>
    <row r="123" spans="4:16" x14ac:dyDescent="0.15">
      <c r="D123" s="16">
        <v>1909</v>
      </c>
      <c r="E123" s="18">
        <v>294.32991665485133</v>
      </c>
      <c r="F123" s="23">
        <f t="shared" si="11"/>
        <v>4.3972274057498328</v>
      </c>
      <c r="G123" s="6">
        <f t="shared" si="12"/>
        <v>-2.8663357781123562</v>
      </c>
      <c r="H123" s="6"/>
      <c r="I123" s="129">
        <f t="shared" ca="1" si="13"/>
        <v>-371.25055834017985</v>
      </c>
      <c r="J123" s="6"/>
      <c r="K123" s="6">
        <f t="shared" si="14"/>
        <v>-1.6495213527922215</v>
      </c>
      <c r="M123" s="6">
        <f t="shared" si="19"/>
        <v>-1.3529981253350332</v>
      </c>
      <c r="N123" s="6">
        <f t="shared" ca="1" si="20"/>
        <v>0.22706688718608348</v>
      </c>
      <c r="O123" s="6">
        <f t="shared" ca="1" si="18"/>
        <v>4.3917323696535018</v>
      </c>
      <c r="P123" s="30">
        <f t="shared" si="21"/>
        <v>-2.0626233532290192</v>
      </c>
    </row>
    <row r="124" spans="4:16" x14ac:dyDescent="0.15">
      <c r="D124" s="16">
        <v>1910</v>
      </c>
      <c r="E124" s="18">
        <v>328.68912866366219</v>
      </c>
      <c r="F124" s="23">
        <f t="shared" si="11"/>
        <v>4.7259165344134946</v>
      </c>
      <c r="G124" s="6">
        <f t="shared" si="12"/>
        <v>-2.7899856384583979</v>
      </c>
      <c r="H124" s="6"/>
      <c r="I124" s="129">
        <f t="shared" ca="1" si="13"/>
        <v>-346.02206381541055</v>
      </c>
      <c r="J124" s="6"/>
      <c r="K124" s="6">
        <f t="shared" si="14"/>
        <v>-1.6143842951817611</v>
      </c>
      <c r="M124" s="6">
        <f t="shared" si="19"/>
        <v>-1.2614017593970424</v>
      </c>
      <c r="N124" s="6">
        <f t="shared" ca="1" si="20"/>
        <v>1.446054780659324</v>
      </c>
      <c r="O124" s="6">
        <f t="shared" ca="1" si="18"/>
        <v>4.6891188824102539</v>
      </c>
      <c r="P124" s="30">
        <f t="shared" si="21"/>
        <v>-2.0327801455771781</v>
      </c>
    </row>
    <row r="125" spans="4:16" x14ac:dyDescent="0.15">
      <c r="D125" s="16">
        <v>1911</v>
      </c>
      <c r="E125" s="18">
        <v>318.5910185390369</v>
      </c>
      <c r="F125" s="23">
        <f t="shared" si="11"/>
        <v>5.0445075529525312</v>
      </c>
      <c r="G125" s="6">
        <f t="shared" si="12"/>
        <v>-2.72059783738522</v>
      </c>
      <c r="H125" s="6"/>
      <c r="I125" s="129">
        <f t="shared" ca="1" si="13"/>
        <v>-324.18842075926932</v>
      </c>
      <c r="J125" s="6"/>
      <c r="K125" s="6">
        <f t="shared" si="14"/>
        <v>-1.5821300926848374</v>
      </c>
      <c r="M125" s="6">
        <f t="shared" si="19"/>
        <v>-1.1768832165089984</v>
      </c>
      <c r="N125" s="6">
        <f t="shared" ca="1" si="20"/>
        <v>1.6435866780184369</v>
      </c>
      <c r="O125" s="6">
        <f t="shared" ca="1" si="18"/>
        <v>5.0007256834992235</v>
      </c>
      <c r="P125" s="30">
        <f t="shared" si="21"/>
        <v>-2.0054856874185054</v>
      </c>
    </row>
    <row r="126" spans="4:16" x14ac:dyDescent="0.15">
      <c r="D126" s="16">
        <v>1912</v>
      </c>
      <c r="E126" s="18">
        <v>355.13347948865737</v>
      </c>
      <c r="F126" s="23">
        <f t="shared" si="11"/>
        <v>5.3996410324411883</v>
      </c>
      <c r="G126" s="6">
        <f t="shared" si="12"/>
        <v>-2.6479198126312706</v>
      </c>
      <c r="H126" s="6"/>
      <c r="I126" s="129">
        <f t="shared" ca="1" si="13"/>
        <v>-300.75045746428896</v>
      </c>
      <c r="J126" s="6"/>
      <c r="K126" s="6">
        <f t="shared" si="14"/>
        <v>-1.5480148648037848</v>
      </c>
      <c r="M126" s="6">
        <f t="shared" si="19"/>
        <v>-1.0869119111115022</v>
      </c>
      <c r="N126" s="6">
        <f t="shared" ca="1" si="20"/>
        <v>2.6280493761851176</v>
      </c>
      <c r="O126" s="6">
        <f t="shared" ca="1" si="18"/>
        <v>5.3264434909971827</v>
      </c>
      <c r="P126" s="30">
        <f t="shared" si="21"/>
        <v>-1.9767234771206781</v>
      </c>
    </row>
    <row r="127" spans="4:16" x14ac:dyDescent="0.15">
      <c r="D127" s="16">
        <v>1913</v>
      </c>
      <c r="E127" s="18">
        <v>380.25870658988339</v>
      </c>
      <c r="F127" s="23">
        <f t="shared" si="11"/>
        <v>5.7798997390310713</v>
      </c>
      <c r="G127" s="6">
        <f t="shared" si="12"/>
        <v>-2.5748676532058652</v>
      </c>
      <c r="H127" s="6"/>
      <c r="I127" s="129">
        <f t="shared" ca="1" si="13"/>
        <v>-277.13006528796268</v>
      </c>
      <c r="J127" s="6"/>
      <c r="K127" s="6">
        <f t="shared" si="14"/>
        <v>-1.5133787963813314</v>
      </c>
      <c r="M127" s="6">
        <f t="shared" si="19"/>
        <v>-0.99482086680169546</v>
      </c>
      <c r="N127" s="6">
        <f t="shared" ca="1" si="20"/>
        <v>3.9184281741008817</v>
      </c>
      <c r="O127" s="6">
        <f t="shared" ca="1" si="18"/>
        <v>5.6660511333562251</v>
      </c>
      <c r="P127" s="30">
        <f t="shared" si="21"/>
        <v>-1.9476376853405255</v>
      </c>
    </row>
    <row r="128" spans="4:16" x14ac:dyDescent="0.15">
      <c r="D128" s="16">
        <v>1914</v>
      </c>
      <c r="E128" s="18">
        <v>333.71592821632214</v>
      </c>
      <c r="F128" s="23">
        <f t="shared" si="11"/>
        <v>6.1136156672473936</v>
      </c>
      <c r="G128" s="6">
        <f t="shared" si="12"/>
        <v>-2.5143284320242119</v>
      </c>
      <c r="H128" s="6"/>
      <c r="I128" s="129">
        <f t="shared" ca="1" si="13"/>
        <v>-259.6110090752336</v>
      </c>
      <c r="J128" s="6"/>
      <c r="K128" s="6">
        <f t="shared" si="14"/>
        <v>-1.4844110218609989</v>
      </c>
      <c r="M128" s="6">
        <f t="shared" si="19"/>
        <v>-0.91710695462440905</v>
      </c>
      <c r="N128" s="6">
        <f t="shared" ca="1" si="20"/>
        <v>3.1339305983055965</v>
      </c>
      <c r="O128" s="6">
        <f t="shared" ca="1" si="18"/>
        <v>6.0192082777197786</v>
      </c>
      <c r="P128" s="30">
        <f t="shared" si="21"/>
        <v>-1.9234034819929007</v>
      </c>
    </row>
    <row r="129" spans="4:16" x14ac:dyDescent="0.15">
      <c r="D129" s="16">
        <v>1915</v>
      </c>
      <c r="E129" s="18">
        <v>352.96215912000395</v>
      </c>
      <c r="F129" s="23">
        <f t="shared" si="11"/>
        <v>6.4665778263673976</v>
      </c>
      <c r="G129" s="6">
        <f t="shared" si="12"/>
        <v>-2.4535171489098473</v>
      </c>
      <c r="H129" s="6"/>
      <c r="I129" s="129">
        <f t="shared" ca="1" si="13"/>
        <v>-241.95929487106787</v>
      </c>
      <c r="J129" s="6"/>
      <c r="K129" s="6">
        <f t="shared" si="14"/>
        <v>-1.4550701232280001</v>
      </c>
      <c r="M129" s="6">
        <f t="shared" si="19"/>
        <v>-0.83763321680644764</v>
      </c>
      <c r="N129" s="6">
        <f t="shared" ca="1" si="20"/>
        <v>2.6034072233478582</v>
      </c>
      <c r="O129" s="6">
        <f t="shared" ca="1" si="18"/>
        <v>6.3854497247172848</v>
      </c>
      <c r="P129" s="30">
        <f t="shared" si="21"/>
        <v>-1.8989442048140093</v>
      </c>
    </row>
    <row r="130" spans="4:16" x14ac:dyDescent="0.15">
      <c r="D130" s="16">
        <v>1916</v>
      </c>
      <c r="E130" s="18">
        <v>401.42586852347546</v>
      </c>
      <c r="F130" s="23">
        <f t="shared" si="11"/>
        <v>6.8680036948908727</v>
      </c>
      <c r="G130" s="6">
        <f t="shared" si="12"/>
        <v>-2.38793836797106</v>
      </c>
      <c r="H130" s="6"/>
      <c r="I130" s="129">
        <f t="shared" ca="1" si="13"/>
        <v>-221.98293833542903</v>
      </c>
      <c r="J130" s="6"/>
      <c r="K130" s="6">
        <f t="shared" si="14"/>
        <v>-1.4231545503295646</v>
      </c>
      <c r="M130" s="6">
        <f t="shared" si="19"/>
        <v>-0.75017656999732951</v>
      </c>
      <c r="N130" s="6">
        <f t="shared" ca="1" si="20"/>
        <v>3.2249598748603603</v>
      </c>
      <c r="O130" s="6">
        <f t="shared" ca="1" si="18"/>
        <v>6.7641816137852668</v>
      </c>
      <c r="P130" s="30">
        <f t="shared" si="21"/>
        <v>-1.8724404097885896</v>
      </c>
    </row>
    <row r="131" spans="4:16" x14ac:dyDescent="0.15">
      <c r="D131" s="16">
        <v>1917</v>
      </c>
      <c r="E131" s="18">
        <v>438.68395308399766</v>
      </c>
      <c r="F131" s="23">
        <f t="shared" si="11"/>
        <v>7.3066876479748704</v>
      </c>
      <c r="G131" s="6">
        <f t="shared" si="12"/>
        <v>-2.3201397444810969</v>
      </c>
      <c r="H131" s="6"/>
      <c r="I131" s="129">
        <f t="shared" ca="1" si="13"/>
        <v>-200.92418173298211</v>
      </c>
      <c r="J131" s="6"/>
      <c r="K131" s="6">
        <f t="shared" si="14"/>
        <v>-1.3898578477445436</v>
      </c>
      <c r="M131" s="6">
        <f t="shared" si="19"/>
        <v>-0.65762922330810414</v>
      </c>
      <c r="N131" s="6">
        <f t="shared" ca="1" si="20"/>
        <v>4.5811912376420878</v>
      </c>
      <c r="O131" s="6">
        <f t="shared" ca="1" si="18"/>
        <v>7.1546798568163803</v>
      </c>
      <c r="P131" s="30">
        <f t="shared" si="21"/>
        <v>-1.844905453444001</v>
      </c>
    </row>
    <row r="132" spans="4:16" x14ac:dyDescent="0.15">
      <c r="D132" s="16">
        <v>1918</v>
      </c>
      <c r="E132" s="18">
        <v>462.73081240543564</v>
      </c>
      <c r="F132" s="23">
        <f t="shared" si="11"/>
        <v>7.7694184603803063</v>
      </c>
      <c r="G132" s="6">
        <f t="shared" si="12"/>
        <v>-2.2524922564779084</v>
      </c>
      <c r="H132" s="6"/>
      <c r="I132" s="129">
        <f t="shared" ca="1" si="13"/>
        <v>-179.93911912333351</v>
      </c>
      <c r="J132" s="6"/>
      <c r="K132" s="6">
        <f t="shared" si="14"/>
        <v>-1.3563294888884478</v>
      </c>
      <c r="M132" s="6">
        <f t="shared" si="19"/>
        <v>-0.56286387386511105</v>
      </c>
      <c r="N132" s="6">
        <f t="shared" ca="1" si="20"/>
        <v>6.2575199236016488</v>
      </c>
      <c r="O132" s="6">
        <f t="shared" ca="1" si="18"/>
        <v>7.5560910724740662</v>
      </c>
      <c r="P132" s="30">
        <f t="shared" si="21"/>
        <v>-1.8173013958345465</v>
      </c>
    </row>
    <row r="133" spans="4:16" x14ac:dyDescent="0.15">
      <c r="D133" s="16">
        <v>1919</v>
      </c>
      <c r="E133" s="18">
        <v>372.63418262487028</v>
      </c>
      <c r="F133" s="23">
        <f t="shared" si="11"/>
        <v>8.1420526430051758</v>
      </c>
      <c r="G133" s="6">
        <f t="shared" si="12"/>
        <v>-2.2005899631881674</v>
      </c>
      <c r="H133" s="6"/>
      <c r="I133" s="129">
        <f t="shared" ca="1" si="13"/>
        <v>-166.63144777764319</v>
      </c>
      <c r="J133" s="6"/>
      <c r="K133" s="6">
        <f t="shared" si="14"/>
        <v>-1.3303973834028153</v>
      </c>
      <c r="M133" s="6">
        <f t="shared" si="19"/>
        <v>-0.4883190207619077</v>
      </c>
      <c r="N133" s="6">
        <f t="shared" ca="1" si="20"/>
        <v>5.0156706493535239</v>
      </c>
      <c r="O133" s="6">
        <f t="shared" ca="1" si="18"/>
        <v>7.9674362286593148</v>
      </c>
      <c r="P133" s="30">
        <f t="shared" si="21"/>
        <v>-1.7960376397675333</v>
      </c>
    </row>
    <row r="134" spans="4:16" x14ac:dyDescent="0.15">
      <c r="D134" s="16">
        <v>1920</v>
      </c>
      <c r="E134" s="18">
        <v>451.05028814409974</v>
      </c>
      <c r="F134" s="23">
        <f t="shared" si="11"/>
        <v>8.593102931149275</v>
      </c>
      <c r="G134" s="6">
        <f t="shared" si="12"/>
        <v>-2.1405188777617257</v>
      </c>
      <c r="H134" s="6"/>
      <c r="I134" s="129">
        <f t="shared" ca="1" si="13"/>
        <v>-149.34065557960366</v>
      </c>
      <c r="J134" s="6"/>
      <c r="K134" s="6">
        <f t="shared" si="14"/>
        <v>-1.300158650679581</v>
      </c>
      <c r="M134" s="6">
        <f t="shared" si="19"/>
        <v>-0.39981502851814921</v>
      </c>
      <c r="N134" s="6">
        <f t="shared" ca="1" si="20"/>
        <v>5.7883739112521653</v>
      </c>
      <c r="O134" s="6">
        <f t="shared" ref="O134:O145" ca="1" si="22">F$6/(1+EXP((AVERAGE(E$7:F$7)-D134)*LN(81)/(F$7-E$7)))</f>
        <v>8.3876171176461689</v>
      </c>
      <c r="P134" s="30">
        <f t="shared" si="21"/>
        <v>-1.7713397407639173</v>
      </c>
    </row>
    <row r="135" spans="4:16" x14ac:dyDescent="0.15">
      <c r="D135" s="16">
        <v>1921</v>
      </c>
      <c r="E135" s="18">
        <v>334.51941357655124</v>
      </c>
      <c r="F135" s="23">
        <f t="shared" si="11"/>
        <v>8.9276223447258261</v>
      </c>
      <c r="G135" s="6">
        <f t="shared" si="12"/>
        <v>-2.0977403706507616</v>
      </c>
      <c r="H135" s="6"/>
      <c r="I135" s="129">
        <f t="shared" ca="1" si="13"/>
        <v>-140.48176226288888</v>
      </c>
      <c r="J135" s="6"/>
      <c r="K135" s="6">
        <f t="shared" si="14"/>
        <v>-1.2784774203373992</v>
      </c>
      <c r="M135" s="6">
        <f t="shared" si="19"/>
        <v>-0.33517858127915529</v>
      </c>
      <c r="N135" s="6">
        <f t="shared" ca="1" si="20"/>
        <v>3.1165650985276443</v>
      </c>
      <c r="O135" s="6">
        <f t="shared" ca="1" si="22"/>
        <v>8.8154256901494712</v>
      </c>
      <c r="P135" s="30">
        <f t="shared" si="21"/>
        <v>-1.7536969860494862</v>
      </c>
    </row>
    <row r="136" spans="4:16" x14ac:dyDescent="0.15">
      <c r="D136" s="16">
        <v>1922</v>
      </c>
      <c r="E136" s="18">
        <v>340.98111267678092</v>
      </c>
      <c r="F136" s="23">
        <f t="shared" si="11"/>
        <v>9.268603457402607</v>
      </c>
      <c r="G136" s="6">
        <f t="shared" si="12"/>
        <v>-2.0555590628323834</v>
      </c>
      <c r="H136" s="6"/>
      <c r="I136" s="129">
        <f t="shared" ca="1" si="13"/>
        <v>-131.91406462302348</v>
      </c>
      <c r="J136" s="6"/>
      <c r="K136" s="6">
        <f t="shared" si="14"/>
        <v>-1.2569790460752828</v>
      </c>
      <c r="M136" s="6">
        <f t="shared" si="19"/>
        <v>-0.26999922694757833</v>
      </c>
      <c r="N136" s="6">
        <f t="shared" ca="1" si="20"/>
        <v>0.52310745411341486</v>
      </c>
      <c r="O136" s="6">
        <f t="shared" ca="1" si="22"/>
        <v>9.2495561654379692</v>
      </c>
      <c r="P136" s="30">
        <f t="shared" si="21"/>
        <v>-1.7362582020312893</v>
      </c>
    </row>
    <row r="137" spans="4:16" x14ac:dyDescent="0.15">
      <c r="D137" s="16">
        <v>1923</v>
      </c>
      <c r="E137" s="18">
        <v>463.50827789293027</v>
      </c>
      <c r="F137" s="23">
        <f t="shared" si="11"/>
        <v>9.732111735295538</v>
      </c>
      <c r="G137" s="6">
        <f t="shared" si="12"/>
        <v>-2.0003381505422384</v>
      </c>
      <c r="H137" s="6"/>
      <c r="I137" s="129">
        <f t="shared" ca="1" si="13"/>
        <v>-116.98822741874392</v>
      </c>
      <c r="J137" s="6"/>
      <c r="K137" s="6">
        <f t="shared" si="14"/>
        <v>-1.2286553764946575</v>
      </c>
      <c r="M137" s="6">
        <f t="shared" si="19"/>
        <v>-0.18227782525072359</v>
      </c>
      <c r="N137" s="6">
        <f t="shared" ca="1" si="20"/>
        <v>1.1828689539761399</v>
      </c>
      <c r="O137" s="6">
        <f t="shared" ca="1" si="22"/>
        <v>9.6886197203052209</v>
      </c>
      <c r="P137" s="30">
        <f t="shared" si="21"/>
        <v>-1.7133683501463495</v>
      </c>
    </row>
    <row r="138" spans="4:16" x14ac:dyDescent="0.15">
      <c r="D138" s="16">
        <v>1924</v>
      </c>
      <c r="E138" s="18">
        <v>392.68534131251909</v>
      </c>
      <c r="F138" s="23">
        <f t="shared" si="11"/>
        <v>10.124797076608058</v>
      </c>
      <c r="G138" s="6">
        <f t="shared" si="12"/>
        <v>-1.9553076738243347</v>
      </c>
      <c r="H138" s="6"/>
      <c r="I138" s="129">
        <f t="shared" ca="1" si="13"/>
        <v>-107.03126881279604</v>
      </c>
      <c r="J138" s="6"/>
      <c r="K138" s="6">
        <f t="shared" si="14"/>
        <v>-1.2054083882955084</v>
      </c>
      <c r="M138" s="6">
        <f t="shared" si="19"/>
        <v>-0.10851679293432531</v>
      </c>
      <c r="N138" s="6">
        <f t="shared" ca="1" si="20"/>
        <v>-0.17209962784909294</v>
      </c>
      <c r="O138" s="6">
        <f t="shared" ca="1" si="22"/>
        <v>10.131161447004184</v>
      </c>
      <c r="P138" s="30">
        <f t="shared" si="21"/>
        <v>-1.6946551163139609</v>
      </c>
    </row>
    <row r="139" spans="4:16" x14ac:dyDescent="0.15">
      <c r="D139" s="16">
        <v>1925</v>
      </c>
      <c r="E139" s="18">
        <v>427.59949455657858</v>
      </c>
      <c r="F139" s="23">
        <f t="shared" si="11"/>
        <v>10.552396571164635</v>
      </c>
      <c r="G139" s="6">
        <f t="shared" si="12"/>
        <v>-1.9079474762239572</v>
      </c>
      <c r="H139" s="6"/>
      <c r="I139" s="129">
        <f t="shared" ca="1" si="13"/>
        <v>-95.938333226185023</v>
      </c>
      <c r="J139" s="6"/>
      <c r="K139" s="6">
        <f t="shared" si="14"/>
        <v>-1.1808137656307731</v>
      </c>
      <c r="M139" s="6">
        <f t="shared" si="19"/>
        <v>-2.8525057738787239E-2</v>
      </c>
      <c r="N139" s="6">
        <f t="shared" ca="1" si="20"/>
        <v>-0.62786675027655292</v>
      </c>
      <c r="O139" s="6">
        <f t="shared" ca="1" si="22"/>
        <v>10.57567916636229</v>
      </c>
      <c r="P139" s="30">
        <f t="shared" si="21"/>
        <v>-1.6749309792668186</v>
      </c>
    </row>
    <row r="140" spans="4:16" x14ac:dyDescent="0.15">
      <c r="D140" s="16">
        <v>1926</v>
      </c>
      <c r="E140" s="18">
        <v>476.55173745790557</v>
      </c>
      <c r="F140" s="23">
        <f t="shared" si="11"/>
        <v>11.028948308622541</v>
      </c>
      <c r="G140" s="6">
        <f t="shared" si="12"/>
        <v>-1.8570533119969006</v>
      </c>
      <c r="H140" s="6"/>
      <c r="I140" s="129">
        <f t="shared" ca="1" si="13"/>
        <v>-83.122227808997195</v>
      </c>
      <c r="J140" s="6"/>
      <c r="K140" s="6">
        <f t="shared" si="14"/>
        <v>-1.1542191855170643</v>
      </c>
      <c r="M140" s="6">
        <f t="shared" si="19"/>
        <v>6.0528274002960021E-2</v>
      </c>
      <c r="N140" s="6">
        <f t="shared" ca="1" si="20"/>
        <v>0.22411599066072085</v>
      </c>
      <c r="O140" s="6">
        <f t="shared" ca="1" si="22"/>
        <v>11.020643594299464</v>
      </c>
      <c r="P140" s="30">
        <f t="shared" si="21"/>
        <v>-1.6536900513333759</v>
      </c>
    </row>
    <row r="141" spans="4:16" x14ac:dyDescent="0.15">
      <c r="D141" s="16">
        <v>1927</v>
      </c>
      <c r="E141" s="18">
        <v>425.97035586979507</v>
      </c>
      <c r="F141" s="23">
        <f t="shared" si="11"/>
        <v>11.454918664492336</v>
      </c>
      <c r="G141" s="6">
        <f t="shared" si="12"/>
        <v>-1.8131090443523405</v>
      </c>
      <c r="H141" s="6"/>
      <c r="I141" s="129">
        <f t="shared" ca="1" si="13"/>
        <v>-73.694907114951093</v>
      </c>
      <c r="J141" s="6"/>
      <c r="K141" s="6">
        <f t="shared" si="14"/>
        <v>-1.1311198407384515</v>
      </c>
      <c r="M141" s="6">
        <f t="shared" si="19"/>
        <v>0.14032253592251895</v>
      </c>
      <c r="N141" s="6">
        <f t="shared" ca="1" si="20"/>
        <v>-0.26015004455348389</v>
      </c>
      <c r="O141" s="6">
        <f t="shared" ca="1" si="22"/>
        <v>11.464519294139835</v>
      </c>
      <c r="P141" s="30">
        <f t="shared" si="21"/>
        <v>-1.635315573182168</v>
      </c>
    </row>
    <row r="142" spans="4:16" x14ac:dyDescent="0.15">
      <c r="D142" s="16">
        <v>1928</v>
      </c>
      <c r="E142" s="18">
        <v>409.65678107757054</v>
      </c>
      <c r="F142" s="23">
        <f t="shared" ref="F142:F205" si="23">F141+E142/1000</f>
        <v>11.864575445569907</v>
      </c>
      <c r="G142" s="6">
        <f t="shared" ref="G142:G205" si="24" xml:space="preserve"> - LN(F$1/F142 - 1)</f>
        <v>-1.7721195486698333</v>
      </c>
      <c r="H142" s="6"/>
      <c r="I142" s="129">
        <f t="shared" ref="I142:I205" ca="1" si="25" xml:space="preserve"> (G142*(F$2-E$2)/LN(81) + AVERAGE(E$2:F$2) - D142)*12</f>
        <v>-65.708339670471105</v>
      </c>
      <c r="J142" s="6"/>
      <c r="K142" s="6">
        <f t="shared" ref="K142:K205" si="26">NORMSINV(F142/F$5)</f>
        <v>-1.1094605552765835</v>
      </c>
      <c r="M142" s="6">
        <f t="shared" ref="M142:M165" si="27" xml:space="preserve"> - LN(F$6/F142 - 1)</f>
        <v>0.21748101755784569</v>
      </c>
      <c r="N142" s="6">
        <f t="shared" ref="N142:N165" ca="1" si="28" xml:space="preserve"> (M142*(F$7-E$7)/LN(81) + AVERAGE(E$7:F$7) - D142)*12</f>
        <v>-1.1248061455753486</v>
      </c>
      <c r="O142" s="6">
        <f t="shared" ca="1" si="22"/>
        <v>11.905785808275223</v>
      </c>
      <c r="P142" s="30">
        <f t="shared" ref="P142:P173" si="29">NORMSINV(F142/F$10)</f>
        <v>-1.6181509216763772</v>
      </c>
    </row>
    <row r="143" spans="4:16" x14ac:dyDescent="0.15">
      <c r="D143" s="16">
        <v>1929</v>
      </c>
      <c r="E143" s="18">
        <v>439.03112905554781</v>
      </c>
      <c r="F143" s="23">
        <f t="shared" si="23"/>
        <v>12.303606574625455</v>
      </c>
      <c r="G143" s="6">
        <f t="shared" si="24"/>
        <v>-1.7294747802484487</v>
      </c>
      <c r="H143" s="6"/>
      <c r="I143" s="129">
        <f t="shared" ca="1" si="25"/>
        <v>-56.914657630318288</v>
      </c>
      <c r="J143" s="6"/>
      <c r="K143" s="6">
        <f t="shared" si="26"/>
        <v>-1.0868116425286893</v>
      </c>
      <c r="M143" s="6">
        <f t="shared" si="27"/>
        <v>0.30090085924379439</v>
      </c>
      <c r="N143" s="6">
        <f t="shared" ca="1" si="28"/>
        <v>-1.0858364110290495</v>
      </c>
      <c r="O143" s="6">
        <f t="shared" ca="1" si="22"/>
        <v>12.342958353813874</v>
      </c>
      <c r="P143" s="30">
        <f t="shared" si="29"/>
        <v>-1.6002697162863937</v>
      </c>
    </row>
    <row r="144" spans="4:16" x14ac:dyDescent="0.15">
      <c r="D144" s="16">
        <v>1930</v>
      </c>
      <c r="E144" s="18">
        <v>384.12502816468424</v>
      </c>
      <c r="F144" s="23">
        <f t="shared" si="23"/>
        <v>12.687731602790139</v>
      </c>
      <c r="G144" s="6">
        <f t="shared" si="24"/>
        <v>-1.6931784957317653</v>
      </c>
      <c r="H144" s="6"/>
      <c r="I144" s="129">
        <f t="shared" ca="1" si="25"/>
        <v>-51.216510180645855</v>
      </c>
      <c r="J144" s="6"/>
      <c r="K144" s="6">
        <f t="shared" si="26"/>
        <v>-1.0674428789941028</v>
      </c>
      <c r="M144" s="6">
        <f t="shared" si="27"/>
        <v>0.37474067971230968</v>
      </c>
      <c r="N144" s="6">
        <f t="shared" ca="1" si="28"/>
        <v>-2.4294344584650389</v>
      </c>
      <c r="O144" s="6">
        <f t="shared" ca="1" si="22"/>
        <v>12.77460748850484</v>
      </c>
      <c r="P144" s="30">
        <f t="shared" si="29"/>
        <v>-1.5850339564915776</v>
      </c>
    </row>
    <row r="145" spans="4:16" x14ac:dyDescent="0.15">
      <c r="D145" s="16">
        <v>1931</v>
      </c>
      <c r="E145" s="18">
        <v>314.99888175872928</v>
      </c>
      <c r="F145" s="23">
        <f t="shared" si="23"/>
        <v>13.002730484548868</v>
      </c>
      <c r="G145" s="6">
        <f t="shared" si="24"/>
        <v>-1.6640776389226759</v>
      </c>
      <c r="H145" s="6"/>
      <c r="I145" s="129">
        <f t="shared" ca="1" si="25"/>
        <v>-49.026868965927861</v>
      </c>
      <c r="J145" s="6"/>
      <c r="K145" s="6">
        <f t="shared" si="26"/>
        <v>-1.0518535058358387</v>
      </c>
      <c r="M145" s="6">
        <f t="shared" si="27"/>
        <v>0.4360465522747532</v>
      </c>
      <c r="N145" s="6">
        <f t="shared" ca="1" si="28"/>
        <v>-5.5819045493608428</v>
      </c>
      <c r="O145" s="6">
        <f t="shared" ca="1" si="22"/>
        <v>13.199377203835231</v>
      </c>
      <c r="P145" s="30">
        <f t="shared" si="29"/>
        <v>-1.5728090127481731</v>
      </c>
    </row>
    <row r="146" spans="4:16" x14ac:dyDescent="0.15">
      <c r="D146" s="16">
        <v>1932</v>
      </c>
      <c r="E146" s="18">
        <v>251.76147108569538</v>
      </c>
      <c r="F146" s="23">
        <f t="shared" si="23"/>
        <v>13.254491955634563</v>
      </c>
      <c r="G146" s="6">
        <f t="shared" si="24"/>
        <v>-1.6412272352117594</v>
      </c>
      <c r="H146" s="6"/>
      <c r="I146" s="129">
        <f t="shared" ca="1" si="25"/>
        <v>-49.88496230673627</v>
      </c>
      <c r="J146" s="6"/>
      <c r="K146" s="6">
        <f t="shared" si="26"/>
        <v>-1.0395751842115768</v>
      </c>
      <c r="M146" s="6">
        <f t="shared" si="27"/>
        <v>0.48562641145800906</v>
      </c>
      <c r="N146" s="6">
        <f t="shared" ca="1" si="28"/>
        <v>-10.426647333728397</v>
      </c>
      <c r="O146" s="6"/>
      <c r="P146" s="30">
        <f t="shared" si="29"/>
        <v>-1.5632046131338981</v>
      </c>
    </row>
    <row r="147" spans="4:16" x14ac:dyDescent="0.15">
      <c r="D147" s="16">
        <v>1933</v>
      </c>
      <c r="E147" s="18">
        <v>275.77651362390543</v>
      </c>
      <c r="F147" s="23">
        <f t="shared" si="23"/>
        <v>13.530268469258468</v>
      </c>
      <c r="G147" s="6">
        <f t="shared" si="24"/>
        <v>-1.6165952639340635</v>
      </c>
      <c r="H147" s="6"/>
      <c r="I147" s="129">
        <f t="shared" ca="1" si="25"/>
        <v>-49.874359418487984</v>
      </c>
      <c r="J147" s="6"/>
      <c r="K147" s="6">
        <f t="shared" si="26"/>
        <v>-1.0263030534111914</v>
      </c>
      <c r="M147" s="6">
        <f t="shared" si="27"/>
        <v>0.5406183047307358</v>
      </c>
      <c r="N147" s="6">
        <f t="shared" ca="1" si="28"/>
        <v>-14.49033715409314</v>
      </c>
      <c r="O147" s="6"/>
      <c r="P147" s="30">
        <f t="shared" si="29"/>
        <v>-1.5528469288250522</v>
      </c>
    </row>
    <row r="148" spans="4:16" x14ac:dyDescent="0.15">
      <c r="D148" s="16">
        <v>1934</v>
      </c>
      <c r="E148" s="18">
        <v>297.72125081434569</v>
      </c>
      <c r="F148" s="23">
        <f t="shared" si="23"/>
        <v>13.827989720072814</v>
      </c>
      <c r="G148" s="6">
        <f t="shared" si="24"/>
        <v>-1.5904507635884135</v>
      </c>
      <c r="H148" s="6"/>
      <c r="I148" s="129">
        <f t="shared" ca="1" si="25"/>
        <v>-49.126244059667442</v>
      </c>
      <c r="J148" s="6"/>
      <c r="K148" s="6">
        <f t="shared" si="26"/>
        <v>-1.0121748108894588</v>
      </c>
      <c r="M148" s="6">
        <f t="shared" si="27"/>
        <v>0.60089858626322556</v>
      </c>
      <c r="N148" s="6">
        <f t="shared" ca="1" si="28"/>
        <v>-17.790818307106747</v>
      </c>
      <c r="O148" s="6"/>
      <c r="P148" s="30">
        <f t="shared" si="29"/>
        <v>-1.5418489058752971</v>
      </c>
    </row>
    <row r="149" spans="4:16" x14ac:dyDescent="0.15">
      <c r="D149" s="16">
        <v>1935</v>
      </c>
      <c r="E149" s="18">
        <v>306.36937944508617</v>
      </c>
      <c r="F149" s="23">
        <f t="shared" si="23"/>
        <v>14.134359099517901</v>
      </c>
      <c r="G149" s="6">
        <f t="shared" si="24"/>
        <v>-1.5640105779783855</v>
      </c>
      <c r="H149" s="6"/>
      <c r="I149" s="129">
        <f t="shared" ca="1" si="25"/>
        <v>-48.233951921393782</v>
      </c>
      <c r="J149" s="6"/>
      <c r="K149" s="6">
        <f t="shared" si="26"/>
        <v>-0.99784405663626397</v>
      </c>
      <c r="M149" s="6">
        <f t="shared" si="27"/>
        <v>0.66405817346208795</v>
      </c>
      <c r="N149" s="6">
        <f t="shared" ca="1" si="28"/>
        <v>-20.675764341935064</v>
      </c>
      <c r="O149" s="6"/>
      <c r="P149" s="30">
        <f t="shared" si="29"/>
        <v>-1.5307228057548179</v>
      </c>
    </row>
    <row r="150" spans="4:16" x14ac:dyDescent="0.15">
      <c r="D150" s="16">
        <v>1936</v>
      </c>
      <c r="E150" s="18">
        <v>361.81540494218461</v>
      </c>
      <c r="F150" s="23">
        <f t="shared" si="23"/>
        <v>14.496174504460086</v>
      </c>
      <c r="G150" s="6">
        <f t="shared" si="24"/>
        <v>-1.5333624423722385</v>
      </c>
      <c r="H150" s="6"/>
      <c r="I150" s="129">
        <f t="shared" ca="1" si="25"/>
        <v>-45.289854192441453</v>
      </c>
      <c r="J150" s="6"/>
      <c r="K150" s="6">
        <f t="shared" si="26"/>
        <v>-0.98117930912043017</v>
      </c>
      <c r="M150" s="6">
        <f t="shared" si="27"/>
        <v>0.74034214385456631</v>
      </c>
      <c r="N150" s="6">
        <f t="shared" ca="1" si="28"/>
        <v>-21.666627999486082</v>
      </c>
      <c r="O150" s="6"/>
      <c r="P150" s="30">
        <f t="shared" si="29"/>
        <v>-1.5178225046550164</v>
      </c>
    </row>
    <row r="151" spans="4:16" x14ac:dyDescent="0.15">
      <c r="D151" s="16">
        <v>1937</v>
      </c>
      <c r="E151" s="18">
        <v>366.54760078620626</v>
      </c>
      <c r="F151" s="23">
        <f t="shared" si="23"/>
        <v>14.862722105246291</v>
      </c>
      <c r="G151" s="6">
        <f t="shared" si="24"/>
        <v>-1.5029191788932272</v>
      </c>
      <c r="H151" s="6"/>
      <c r="I151" s="129">
        <f t="shared" ca="1" si="25"/>
        <v>-42.445652559265909</v>
      </c>
      <c r="J151" s="6"/>
      <c r="K151" s="6">
        <f t="shared" si="26"/>
        <v>-0.96456995536200318</v>
      </c>
      <c r="M151" s="6">
        <f t="shared" si="27"/>
        <v>0.81978619561439681</v>
      </c>
      <c r="N151" s="6">
        <f t="shared" ca="1" si="28"/>
        <v>-22.20143560165161</v>
      </c>
      <c r="O151" s="6"/>
      <c r="P151" s="30">
        <f t="shared" si="29"/>
        <v>-1.5050060701863697</v>
      </c>
    </row>
    <row r="152" spans="4:16" x14ac:dyDescent="0.15">
      <c r="D152" s="16">
        <v>1938</v>
      </c>
      <c r="E152" s="18">
        <v>285.78389892416141</v>
      </c>
      <c r="F152" s="23">
        <f t="shared" si="23"/>
        <v>15.148506004170454</v>
      </c>
      <c r="G152" s="6">
        <f t="shared" si="24"/>
        <v>-1.479586402173388</v>
      </c>
      <c r="H152" s="6"/>
      <c r="I152" s="129">
        <f t="shared" ca="1" si="25"/>
        <v>-43.068539769436939</v>
      </c>
      <c r="J152" s="6"/>
      <c r="K152" s="6">
        <f t="shared" si="26"/>
        <v>-0.95180260143034445</v>
      </c>
      <c r="M152" s="6">
        <f t="shared" si="27"/>
        <v>0.88346152194314942</v>
      </c>
      <c r="N152" s="6">
        <f t="shared" ca="1" si="28"/>
        <v>-25.011951289329772</v>
      </c>
      <c r="O152" s="6"/>
      <c r="P152" s="30">
        <f t="shared" si="29"/>
        <v>-1.4951824041696495</v>
      </c>
    </row>
    <row r="153" spans="4:16" x14ac:dyDescent="0.15">
      <c r="D153" s="16">
        <v>1939</v>
      </c>
      <c r="E153" s="18">
        <v>326.15798435380293</v>
      </c>
      <c r="F153" s="23">
        <f t="shared" si="23"/>
        <v>15.474663988524256</v>
      </c>
      <c r="G153" s="6">
        <f t="shared" si="24"/>
        <v>-1.4533689232543672</v>
      </c>
      <c r="H153" s="6"/>
      <c r="I153" s="129">
        <f t="shared" ca="1" si="25"/>
        <v>-42.284839899159124</v>
      </c>
      <c r="J153" s="6"/>
      <c r="K153" s="6">
        <f t="shared" si="26"/>
        <v>-0.93741852417777516</v>
      </c>
      <c r="M153" s="6">
        <f t="shared" si="27"/>
        <v>0.95825770029749668</v>
      </c>
      <c r="N153" s="6">
        <f t="shared" ca="1" si="28"/>
        <v>-26.217529851110157</v>
      </c>
      <c r="O153" s="6"/>
      <c r="P153" s="30">
        <f t="shared" si="29"/>
        <v>-1.4841443771511629</v>
      </c>
    </row>
    <row r="154" spans="4:16" x14ac:dyDescent="0.15">
      <c r="D154" s="16">
        <v>1940</v>
      </c>
      <c r="E154" s="18">
        <v>383.55194686335932</v>
      </c>
      <c r="F154" s="23">
        <f t="shared" si="23"/>
        <v>15.858215935387616</v>
      </c>
      <c r="G154" s="6">
        <f t="shared" si="24"/>
        <v>-1.4230739952838611</v>
      </c>
      <c r="H154" s="6"/>
      <c r="I154" s="129">
        <f t="shared" ca="1" si="25"/>
        <v>-39.512966983274964</v>
      </c>
      <c r="J154" s="6"/>
      <c r="K154" s="6">
        <f t="shared" si="26"/>
        <v>-0.92074755587216806</v>
      </c>
      <c r="M154" s="6">
        <f t="shared" si="27"/>
        <v>1.0495440566270224</v>
      </c>
      <c r="N154" s="6">
        <f t="shared" ca="1" si="28"/>
        <v>-25.043281868653139</v>
      </c>
      <c r="O154" s="6"/>
      <c r="P154" s="30">
        <f t="shared" si="29"/>
        <v>-1.4713911046401782</v>
      </c>
    </row>
    <row r="155" spans="4:16" x14ac:dyDescent="0.15">
      <c r="D155" s="16">
        <v>1941</v>
      </c>
      <c r="E155" s="18">
        <v>429.67552877598621</v>
      </c>
      <c r="F155" s="23">
        <f t="shared" si="23"/>
        <v>16.287891464163604</v>
      </c>
      <c r="G155" s="6">
        <f t="shared" si="24"/>
        <v>-1.3897892354370425</v>
      </c>
      <c r="H155" s="6"/>
      <c r="I155" s="129">
        <f t="shared" ca="1" si="25"/>
        <v>-35.283245527208237</v>
      </c>
      <c r="J155" s="6"/>
      <c r="K155" s="6">
        <f t="shared" si="26"/>
        <v>-0.90237060552169523</v>
      </c>
      <c r="M155" s="6">
        <f t="shared" si="27"/>
        <v>1.1568294219509909</v>
      </c>
      <c r="N155" s="6">
        <f t="shared" ca="1" si="28"/>
        <v>-21.560091778726019</v>
      </c>
      <c r="O155" s="6"/>
      <c r="P155" s="30">
        <f t="shared" si="29"/>
        <v>-1.4573826983978373</v>
      </c>
    </row>
    <row r="156" spans="4:16" x14ac:dyDescent="0.15">
      <c r="D156" s="16">
        <v>1942</v>
      </c>
      <c r="E156" s="18">
        <v>485.34040261276101</v>
      </c>
      <c r="F156" s="23">
        <f t="shared" si="23"/>
        <v>16.773231866776364</v>
      </c>
      <c r="G156" s="6">
        <f t="shared" si="24"/>
        <v>-1.3529758313939613</v>
      </c>
      <c r="H156" s="6"/>
      <c r="I156" s="129">
        <f t="shared" ca="1" si="25"/>
        <v>-29.332949469236155</v>
      </c>
      <c r="J156" s="6"/>
      <c r="K156" s="6">
        <f t="shared" si="26"/>
        <v>-0.88197267108191679</v>
      </c>
      <c r="M156" s="6">
        <f t="shared" si="27"/>
        <v>1.2857375358044127</v>
      </c>
      <c r="N156" s="6">
        <f t="shared" ca="1" si="28"/>
        <v>-14.95635374885569</v>
      </c>
      <c r="O156" s="6"/>
      <c r="P156" s="30">
        <f t="shared" si="29"/>
        <v>-1.4418958890162881</v>
      </c>
    </row>
    <row r="157" spans="4:16" x14ac:dyDescent="0.15">
      <c r="D157" s="16">
        <v>1943</v>
      </c>
      <c r="E157" s="18">
        <v>489.16619752363789</v>
      </c>
      <c r="F157" s="23">
        <f t="shared" si="23"/>
        <v>17.262398064300001</v>
      </c>
      <c r="G157" s="6">
        <f t="shared" si="24"/>
        <v>-1.3166630494575584</v>
      </c>
      <c r="H157" s="6"/>
      <c r="I157" s="23">
        <f t="shared" ca="1" si="25"/>
        <v>-23.626757841748258</v>
      </c>
      <c r="J157" s="6"/>
      <c r="K157" s="6">
        <f t="shared" si="26"/>
        <v>-0.8617786925986084</v>
      </c>
      <c r="M157" s="6">
        <f t="shared" si="27"/>
        <v>1.4259677187178079</v>
      </c>
      <c r="N157" s="6">
        <f t="shared" ca="1" si="28"/>
        <v>-6.7186393892425258</v>
      </c>
      <c r="O157" s="6"/>
      <c r="P157" s="30">
        <f t="shared" si="29"/>
        <v>-1.4266292693227265</v>
      </c>
    </row>
    <row r="158" spans="4:16" x14ac:dyDescent="0.15">
      <c r="D158" s="16">
        <v>1944</v>
      </c>
      <c r="E158" s="18">
        <v>514.29042762883387</v>
      </c>
      <c r="F158" s="23">
        <f t="shared" si="23"/>
        <v>17.776688491928834</v>
      </c>
      <c r="G158" s="6">
        <f t="shared" si="24"/>
        <v>-1.2792884095736106</v>
      </c>
      <c r="H158" s="6"/>
      <c r="I158" s="23">
        <f t="shared" ca="1" si="25"/>
        <v>-17.40280196437925</v>
      </c>
      <c r="J158" s="6"/>
      <c r="K158" s="6">
        <f t="shared" si="26"/>
        <v>-0.84091969617206885</v>
      </c>
      <c r="M158" s="6">
        <f t="shared" si="27"/>
        <v>1.5877062847378589</v>
      </c>
      <c r="N158" s="6">
        <f t="shared" ca="1" si="28"/>
        <v>4.6231179417627573</v>
      </c>
      <c r="O158" s="6"/>
      <c r="P158" s="30">
        <f t="shared" si="29"/>
        <v>-1.4109291692278956</v>
      </c>
    </row>
    <row r="159" spans="4:16" x14ac:dyDescent="0.15">
      <c r="D159" s="16">
        <v>1945</v>
      </c>
      <c r="E159" s="18">
        <v>479.38907929739014</v>
      </c>
      <c r="F159" s="23">
        <f t="shared" si="23"/>
        <v>18.256077571226225</v>
      </c>
      <c r="G159" s="6">
        <f t="shared" si="24"/>
        <v>-1.2451467907793199</v>
      </c>
      <c r="H159" s="6"/>
      <c r="I159" s="23">
        <f t="shared" ca="1" si="25"/>
        <v>-12.755274217725855</v>
      </c>
      <c r="J159" s="6"/>
      <c r="K159" s="6">
        <f t="shared" si="26"/>
        <v>-0.82180052522407154</v>
      </c>
      <c r="M159" s="6">
        <f t="shared" si="27"/>
        <v>1.755808311181734</v>
      </c>
      <c r="N159" s="6">
        <f t="shared" ca="1" si="28"/>
        <v>16.883236011666668</v>
      </c>
      <c r="O159" s="6"/>
      <c r="P159" s="30">
        <f t="shared" si="29"/>
        <v>-1.3966013250552425</v>
      </c>
    </row>
    <row r="160" spans="4:16" x14ac:dyDescent="0.15">
      <c r="D160" s="16">
        <v>1946</v>
      </c>
      <c r="E160" s="18">
        <v>448.22518876269174</v>
      </c>
      <c r="F160" s="23">
        <f t="shared" si="23"/>
        <v>18.704302759988916</v>
      </c>
      <c r="G160" s="6">
        <f t="shared" si="24"/>
        <v>-1.2137976225184983</v>
      </c>
      <c r="H160" s="6"/>
      <c r="I160" s="23">
        <f t="shared" ca="1" si="25"/>
        <v>-9.4693514382315698</v>
      </c>
      <c r="J160" s="6"/>
      <c r="K160" s="6">
        <f t="shared" si="26"/>
        <v>-0.80419212391684414</v>
      </c>
      <c r="M160" s="6">
        <f t="shared" si="27"/>
        <v>1.9333440191462485</v>
      </c>
      <c r="N160" s="6">
        <f t="shared" ca="1" si="28"/>
        <v>30.504802437463695</v>
      </c>
      <c r="O160" s="6"/>
      <c r="P160" s="30">
        <f t="shared" si="29"/>
        <v>-1.3834594538575975</v>
      </c>
    </row>
    <row r="161" spans="4:16" x14ac:dyDescent="0.15">
      <c r="D161" s="16">
        <v>1947</v>
      </c>
      <c r="E161" s="18">
        <v>534.98197074653979</v>
      </c>
      <c r="F161" s="23">
        <f t="shared" si="23"/>
        <v>19.239284730735456</v>
      </c>
      <c r="G161" s="6">
        <f t="shared" si="24"/>
        <v>-1.1770639087956127</v>
      </c>
      <c r="H161" s="6"/>
      <c r="I161" s="23">
        <f t="shared" ca="1" si="25"/>
        <v>-3.557912554097129</v>
      </c>
      <c r="J161" s="23">
        <f t="shared" ref="J161:J224" ca="1" si="30">F$1/(1+EXP((AVERAGE(E$2:F$2)-D161)*LN(81)/(F$2-E$2)))</f>
        <v>19.346804198299143</v>
      </c>
      <c r="K161" s="6">
        <f t="shared" si="26"/>
        <v>-0.78349637164148889</v>
      </c>
      <c r="M161" s="6">
        <f t="shared" si="27"/>
        <v>2.1818352984477163</v>
      </c>
      <c r="N161" s="6">
        <f t="shared" ca="1" si="28"/>
        <v>54.36652226751994</v>
      </c>
      <c r="O161" s="6"/>
      <c r="P161" s="30">
        <f t="shared" si="29"/>
        <v>-1.368080227050525</v>
      </c>
    </row>
    <row r="162" spans="4:16" x14ac:dyDescent="0.15">
      <c r="D162" s="16">
        <v>1948</v>
      </c>
      <c r="E162" s="18">
        <v>506.47343353485144</v>
      </c>
      <c r="F162" s="23">
        <f t="shared" si="23"/>
        <v>19.745758164270306</v>
      </c>
      <c r="G162" s="6">
        <f t="shared" si="24"/>
        <v>-1.1429335105907346</v>
      </c>
      <c r="H162" s="6"/>
      <c r="I162" s="23">
        <f t="shared" ca="1" si="25"/>
        <v>1.0841440086978764</v>
      </c>
      <c r="J162" s="23">
        <f t="shared" ca="1" si="30"/>
        <v>19.71248916834428</v>
      </c>
      <c r="K162" s="6">
        <f t="shared" si="26"/>
        <v>-0.76420811932567656</v>
      </c>
      <c r="M162" s="6">
        <f t="shared" si="27"/>
        <v>2.4734878460577945</v>
      </c>
      <c r="N162" s="6">
        <f t="shared" ca="1" si="28"/>
        <v>84.457182267805365</v>
      </c>
      <c r="O162" s="6"/>
      <c r="P162" s="30">
        <f t="shared" si="29"/>
        <v>-1.3538128656521971</v>
      </c>
    </row>
    <row r="163" spans="4:16" x14ac:dyDescent="0.15">
      <c r="D163" s="16">
        <v>1949</v>
      </c>
      <c r="E163" s="18">
        <v>364.23195186122149</v>
      </c>
      <c r="F163" s="23">
        <f t="shared" si="23"/>
        <v>20.109990116131527</v>
      </c>
      <c r="G163" s="6">
        <f t="shared" si="24"/>
        <v>-1.1187559936868037</v>
      </c>
      <c r="H163" s="6"/>
      <c r="I163" s="23">
        <f t="shared" ca="1" si="25"/>
        <v>0.87315395367113524</v>
      </c>
      <c r="J163" s="23">
        <f t="shared" ca="1" si="30"/>
        <v>20.082858760189488</v>
      </c>
      <c r="K163" s="6">
        <f t="shared" si="26"/>
        <v>-0.75051100107998214</v>
      </c>
      <c r="M163" s="6">
        <f t="shared" si="27"/>
        <v>2.7387409214554896</v>
      </c>
      <c r="N163" s="6">
        <f t="shared" ca="1" si="28"/>
        <v>110.73792797732494</v>
      </c>
      <c r="O163" s="6"/>
      <c r="P163" s="30">
        <f t="shared" si="29"/>
        <v>-1.3437203390806132</v>
      </c>
    </row>
    <row r="164" spans="4:16" x14ac:dyDescent="0.15">
      <c r="D164" s="16">
        <v>1950</v>
      </c>
      <c r="E164" s="18">
        <v>435.7181094331691</v>
      </c>
      <c r="F164" s="23">
        <f t="shared" si="23"/>
        <v>20.545708225564695</v>
      </c>
      <c r="G164" s="6">
        <f t="shared" si="24"/>
        <v>-1.0902172405536528</v>
      </c>
      <c r="H164" s="6"/>
      <c r="I164" s="23">
        <f t="shared" ca="1" si="25"/>
        <v>2.7887121907169785</v>
      </c>
      <c r="J164" s="23">
        <f t="shared" ca="1" si="30"/>
        <v>20.457889263939126</v>
      </c>
      <c r="K164" s="6">
        <f t="shared" si="26"/>
        <v>-0.73430825212687334</v>
      </c>
      <c r="M164" s="6">
        <f t="shared" si="27"/>
        <v>3.168340628383346</v>
      </c>
      <c r="N164" s="6">
        <f t="shared" ca="1" si="28"/>
        <v>160.73682134786668</v>
      </c>
      <c r="O164" s="6"/>
      <c r="P164" s="30">
        <f t="shared" si="29"/>
        <v>-1.3318240067204745</v>
      </c>
    </row>
    <row r="165" spans="4:16" x14ac:dyDescent="0.15">
      <c r="D165" s="16">
        <v>1951</v>
      </c>
      <c r="E165" s="18">
        <v>452.71512273606265</v>
      </c>
      <c r="F165" s="23">
        <f t="shared" si="23"/>
        <v>20.998423348300758</v>
      </c>
      <c r="G165" s="6">
        <f t="shared" si="24"/>
        <v>-1.0609876268720597</v>
      </c>
      <c r="H165" s="6"/>
      <c r="I165" s="23">
        <f t="shared" ca="1" si="25"/>
        <v>5.0411355371325044</v>
      </c>
      <c r="J165" s="23">
        <f t="shared" ca="1" si="30"/>
        <v>20.837553511290544</v>
      </c>
      <c r="K165" s="6">
        <f t="shared" si="26"/>
        <v>-0.71767514741885519</v>
      </c>
      <c r="M165" s="6">
        <f t="shared" si="27"/>
        <v>3.9318791418960388</v>
      </c>
      <c r="N165" s="6">
        <f t="shared" ca="1" si="28"/>
        <v>258.92903544898763</v>
      </c>
      <c r="O165" s="6"/>
      <c r="P165" s="30">
        <f t="shared" si="29"/>
        <v>-1.3196600589976919</v>
      </c>
    </row>
    <row r="166" spans="4:16" x14ac:dyDescent="0.15">
      <c r="D166" s="16">
        <v>1952</v>
      </c>
      <c r="E166" s="18">
        <v>393.87421326557921</v>
      </c>
      <c r="F166" s="23">
        <f t="shared" si="23"/>
        <v>21.392297561566338</v>
      </c>
      <c r="G166" s="6">
        <f t="shared" si="24"/>
        <v>-1.0358907185328663</v>
      </c>
      <c r="H166" s="30"/>
      <c r="I166" s="23">
        <f t="shared" ca="1" si="25"/>
        <v>5.2784427500464517</v>
      </c>
      <c r="J166" s="23">
        <f t="shared" ca="1" si="30"/>
        <v>21.221820817850045</v>
      </c>
      <c r="K166" s="6">
        <f t="shared" si="26"/>
        <v>-0.7033638494832456</v>
      </c>
      <c r="N166" s="6"/>
      <c r="O166" s="23"/>
      <c r="P166" s="30">
        <f t="shared" si="29"/>
        <v>-1.3092337144837061</v>
      </c>
    </row>
    <row r="167" spans="4:16" x14ac:dyDescent="0.15">
      <c r="D167" s="16">
        <v>1953</v>
      </c>
      <c r="E167" s="18">
        <v>387.09845043683714</v>
      </c>
      <c r="F167" s="23">
        <f t="shared" si="23"/>
        <v>21.779396012003176</v>
      </c>
      <c r="G167" s="6">
        <f t="shared" si="24"/>
        <v>-1.0115143734257581</v>
      </c>
      <c r="H167" s="30"/>
      <c r="I167" s="23">
        <f t="shared" ca="1" si="25"/>
        <v>5.1644017602984604</v>
      </c>
      <c r="J167" s="23">
        <f t="shared" ca="1" si="30"/>
        <v>21.610656929570631</v>
      </c>
      <c r="K167" s="6">
        <f t="shared" si="26"/>
        <v>-0.68943775004610552</v>
      </c>
      <c r="N167" s="6"/>
      <c r="O167" s="23"/>
      <c r="P167" s="30">
        <f t="shared" si="29"/>
        <v>-1.2991235717557883</v>
      </c>
    </row>
    <row r="168" spans="4:16" x14ac:dyDescent="0.15">
      <c r="D168" s="16">
        <v>1954</v>
      </c>
      <c r="E168" s="18">
        <v>332.32898608288792</v>
      </c>
      <c r="F168" s="23">
        <f t="shared" si="23"/>
        <v>22.111724998086064</v>
      </c>
      <c r="G168" s="6">
        <f t="shared" si="24"/>
        <v>-0.99080613428819497</v>
      </c>
      <c r="H168" s="30"/>
      <c r="I168" s="23">
        <f t="shared" ca="1" si="25"/>
        <v>3.2617843039906802</v>
      </c>
      <c r="J168" s="23">
        <f t="shared" ca="1" si="30"/>
        <v>22.004023973579017</v>
      </c>
      <c r="K168" s="6">
        <f t="shared" si="26"/>
        <v>-0.67758786838207308</v>
      </c>
      <c r="N168" s="6"/>
      <c r="O168" s="23"/>
      <c r="P168" s="30">
        <f t="shared" si="29"/>
        <v>-1.2905486171664633</v>
      </c>
    </row>
    <row r="169" spans="4:16" x14ac:dyDescent="0.15">
      <c r="D169" s="16">
        <v>1955</v>
      </c>
      <c r="E169" s="18">
        <v>397.35870985484127</v>
      </c>
      <c r="F169" s="23">
        <f t="shared" si="23"/>
        <v>22.509083707940906</v>
      </c>
      <c r="G169" s="6">
        <f t="shared" si="24"/>
        <v>-0.96630080193292145</v>
      </c>
      <c r="H169" s="30"/>
      <c r="I169" s="23">
        <f t="shared" ca="1" si="25"/>
        <v>3.2106377776144654</v>
      </c>
      <c r="J169" s="23">
        <f t="shared" ca="1" si="30"/>
        <v>22.401880413655896</v>
      </c>
      <c r="K169" s="6">
        <f t="shared" si="26"/>
        <v>-0.66354285542207592</v>
      </c>
      <c r="M169" s="30"/>
      <c r="N169" s="6"/>
      <c r="O169" s="23"/>
      <c r="P169" s="30">
        <f t="shared" si="29"/>
        <v>-1.280418702761094</v>
      </c>
    </row>
    <row r="170" spans="4:16" x14ac:dyDescent="0.15">
      <c r="D170" s="16">
        <v>1956</v>
      </c>
      <c r="E170" s="18">
        <v>431.00437752017621</v>
      </c>
      <c r="F170" s="23">
        <f t="shared" si="23"/>
        <v>22.940088085461081</v>
      </c>
      <c r="G170" s="6">
        <f t="shared" si="24"/>
        <v>-0.94002153845607395</v>
      </c>
      <c r="H170" s="30"/>
      <c r="I170" s="23">
        <f t="shared" ca="1" si="25"/>
        <v>4.024463932969411</v>
      </c>
      <c r="J170" s="23">
        <f t="shared" ca="1" si="30"/>
        <v>22.804181010629065</v>
      </c>
      <c r="K170" s="6">
        <f t="shared" si="26"/>
        <v>-0.64845507076377817</v>
      </c>
      <c r="M170" s="30"/>
      <c r="N170" s="6"/>
      <c r="O170" s="23"/>
      <c r="P170" s="30">
        <f t="shared" si="29"/>
        <v>-1.269577570728025</v>
      </c>
    </row>
    <row r="171" spans="4:16" x14ac:dyDescent="0.15">
      <c r="D171" s="16">
        <v>1957</v>
      </c>
      <c r="E171" s="18">
        <v>424.59783888092375</v>
      </c>
      <c r="F171" s="23">
        <f t="shared" si="23"/>
        <v>23.364685924342005</v>
      </c>
      <c r="G171" s="6">
        <f t="shared" si="24"/>
        <v>-0.91442552255113518</v>
      </c>
      <c r="H171" s="30"/>
      <c r="I171" s="23">
        <f t="shared" ca="1" si="25"/>
        <v>4.5051370829032749</v>
      </c>
      <c r="J171" s="23">
        <f t="shared" ca="1" si="30"/>
        <v>23.210876787933</v>
      </c>
      <c r="K171" s="6">
        <f t="shared" si="26"/>
        <v>-0.63373453463958662</v>
      </c>
      <c r="M171" s="30"/>
      <c r="N171" s="6"/>
      <c r="O171" s="23"/>
      <c r="P171" s="30">
        <f t="shared" si="29"/>
        <v>-1.2590415373771633</v>
      </c>
    </row>
    <row r="172" spans="4:16" x14ac:dyDescent="0.15">
      <c r="D172" s="16">
        <v>1958</v>
      </c>
      <c r="E172" s="18">
        <v>353.9326834993646</v>
      </c>
      <c r="F172" s="23">
        <f t="shared" si="23"/>
        <v>23.718618607841371</v>
      </c>
      <c r="G172" s="6">
        <f t="shared" si="24"/>
        <v>-0.89330183249544792</v>
      </c>
      <c r="H172" s="30"/>
      <c r="I172" s="23">
        <f t="shared" ca="1" si="25"/>
        <v>2.8050943998814546</v>
      </c>
      <c r="J172" s="23">
        <f t="shared" ca="1" si="30"/>
        <v>23.621915002581687</v>
      </c>
      <c r="K172" s="6">
        <f t="shared" si="26"/>
        <v>-0.62156813461559046</v>
      </c>
      <c r="M172" s="30"/>
      <c r="N172" s="6"/>
      <c r="O172" s="23"/>
      <c r="P172" s="30">
        <f t="shared" si="29"/>
        <v>-1.2503646145517944</v>
      </c>
    </row>
    <row r="173" spans="4:16" x14ac:dyDescent="0.15">
      <c r="D173" s="16">
        <v>1959</v>
      </c>
      <c r="E173" s="18">
        <v>355.34607732546993</v>
      </c>
      <c r="F173" s="23">
        <f t="shared" si="23"/>
        <v>24.073964685166843</v>
      </c>
      <c r="G173" s="6">
        <f t="shared" si="24"/>
        <v>-0.87228028068459085</v>
      </c>
      <c r="H173" s="30"/>
      <c r="I173" s="23">
        <f t="shared" ca="1" si="25"/>
        <v>1.0552488860384983</v>
      </c>
      <c r="J173" s="23">
        <f t="shared" ca="1" si="30"/>
        <v>24.037239121792926</v>
      </c>
      <c r="K173" s="6">
        <f t="shared" si="26"/>
        <v>-0.60944501140125384</v>
      </c>
      <c r="M173" s="30"/>
      <c r="N173" s="6"/>
      <c r="O173" s="23"/>
      <c r="P173" s="30">
        <f t="shared" si="29"/>
        <v>-1.2417467273369005</v>
      </c>
    </row>
    <row r="174" spans="4:16" x14ac:dyDescent="0.15">
      <c r="D174" s="16">
        <v>1960</v>
      </c>
      <c r="E174" s="18">
        <v>357.62673976374242</v>
      </c>
      <c r="F174" s="23">
        <f t="shared" si="23"/>
        <v>24.431591424930584</v>
      </c>
      <c r="G174" s="6">
        <f t="shared" si="24"/>
        <v>-0.85130536041297122</v>
      </c>
      <c r="H174" s="30"/>
      <c r="I174" s="23">
        <f t="shared" ca="1" si="25"/>
        <v>-0.71733426798618893</v>
      </c>
      <c r="J174" s="23">
        <f t="shared" ca="1" si="30"/>
        <v>24.456788805492643</v>
      </c>
      <c r="K174" s="6">
        <f t="shared" si="26"/>
        <v>-0.59733384841277826</v>
      </c>
      <c r="M174" s="30"/>
      <c r="N174" s="6"/>
      <c r="O174" s="23"/>
      <c r="P174" s="30">
        <f t="shared" ref="P174:P203" si="31">NORMSINV(F174/F$10)</f>
        <v>-1.2331656522157954</v>
      </c>
    </row>
    <row r="175" spans="4:16" x14ac:dyDescent="0.15">
      <c r="D175" s="16">
        <v>1961</v>
      </c>
      <c r="E175" s="18">
        <v>345.81519443903738</v>
      </c>
      <c r="F175" s="23">
        <f t="shared" si="23"/>
        <v>24.777406619369621</v>
      </c>
      <c r="G175" s="6">
        <f t="shared" si="24"/>
        <v>-0.83118992329612251</v>
      </c>
      <c r="H175" s="30"/>
      <c r="I175" s="23">
        <f t="shared" ca="1" si="25"/>
        <v>-2.9090032817939573</v>
      </c>
      <c r="J175" s="23">
        <f t="shared" ca="1" si="30"/>
        <v>24.880499894916955</v>
      </c>
      <c r="K175" s="6">
        <f t="shared" si="26"/>
        <v>-0.58570544813426184</v>
      </c>
      <c r="M175" s="30"/>
      <c r="N175" s="6"/>
      <c r="O175" s="23"/>
      <c r="P175" s="30">
        <f t="shared" si="31"/>
        <v>-1.2249534683144996</v>
      </c>
    </row>
    <row r="176" spans="4:16" x14ac:dyDescent="0.15">
      <c r="D176" s="16">
        <v>1962</v>
      </c>
      <c r="E176" s="18">
        <v>363.54067708876181</v>
      </c>
      <c r="F176" s="23">
        <f t="shared" si="23"/>
        <v>25.140947296458382</v>
      </c>
      <c r="G176" s="6">
        <f t="shared" si="24"/>
        <v>-0.81021352734957408</v>
      </c>
      <c r="H176" s="30"/>
      <c r="I176" s="23">
        <f t="shared" ca="1" si="25"/>
        <v>-4.6808668935073001</v>
      </c>
      <c r="J176" s="23">
        <f t="shared" ca="1" si="30"/>
        <v>25.308304407517085</v>
      </c>
      <c r="K176" s="6">
        <f t="shared" si="26"/>
        <v>-0.57356577964278954</v>
      </c>
      <c r="M176" s="30"/>
      <c r="N176" s="6"/>
      <c r="O176" s="23"/>
      <c r="P176" s="30">
        <f t="shared" si="31"/>
        <v>-1.2164084979422471</v>
      </c>
    </row>
    <row r="177" spans="4:16" x14ac:dyDescent="0.15">
      <c r="D177" s="16">
        <v>1963</v>
      </c>
      <c r="E177" s="18">
        <v>394.82312850441497</v>
      </c>
      <c r="F177" s="23">
        <f t="shared" si="23"/>
        <v>25.535770424962799</v>
      </c>
      <c r="G177" s="6">
        <f t="shared" si="24"/>
        <v>-0.78762194127213603</v>
      </c>
      <c r="H177" s="30"/>
      <c r="I177" s="23">
        <f t="shared" ca="1" si="25"/>
        <v>-5.6651602765750795</v>
      </c>
      <c r="J177" s="23">
        <f t="shared" ca="1" si="30"/>
        <v>25.740130538358784</v>
      </c>
      <c r="K177" s="6">
        <f t="shared" si="26"/>
        <v>-0.56047649797853494</v>
      </c>
      <c r="M177" s="30"/>
      <c r="N177" s="6"/>
      <c r="O177" s="23"/>
      <c r="P177" s="30">
        <f t="shared" si="31"/>
        <v>-1.2072277384605512</v>
      </c>
    </row>
    <row r="178" spans="4:16" x14ac:dyDescent="0.15">
      <c r="D178" s="16">
        <v>1964</v>
      </c>
      <c r="E178" s="18">
        <v>418.49339276034465</v>
      </c>
      <c r="F178" s="23">
        <f t="shared" si="23"/>
        <v>25.954263817723142</v>
      </c>
      <c r="G178" s="6">
        <f t="shared" si="24"/>
        <v>-0.76388278407273802</v>
      </c>
      <c r="H178" s="30"/>
      <c r="I178" s="23">
        <f t="shared" ca="1" si="25"/>
        <v>-6.0898954790800417</v>
      </c>
      <c r="J178" s="23">
        <f t="shared" ca="1" si="30"/>
        <v>26.175902668192872</v>
      </c>
      <c r="K178" s="6">
        <f t="shared" si="26"/>
        <v>-0.54670649077147515</v>
      </c>
      <c r="M178" s="30"/>
      <c r="N178" s="6"/>
      <c r="O178" s="23"/>
      <c r="P178" s="30">
        <f t="shared" si="31"/>
        <v>-1.1976063855290875</v>
      </c>
    </row>
    <row r="179" spans="4:16" x14ac:dyDescent="0.15">
      <c r="D179" s="16">
        <v>1965</v>
      </c>
      <c r="E179" s="18">
        <v>439.6788780113306</v>
      </c>
      <c r="F179" s="23">
        <f t="shared" si="23"/>
        <v>26.393942695734474</v>
      </c>
      <c r="G179" s="6">
        <f t="shared" si="24"/>
        <v>-0.73916103006246858</v>
      </c>
      <c r="H179" s="30"/>
      <c r="I179" s="23">
        <f t="shared" ca="1" si="25"/>
        <v>-6.0355143347178455</v>
      </c>
      <c r="J179" s="23">
        <f t="shared" ca="1" si="30"/>
        <v>26.615541378357356</v>
      </c>
      <c r="K179" s="6">
        <f t="shared" si="26"/>
        <v>-0.53235016568443816</v>
      </c>
      <c r="M179" s="30"/>
      <c r="N179" s="6"/>
      <c r="O179" s="23"/>
      <c r="P179" s="30">
        <f t="shared" si="31"/>
        <v>-1.1876159747657904</v>
      </c>
    </row>
    <row r="180" spans="4:16" x14ac:dyDescent="0.15">
      <c r="D180" s="16">
        <v>1966</v>
      </c>
      <c r="E180" s="18">
        <v>458.88307178849504</v>
      </c>
      <c r="F180" s="23">
        <f t="shared" si="23"/>
        <v>26.852825767522969</v>
      </c>
      <c r="G180" s="6">
        <f t="shared" si="24"/>
        <v>-0.71358783029610129</v>
      </c>
      <c r="H180" s="30"/>
      <c r="I180" s="23">
        <f t="shared" ca="1" si="25"/>
        <v>-5.5659663836859181</v>
      </c>
      <c r="J180" s="23">
        <f t="shared" ca="1" si="30"/>
        <v>27.058963472653879</v>
      </c>
      <c r="K180" s="6">
        <f t="shared" si="26"/>
        <v>-0.51748284951656143</v>
      </c>
      <c r="M180" s="30"/>
      <c r="N180" s="6"/>
      <c r="O180" s="23"/>
      <c r="P180" s="30">
        <f t="shared" si="31"/>
        <v>-1.1773140828699826</v>
      </c>
    </row>
    <row r="181" spans="4:16" x14ac:dyDescent="0.15">
      <c r="D181" s="16">
        <v>1967</v>
      </c>
      <c r="E181" s="18">
        <v>475.10807087700118</v>
      </c>
      <c r="F181" s="23">
        <f t="shared" si="23"/>
        <v>27.327933838399971</v>
      </c>
      <c r="G181" s="6">
        <f t="shared" si="24"/>
        <v>-0.68734418431143562</v>
      </c>
      <c r="H181" s="30"/>
      <c r="I181" s="23">
        <f t="shared" ca="1" si="25"/>
        <v>-4.769507395160872</v>
      </c>
      <c r="J181" s="23">
        <f t="shared" ca="1" si="30"/>
        <v>27.50608200632302</v>
      </c>
      <c r="K181" s="6">
        <f t="shared" si="26"/>
        <v>-0.50220940741123454</v>
      </c>
      <c r="M181" s="30"/>
      <c r="N181" s="6"/>
      <c r="O181" s="23"/>
      <c r="P181" s="30">
        <f t="shared" si="31"/>
        <v>-1.1667779705394916</v>
      </c>
    </row>
    <row r="182" spans="4:16" x14ac:dyDescent="0.15">
      <c r="D182" s="16">
        <v>1968</v>
      </c>
      <c r="E182" s="18">
        <v>467.68094940439283</v>
      </c>
      <c r="F182" s="23">
        <f t="shared" si="23"/>
        <v>27.795614787804364</v>
      </c>
      <c r="G182" s="6">
        <f t="shared" si="24"/>
        <v>-0.6617314339035284</v>
      </c>
      <c r="H182" s="30"/>
      <c r="I182" s="23">
        <f t="shared" ca="1" si="25"/>
        <v>-4.2806744650979454</v>
      </c>
      <c r="J182" s="23">
        <f t="shared" ca="1" si="30"/>
        <v>27.956806322222626</v>
      </c>
      <c r="K182" s="6">
        <f t="shared" si="26"/>
        <v>-0.48728831159963304</v>
      </c>
      <c r="M182" s="30"/>
      <c r="N182" s="6"/>
      <c r="O182" s="23"/>
      <c r="P182" s="30">
        <f t="shared" si="31"/>
        <v>-1.1565315563240379</v>
      </c>
    </row>
    <row r="183" spans="4:16" x14ac:dyDescent="0.15">
      <c r="D183" s="16">
        <v>1969</v>
      </c>
      <c r="E183" s="18">
        <v>478.27142406803392</v>
      </c>
      <c r="F183" s="23">
        <f t="shared" si="23"/>
        <v>28.273886211872398</v>
      </c>
      <c r="G183" s="6">
        <f t="shared" si="24"/>
        <v>-0.63575349460061725</v>
      </c>
      <c r="H183" s="113"/>
      <c r="I183" s="23">
        <f t="shared" ca="1" si="25"/>
        <v>-3.6137746337881254</v>
      </c>
      <c r="J183" s="23">
        <f t="shared" ca="1" si="30"/>
        <v>28.411042094292938</v>
      </c>
      <c r="K183" s="6">
        <f t="shared" si="26"/>
        <v>-0.47214069423119764</v>
      </c>
      <c r="M183" s="30"/>
      <c r="N183" s="6"/>
      <c r="O183" s="23"/>
      <c r="P183" s="30">
        <f t="shared" si="31"/>
        <v>-1.1461771981077358</v>
      </c>
    </row>
    <row r="184" spans="4:16" x14ac:dyDescent="0.15">
      <c r="D184" s="16">
        <v>1970</v>
      </c>
      <c r="E184" s="18">
        <v>506.23539370198421</v>
      </c>
      <c r="F184" s="23">
        <f t="shared" si="23"/>
        <v>28.780121605574383</v>
      </c>
      <c r="G184" s="6">
        <f t="shared" si="24"/>
        <v>-0.60848077700273473</v>
      </c>
      <c r="H184" s="113"/>
      <c r="I184" s="23">
        <f t="shared" ca="1" si="25"/>
        <v>-2.3155380834687094</v>
      </c>
      <c r="J184" s="23">
        <f t="shared" ca="1" si="30"/>
        <v>28.868691378370134</v>
      </c>
      <c r="K184" s="6">
        <f t="shared" si="26"/>
        <v>-0.4562244972043713</v>
      </c>
      <c r="M184" s="30"/>
      <c r="N184" s="6"/>
      <c r="O184" s="23"/>
      <c r="P184" s="30">
        <f t="shared" si="31"/>
        <v>-1.1353496568226848</v>
      </c>
    </row>
    <row r="185" spans="4:16" x14ac:dyDescent="0.15">
      <c r="D185" s="16">
        <v>1971</v>
      </c>
      <c r="E185" s="18">
        <v>454.67917769980966</v>
      </c>
      <c r="F185" s="23">
        <f t="shared" si="23"/>
        <v>29.234800783274192</v>
      </c>
      <c r="G185" s="6">
        <f t="shared" si="24"/>
        <v>-0.58417161591724642</v>
      </c>
      <c r="H185" s="113"/>
      <c r="I185" s="23">
        <f t="shared" ca="1" si="25"/>
        <v>-2.4623381486089784</v>
      </c>
      <c r="J185" s="23">
        <f t="shared" ca="1" si="30"/>
        <v>29.329652670387123</v>
      </c>
      <c r="K185" s="6">
        <f t="shared" si="26"/>
        <v>-0.44202721897224906</v>
      </c>
      <c r="M185" s="30"/>
      <c r="N185" s="6"/>
      <c r="O185" s="23"/>
      <c r="P185" s="30">
        <f t="shared" si="31"/>
        <v>-1.1257370327997327</v>
      </c>
    </row>
    <row r="186" spans="4:16" x14ac:dyDescent="0.15">
      <c r="D186" s="16">
        <v>1972</v>
      </c>
      <c r="E186" s="18">
        <v>481.76136376574055</v>
      </c>
      <c r="F186" s="23">
        <f t="shared" si="23"/>
        <v>29.716562147039934</v>
      </c>
      <c r="G186" s="6">
        <f t="shared" si="24"/>
        <v>-0.55859623682318293</v>
      </c>
      <c r="H186" s="113"/>
      <c r="I186" s="23">
        <f t="shared" ca="1" si="25"/>
        <v>-1.991727552640441</v>
      </c>
      <c r="J186" s="23">
        <f t="shared" ca="1" si="30"/>
        <v>29.793820971976913</v>
      </c>
      <c r="K186" s="6">
        <f t="shared" si="26"/>
        <v>-0.42708083299075728</v>
      </c>
      <c r="M186" s="30"/>
      <c r="N186" s="6"/>
      <c r="O186" s="23"/>
      <c r="P186" s="30">
        <f t="shared" si="31"/>
        <v>-1.1156640709342622</v>
      </c>
    </row>
    <row r="187" spans="4:16" x14ac:dyDescent="0.15">
      <c r="D187" s="16">
        <v>1973</v>
      </c>
      <c r="E187" s="18">
        <v>467.47320409875863</v>
      </c>
      <c r="F187" s="23">
        <f t="shared" si="23"/>
        <v>30.184035351138693</v>
      </c>
      <c r="G187" s="6">
        <f t="shared" si="24"/>
        <v>-0.53394854148742776</v>
      </c>
      <c r="H187" s="113"/>
      <c r="I187" s="23">
        <f t="shared" ca="1" si="25"/>
        <v>-1.9734575794072953</v>
      </c>
      <c r="J187" s="23">
        <f t="shared" ca="1" si="30"/>
        <v>30.261087863469427</v>
      </c>
      <c r="K187" s="6">
        <f t="shared" si="26"/>
        <v>-0.41266840355019002</v>
      </c>
      <c r="M187" s="30"/>
      <c r="N187" s="6"/>
      <c r="O187" s="23"/>
      <c r="P187" s="30">
        <f t="shared" si="31"/>
        <v>-1.1059969027776602</v>
      </c>
    </row>
    <row r="188" spans="4:16" x14ac:dyDescent="0.15">
      <c r="D188" s="16">
        <v>1974</v>
      </c>
      <c r="E188" s="18">
        <v>464.02590208386778</v>
      </c>
      <c r="F188" s="23">
        <f t="shared" si="23"/>
        <v>30.648061253222561</v>
      </c>
      <c r="G188" s="6">
        <f t="shared" si="24"/>
        <v>-0.50963832922582997</v>
      </c>
      <c r="H188" s="113"/>
      <c r="I188" s="23">
        <f t="shared" ca="1" si="25"/>
        <v>-2.1197450887839295</v>
      </c>
      <c r="J188" s="23">
        <f t="shared" ca="1" si="30"/>
        <v>30.731341584247687</v>
      </c>
      <c r="K188" s="6">
        <f t="shared" si="26"/>
        <v>-0.39844654193648682</v>
      </c>
      <c r="M188" s="30"/>
      <c r="N188" s="6"/>
      <c r="O188" s="23"/>
      <c r="P188" s="30">
        <f t="shared" si="31"/>
        <v>-1.0965021722708652</v>
      </c>
    </row>
    <row r="189" spans="4:16" x14ac:dyDescent="0.15">
      <c r="D189" s="16">
        <v>1975</v>
      </c>
      <c r="E189" s="18">
        <v>487.61542689786972</v>
      </c>
      <c r="F189" s="23">
        <f t="shared" si="23"/>
        <v>31.135676680120429</v>
      </c>
      <c r="G189" s="6">
        <f t="shared" si="24"/>
        <v>-0.48425001382689808</v>
      </c>
      <c r="H189" s="111"/>
      <c r="I189" s="23">
        <f t="shared" ca="1" si="25"/>
        <v>-1.7403471583284045</v>
      </c>
      <c r="J189" s="23">
        <f t="shared" ca="1" si="30"/>
        <v>31.204467120403731</v>
      </c>
      <c r="K189" s="6">
        <f t="shared" si="26"/>
        <v>-0.38358797554971175</v>
      </c>
      <c r="M189" s="30"/>
      <c r="N189" s="6"/>
      <c r="O189" s="39"/>
      <c r="P189" s="30">
        <f t="shared" si="31"/>
        <v>-1.0866301304493919</v>
      </c>
    </row>
    <row r="190" spans="4:16" x14ac:dyDescent="0.15">
      <c r="D190" s="16">
        <v>1976</v>
      </c>
      <c r="E190" s="18">
        <v>492.2411618910088</v>
      </c>
      <c r="F190" s="23">
        <f t="shared" si="23"/>
        <v>31.627917842011438</v>
      </c>
      <c r="G190" s="6">
        <f t="shared" si="24"/>
        <v>-0.45877517209390145</v>
      </c>
      <c r="H190" s="111"/>
      <c r="I190" s="23">
        <f t="shared" ca="1" si="25"/>
        <v>-1.3187587987704319</v>
      </c>
      <c r="J190" s="23">
        <f t="shared" ca="1" si="30"/>
        <v>31.680346299609059</v>
      </c>
      <c r="K190" s="6">
        <f t="shared" si="26"/>
        <v>-0.3686738552404088</v>
      </c>
      <c r="M190" s="30"/>
      <c r="N190" s="6"/>
      <c r="O190" s="23"/>
      <c r="P190" s="30">
        <f t="shared" si="31"/>
        <v>-1.0767707031458971</v>
      </c>
    </row>
    <row r="191" spans="4:16" x14ac:dyDescent="0.15">
      <c r="D191" s="16">
        <v>1977</v>
      </c>
      <c r="E191" s="18">
        <v>478.4546753856676</v>
      </c>
      <c r="F191" s="23">
        <f t="shared" si="23"/>
        <v>32.106372517397105</v>
      </c>
      <c r="G191" s="6">
        <f t="shared" si="24"/>
        <v>-0.43415332846067234</v>
      </c>
      <c r="H191" s="111"/>
      <c r="I191" s="23">
        <f t="shared" ca="1" si="25"/>
        <v>-1.3130941720410192</v>
      </c>
      <c r="J191" s="23">
        <f t="shared" ca="1" si="30"/>
        <v>32.158857893087848</v>
      </c>
      <c r="K191" s="6">
        <f t="shared" si="26"/>
        <v>-0.35425564682714206</v>
      </c>
      <c r="M191" s="30"/>
      <c r="N191" s="6"/>
      <c r="O191" s="23"/>
      <c r="P191" s="30">
        <f t="shared" si="31"/>
        <v>-1.0672867065329537</v>
      </c>
    </row>
    <row r="192" spans="4:16" x14ac:dyDescent="0.15">
      <c r="D192" s="16">
        <v>1978</v>
      </c>
      <c r="E192" s="18">
        <v>437.39095809513191</v>
      </c>
      <c r="F192" s="23">
        <f t="shared" si="23"/>
        <v>32.543763475492234</v>
      </c>
      <c r="G192" s="6">
        <f t="shared" si="24"/>
        <v>-0.41175766096465732</v>
      </c>
      <c r="H192" s="111"/>
      <c r="I192" s="23">
        <f t="shared" ca="1" si="25"/>
        <v>-2.3929178824773771</v>
      </c>
      <c r="J192" s="23">
        <f t="shared" ca="1" si="30"/>
        <v>32.639877724555411</v>
      </c>
      <c r="K192" s="6">
        <f t="shared" si="26"/>
        <v>-0.34113909471860077</v>
      </c>
      <c r="M192" s="30"/>
      <c r="N192" s="6"/>
      <c r="O192" s="23"/>
      <c r="P192" s="30">
        <f t="shared" si="31"/>
        <v>-1.0586999031514892</v>
      </c>
    </row>
    <row r="193" spans="4:16" x14ac:dyDescent="0.15">
      <c r="D193" s="16">
        <v>1979</v>
      </c>
      <c r="E193" s="18">
        <v>503.36868992118025</v>
      </c>
      <c r="F193" s="23">
        <f t="shared" si="23"/>
        <v>33.047132165413416</v>
      </c>
      <c r="G193" s="6">
        <f t="shared" si="24"/>
        <v>-0.38610881814415782</v>
      </c>
      <c r="H193" s="111"/>
      <c r="I193" s="23">
        <f t="shared" ca="1" si="25"/>
        <v>-1.8864862133623319</v>
      </c>
      <c r="J193" s="23">
        <f t="shared" ca="1" si="30"/>
        <v>33.123278785957893</v>
      </c>
      <c r="K193" s="6">
        <f t="shared" si="26"/>
        <v>-0.32611613892504088</v>
      </c>
      <c r="M193" s="30"/>
      <c r="N193" s="6"/>
      <c r="O193" s="23"/>
      <c r="P193" s="30">
        <f t="shared" si="31"/>
        <v>-1.0489134527773183</v>
      </c>
    </row>
    <row r="194" spans="4:16" x14ac:dyDescent="0.15">
      <c r="D194" s="16">
        <v>1980</v>
      </c>
      <c r="E194" s="18">
        <v>519.4830124713136</v>
      </c>
      <c r="F194" s="23">
        <f t="shared" si="23"/>
        <v>33.566615177884728</v>
      </c>
      <c r="G194" s="6">
        <f t="shared" si="24"/>
        <v>-0.35976968059266751</v>
      </c>
      <c r="H194" s="111"/>
      <c r="I194" s="23">
        <f t="shared" ca="1" si="25"/>
        <v>-1.0434653286993125</v>
      </c>
      <c r="J194" s="23">
        <f t="shared" ca="1" si="30"/>
        <v>33.608931359823366</v>
      </c>
      <c r="K194" s="6">
        <f t="shared" si="26"/>
        <v>-0.31068900959067647</v>
      </c>
      <c r="M194" s="30"/>
      <c r="N194" s="6"/>
      <c r="O194" s="23"/>
      <c r="P194" s="30">
        <f t="shared" si="31"/>
        <v>-1.0389179442615939</v>
      </c>
    </row>
    <row r="195" spans="4:16" x14ac:dyDescent="0.15">
      <c r="D195" s="16">
        <v>1981</v>
      </c>
      <c r="E195" s="18">
        <v>497.53549203808859</v>
      </c>
      <c r="F195" s="23">
        <f t="shared" si="23"/>
        <v>34.064150669922817</v>
      </c>
      <c r="G195" s="6">
        <f t="shared" si="24"/>
        <v>-0.33465868820798489</v>
      </c>
      <c r="H195" s="128"/>
      <c r="I195" s="23">
        <f t="shared" ca="1" si="25"/>
        <v>-0.79929070450452855</v>
      </c>
      <c r="J195" s="23">
        <f t="shared" ca="1" si="30"/>
        <v>34.096703148008551</v>
      </c>
      <c r="K195" s="6">
        <f t="shared" si="26"/>
        <v>-0.29598271092358636</v>
      </c>
      <c r="M195" s="30"/>
      <c r="N195" s="6"/>
      <c r="O195" s="23"/>
      <c r="P195" s="30">
        <f t="shared" si="31"/>
        <v>-1.0294410904384084</v>
      </c>
    </row>
    <row r="196" spans="4:16" x14ac:dyDescent="0.15">
      <c r="D196" s="16">
        <v>1982</v>
      </c>
      <c r="E196" s="18">
        <v>507.72408386157269</v>
      </c>
      <c r="F196" s="23">
        <f t="shared" si="23"/>
        <v>34.571874753784392</v>
      </c>
      <c r="G196" s="6">
        <f t="shared" si="24"/>
        <v>-0.30914073981852563</v>
      </c>
      <c r="H196" s="128"/>
      <c r="I196" s="23">
        <f t="shared" ca="1" si="25"/>
        <v>-0.35668344528949092</v>
      </c>
      <c r="J196" s="23">
        <f t="shared" ca="1" si="30"/>
        <v>34.586459406600618</v>
      </c>
      <c r="K196" s="6">
        <f t="shared" si="26"/>
        <v>-0.28104094003059293</v>
      </c>
      <c r="M196" s="30"/>
      <c r="N196" s="6"/>
      <c r="O196" s="23"/>
      <c r="P196" s="30">
        <f t="shared" si="31"/>
        <v>-1.019864546386871</v>
      </c>
    </row>
    <row r="197" spans="4:16" x14ac:dyDescent="0.15">
      <c r="D197" s="16">
        <v>1983</v>
      </c>
      <c r="E197" s="18">
        <v>456.5915231333334</v>
      </c>
      <c r="F197" s="23">
        <f t="shared" si="23"/>
        <v>35.028466276917726</v>
      </c>
      <c r="G197" s="6">
        <f t="shared" si="24"/>
        <v>-0.28627789026222922</v>
      </c>
      <c r="H197" s="128"/>
      <c r="I197" s="23">
        <f t="shared" ca="1" si="25"/>
        <v>-1.2087081647623563</v>
      </c>
      <c r="J197" s="23">
        <f t="shared" ca="1" si="30"/>
        <v>35.078063086708241</v>
      </c>
      <c r="K197" s="6">
        <f t="shared" si="26"/>
        <v>-0.26765741748144312</v>
      </c>
      <c r="M197" s="30"/>
      <c r="N197" s="6"/>
      <c r="O197" s="23"/>
      <c r="P197" s="30">
        <f t="shared" si="31"/>
        <v>-1.0113316323339396</v>
      </c>
    </row>
    <row r="198" spans="4:16" x14ac:dyDescent="0.15">
      <c r="D198" s="16">
        <v>1984</v>
      </c>
      <c r="E198" s="18">
        <v>529.30443487874584</v>
      </c>
      <c r="F198" s="23">
        <f t="shared" si="23"/>
        <v>35.557770711796472</v>
      </c>
      <c r="G198" s="6">
        <f t="shared" si="24"/>
        <v>-0.25986638959157721</v>
      </c>
      <c r="H198" s="128"/>
      <c r="I198" s="23">
        <f t="shared" ca="1" si="25"/>
        <v>-0.33040286545747222</v>
      </c>
      <c r="J198" s="23">
        <f t="shared" ca="1" si="30"/>
        <v>35.57137498085288</v>
      </c>
      <c r="K198" s="6">
        <f t="shared" si="26"/>
        <v>-0.25220215948412594</v>
      </c>
      <c r="M198" s="30"/>
      <c r="N198" s="6"/>
      <c r="O198" s="23"/>
      <c r="P198" s="30">
        <f t="shared" si="31"/>
        <v>-1.0015310886516309</v>
      </c>
    </row>
    <row r="199" spans="4:16" x14ac:dyDescent="0.15">
      <c r="D199" s="16">
        <v>1985</v>
      </c>
      <c r="E199" s="18">
        <v>502.59996425147813</v>
      </c>
      <c r="F199" s="23">
        <f t="shared" si="23"/>
        <v>36.060370676047953</v>
      </c>
      <c r="G199" s="6">
        <f t="shared" si="24"/>
        <v>-0.23487069662931642</v>
      </c>
      <c r="H199" s="128">
        <v>99.676186064132025</v>
      </c>
      <c r="I199" s="23">
        <f t="shared" ca="1" si="25"/>
        <v>-0.14244849096667167</v>
      </c>
      <c r="J199" s="23">
        <f t="shared" ca="1" si="30"/>
        <v>36.066253874647863</v>
      </c>
      <c r="K199" s="6">
        <f t="shared" si="26"/>
        <v>-0.23758226105844876</v>
      </c>
      <c r="M199" s="30"/>
      <c r="N199" s="6"/>
      <c r="O199" s="23"/>
      <c r="P199" s="30">
        <f t="shared" si="31"/>
        <v>-0.99231322242386799</v>
      </c>
    </row>
    <row r="200" spans="4:16" x14ac:dyDescent="0.15">
      <c r="D200" s="16">
        <v>1986</v>
      </c>
      <c r="E200" s="18">
        <v>508.14596921807873</v>
      </c>
      <c r="F200" s="23">
        <f t="shared" si="23"/>
        <v>36.56851664526603</v>
      </c>
      <c r="G200" s="6">
        <f t="shared" si="24"/>
        <v>-0.20967319250784783</v>
      </c>
      <c r="H200" s="128">
        <v>99.30215705883019</v>
      </c>
      <c r="I200" s="23">
        <f t="shared" ca="1" si="25"/>
        <v>0.14390944466504152</v>
      </c>
      <c r="J200" s="23">
        <f t="shared" ca="1" si="30"/>
        <v>36.562556703431106</v>
      </c>
      <c r="K200" s="6">
        <f t="shared" si="26"/>
        <v>-0.22285247346912035</v>
      </c>
      <c r="M200" s="30"/>
      <c r="N200" s="6"/>
      <c r="O200" s="23"/>
      <c r="P200" s="30">
        <f t="shared" si="31"/>
        <v>-0.98307857400753706</v>
      </c>
    </row>
    <row r="201" spans="4:16" x14ac:dyDescent="0.15">
      <c r="D201" s="16">
        <v>1987</v>
      </c>
      <c r="E201" s="18">
        <v>524.68711493126204</v>
      </c>
      <c r="F201" s="23">
        <f t="shared" si="23"/>
        <v>37.093203760197291</v>
      </c>
      <c r="G201" s="6">
        <f t="shared" si="24"/>
        <v>-0.1837247807978164</v>
      </c>
      <c r="H201" s="128">
        <v>99.155128560403753</v>
      </c>
      <c r="I201" s="23">
        <f t="shared" ca="1" si="25"/>
        <v>0.79641155732133484</v>
      </c>
      <c r="J201" s="23">
        <f t="shared" ca="1" si="30"/>
        <v>37.060138713496542</v>
      </c>
      <c r="K201" s="6">
        <f t="shared" si="26"/>
        <v>-0.20769373772270977</v>
      </c>
      <c r="M201" s="30"/>
      <c r="N201" s="6"/>
      <c r="O201" s="23"/>
      <c r="P201" s="30">
        <f t="shared" si="31"/>
        <v>-0.97363047860487939</v>
      </c>
    </row>
    <row r="202" spans="4:16" x14ac:dyDescent="0.15">
      <c r="D202" s="16">
        <v>1988</v>
      </c>
      <c r="E202" s="18">
        <v>522.54792795331116</v>
      </c>
      <c r="F202" s="23">
        <f t="shared" si="23"/>
        <v>37.615751688150603</v>
      </c>
      <c r="G202" s="6">
        <f t="shared" si="24"/>
        <v>-0.15794333537528771</v>
      </c>
      <c r="H202" s="125">
        <v>99.075789891937205</v>
      </c>
      <c r="I202" s="23">
        <f t="shared" ca="1" si="25"/>
        <v>1.3675005442346446</v>
      </c>
      <c r="J202" s="23">
        <f t="shared" ca="1" si="30"/>
        <v>37.558853627549944</v>
      </c>
      <c r="K202" s="6">
        <f t="shared" si="26"/>
        <v>-0.19264409806024121</v>
      </c>
      <c r="M202" s="30"/>
      <c r="N202" s="6"/>
      <c r="O202" s="23"/>
      <c r="P202" s="30">
        <f t="shared" si="31"/>
        <v>-0.96430650386625882</v>
      </c>
    </row>
    <row r="203" spans="4:16" x14ac:dyDescent="0.15">
      <c r="D203" s="16">
        <v>1989</v>
      </c>
      <c r="E203" s="18">
        <v>540.38001660347697</v>
      </c>
      <c r="F203" s="23">
        <f t="shared" si="23"/>
        <v>38.156131704754081</v>
      </c>
      <c r="G203" s="6">
        <f t="shared" si="24"/>
        <v>-0.13133697283660278</v>
      </c>
      <c r="H203" s="125">
        <v>99.285587077586655</v>
      </c>
      <c r="I203" s="23">
        <f t="shared" ca="1" si="25"/>
        <v>2.3408209151593837</v>
      </c>
      <c r="J203" s="23">
        <f t="shared" ca="1" si="30"/>
        <v>38.058553813996809</v>
      </c>
      <c r="K203" s="6">
        <f t="shared" si="26"/>
        <v>-0.17712660306832514</v>
      </c>
      <c r="M203" s="30"/>
      <c r="N203" s="6"/>
      <c r="O203" s="23"/>
      <c r="P203" s="30">
        <f t="shared" si="31"/>
        <v>-0.95475170912583507</v>
      </c>
    </row>
    <row r="204" spans="4:16" x14ac:dyDescent="0.15">
      <c r="D204" s="16">
        <v>1990</v>
      </c>
      <c r="E204" s="18">
        <v>568.54333917702434</v>
      </c>
      <c r="F204" s="23">
        <f t="shared" si="23"/>
        <v>38.724675043931107</v>
      </c>
      <c r="G204" s="6">
        <f t="shared" si="24"/>
        <v>-0.10339379951703179</v>
      </c>
      <c r="H204" s="125">
        <v>100.07408123077322</v>
      </c>
      <c r="I204" s="23">
        <f t="shared" ca="1" si="25"/>
        <v>3.9659731368465145</v>
      </c>
      <c r="J204" s="23">
        <f t="shared" ca="1" si="30"/>
        <v>38.559090459653433</v>
      </c>
      <c r="K204" s="6">
        <f t="shared" si="26"/>
        <v>-0.16084621886409872</v>
      </c>
      <c r="N204" s="23"/>
      <c r="O204" s="23"/>
      <c r="P204" s="23"/>
    </row>
    <row r="205" spans="4:16" x14ac:dyDescent="0.15">
      <c r="D205" s="16">
        <v>1991</v>
      </c>
      <c r="E205" s="18">
        <v>533.28757009669073</v>
      </c>
      <c r="F205" s="23">
        <f t="shared" si="23"/>
        <v>39.257962614027797</v>
      </c>
      <c r="G205" s="6">
        <f t="shared" si="24"/>
        <v>-7.7220213448334615E-2</v>
      </c>
      <c r="H205" s="125">
        <v>100.69861580162842</v>
      </c>
      <c r="I205" s="23">
        <f t="shared" ca="1" si="25"/>
        <v>4.7282707576277971</v>
      </c>
      <c r="J205" s="23">
        <f t="shared" ca="1" si="30"/>
        <v>39.06031374545789</v>
      </c>
      <c r="K205" s="6">
        <f t="shared" si="26"/>
        <v>-0.14561412749182134</v>
      </c>
      <c r="N205" s="23"/>
      <c r="O205" s="23"/>
      <c r="P205" s="23"/>
    </row>
    <row r="206" spans="4:16" x14ac:dyDescent="0.15">
      <c r="D206" s="16">
        <v>1992</v>
      </c>
      <c r="E206" s="18">
        <v>530.78666043987153</v>
      </c>
      <c r="F206" s="23">
        <f t="shared" ref="F206:F223" si="32">F205+E206/1000</f>
        <v>39.788749274467669</v>
      </c>
      <c r="G206" s="6">
        <f t="shared" ref="G206:G223" si="33" xml:space="preserve"> - LN(F$1/F206 - 1)</f>
        <v>-5.1195611475586954E-2</v>
      </c>
      <c r="H206" s="125">
        <v>101.11965534293945</v>
      </c>
      <c r="I206" s="23">
        <f t="shared" ref="I206:I223" ca="1" si="34" xml:space="preserve"> (G206*(F$2-E$2)/LN(81) + AVERAGE(E$2:F$2) - D206)*12</f>
        <v>5.4179234084676864</v>
      </c>
      <c r="J206" s="23">
        <f t="shared" ca="1" si="30"/>
        <v>39.562073024744059</v>
      </c>
      <c r="K206" s="6">
        <f t="shared" ref="K206:K223" si="35">NORMSINV(F206/F$5)</f>
        <v>-0.1304869496484326</v>
      </c>
      <c r="N206" s="23"/>
      <c r="O206" s="23"/>
      <c r="P206" s="23"/>
    </row>
    <row r="207" spans="4:16" x14ac:dyDescent="0.15">
      <c r="D207" s="16">
        <v>1993</v>
      </c>
      <c r="E207" s="18">
        <v>464.38490865162225</v>
      </c>
      <c r="F207" s="23">
        <f t="shared" si="32"/>
        <v>40.253134183119293</v>
      </c>
      <c r="G207" s="6">
        <f t="shared" si="33"/>
        <v>-2.8441212848427194E-2</v>
      </c>
      <c r="H207" s="125">
        <v>100.55032952454015</v>
      </c>
      <c r="I207" s="23">
        <f t="shared" ca="1" si="34"/>
        <v>4.5130177795444979</v>
      </c>
      <c r="J207" s="23">
        <f t="shared" ca="1" si="30"/>
        <v>40.064217003631221</v>
      </c>
      <c r="K207" s="6">
        <f t="shared" si="35"/>
        <v>-0.11727675632821546</v>
      </c>
      <c r="N207" s="23"/>
      <c r="O207" s="23"/>
      <c r="P207" s="23"/>
    </row>
    <row r="208" spans="4:16" x14ac:dyDescent="0.15">
      <c r="D208" s="16">
        <v>1994</v>
      </c>
      <c r="E208" s="18">
        <v>509.51393032518189</v>
      </c>
      <c r="F208" s="23">
        <f t="shared" si="32"/>
        <v>40.762648113444477</v>
      </c>
      <c r="G208" s="6">
        <f t="shared" si="33"/>
        <v>-3.4837856042218653E-3</v>
      </c>
      <c r="H208" s="126">
        <v>99.810298099138834</v>
      </c>
      <c r="I208" s="23">
        <f t="shared" ca="1" si="34"/>
        <v>4.6823137064984621</v>
      </c>
      <c r="J208" s="23">
        <f t="shared" ca="1" si="30"/>
        <v>40.566593923072084</v>
      </c>
      <c r="K208" s="6">
        <f t="shared" si="35"/>
        <v>-0.10280621629851602</v>
      </c>
      <c r="N208" s="23"/>
      <c r="O208" s="23"/>
      <c r="P208" s="23"/>
    </row>
    <row r="209" spans="4:16" x14ac:dyDescent="0.15">
      <c r="D209" s="16">
        <v>1995</v>
      </c>
      <c r="E209" s="18">
        <v>489.4572006160401</v>
      </c>
      <c r="F209" s="23">
        <f t="shared" si="32"/>
        <v>41.252105314060515</v>
      </c>
      <c r="G209" s="6">
        <f t="shared" si="33"/>
        <v>2.0490088734626353E-2</v>
      </c>
      <c r="H209" s="126">
        <v>98.768297740263151</v>
      </c>
      <c r="I209" s="23">
        <f t="shared" ca="1" si="34"/>
        <v>4.3720270928333775</v>
      </c>
      <c r="J209" s="23">
        <f t="shared" ca="1" si="30"/>
        <v>41.069051742095063</v>
      </c>
      <c r="K209" s="6">
        <f t="shared" si="35"/>
        <v>-8.8925582782639664E-2</v>
      </c>
      <c r="N209" s="23"/>
      <c r="O209" s="23"/>
      <c r="P209" s="23"/>
    </row>
    <row r="210" spans="4:16" x14ac:dyDescent="0.15">
      <c r="D210" s="16">
        <v>1996</v>
      </c>
      <c r="E210" s="18">
        <v>507.02539648259619</v>
      </c>
      <c r="F210" s="23">
        <f t="shared" si="32"/>
        <v>41.759130710543111</v>
      </c>
      <c r="G210" s="6">
        <f t="shared" si="33"/>
        <v>4.5330760406570275E-2</v>
      </c>
      <c r="H210" s="126">
        <v>97.702748273946213</v>
      </c>
      <c r="I210" s="23">
        <f t="shared" ca="1" si="34"/>
        <v>4.4843927482443178</v>
      </c>
      <c r="J210" s="23">
        <f t="shared" ca="1" si="30"/>
        <v>41.571438321771168</v>
      </c>
      <c r="K210" s="6">
        <f t="shared" si="35"/>
        <v>-7.4564740036542107E-2</v>
      </c>
      <c r="N210" s="23"/>
      <c r="O210" s="23"/>
      <c r="P210" s="23"/>
    </row>
    <row r="211" spans="4:16" x14ac:dyDescent="0.15">
      <c r="D211" s="16">
        <v>1997</v>
      </c>
      <c r="E211" s="18">
        <v>521.33851552335068</v>
      </c>
      <c r="F211" s="23">
        <f t="shared" si="32"/>
        <v>42.280469226066465</v>
      </c>
      <c r="G211" s="6">
        <f t="shared" si="33"/>
        <v>7.0887339641468802E-2</v>
      </c>
      <c r="H211" s="126">
        <v>96.759079690110411</v>
      </c>
      <c r="I211" s="23">
        <f t="shared" ca="1" si="34"/>
        <v>4.9458364919019004</v>
      </c>
      <c r="J211" s="23">
        <f t="shared" ca="1" si="30"/>
        <v>42.073601609432941</v>
      </c>
      <c r="K211" s="6">
        <f t="shared" si="35"/>
        <v>-5.9814486039725653E-2</v>
      </c>
      <c r="N211" s="23"/>
      <c r="O211" s="23"/>
      <c r="P211" s="23"/>
    </row>
    <row r="212" spans="4:16" x14ac:dyDescent="0.15">
      <c r="D212" s="16">
        <v>1998</v>
      </c>
      <c r="E212" s="18">
        <v>512.85319752366502</v>
      </c>
      <c r="F212" s="23">
        <f t="shared" si="32"/>
        <v>42.793322423590133</v>
      </c>
      <c r="G212" s="6">
        <f t="shared" si="33"/>
        <v>9.6050514685363811E-2</v>
      </c>
      <c r="H212" s="126">
        <v>95.856183825424509</v>
      </c>
      <c r="I212" s="23">
        <f t="shared" ca="1" si="34"/>
        <v>5.2154554944772826</v>
      </c>
      <c r="J212" s="23">
        <f t="shared" ca="1" si="30"/>
        <v>42.575389822671447</v>
      </c>
      <c r="K212" s="6">
        <f t="shared" si="35"/>
        <v>-4.5317011924992497E-2</v>
      </c>
      <c r="N212" s="23"/>
      <c r="O212" s="23"/>
      <c r="P212" s="23"/>
    </row>
    <row r="213" spans="4:16" x14ac:dyDescent="0.15">
      <c r="D213" s="16">
        <v>1999</v>
      </c>
      <c r="E213" s="18">
        <v>476.11457057444142</v>
      </c>
      <c r="F213" s="23">
        <f t="shared" si="32"/>
        <v>43.269436994164572</v>
      </c>
      <c r="G213" s="6">
        <f t="shared" si="33"/>
        <v>0.11943816737173309</v>
      </c>
      <c r="H213" s="126">
        <v>94.759422642905292</v>
      </c>
      <c r="I213" s="23">
        <f t="shared" ca="1" si="34"/>
        <v>4.6193259252049756</v>
      </c>
      <c r="J213" s="23">
        <f t="shared" ca="1" si="30"/>
        <v>43.076651632638537</v>
      </c>
      <c r="K213" s="6">
        <f t="shared" si="35"/>
        <v>-3.1866661023673352E-2</v>
      </c>
      <c r="N213" s="23"/>
      <c r="O213" s="23"/>
      <c r="P213" s="23"/>
    </row>
    <row r="214" spans="4:16" x14ac:dyDescent="0.15">
      <c r="D214" s="16">
        <v>2000</v>
      </c>
      <c r="E214" s="18">
        <v>456.26405030716779</v>
      </c>
      <c r="F214" s="23">
        <f t="shared" si="32"/>
        <v>43.725701044471741</v>
      </c>
      <c r="G214" s="6">
        <f t="shared" si="33"/>
        <v>0.14188129872131322</v>
      </c>
      <c r="H214" s="126">
        <v>93.448562617008932</v>
      </c>
      <c r="I214" s="23">
        <f t="shared" ca="1" si="34"/>
        <v>3.5626456932286601</v>
      </c>
      <c r="J214" s="23">
        <f t="shared" ca="1" si="30"/>
        <v>43.577236346184627</v>
      </c>
      <c r="K214" s="6">
        <f t="shared" si="35"/>
        <v>-1.8982531293968628E-2</v>
      </c>
      <c r="N214" s="23"/>
      <c r="O214" s="23"/>
      <c r="P214" s="23"/>
    </row>
    <row r="215" spans="4:16" x14ac:dyDescent="0.15">
      <c r="D215" s="16">
        <v>2001</v>
      </c>
      <c r="E215" s="18">
        <v>477.93916221362184</v>
      </c>
      <c r="F215" s="23">
        <f t="shared" si="32"/>
        <v>44.203640206685364</v>
      </c>
      <c r="G215" s="6">
        <f t="shared" si="33"/>
        <v>0.16542902041491736</v>
      </c>
      <c r="H215" s="126">
        <v>92.150568474452612</v>
      </c>
      <c r="I215" s="23">
        <f t="shared" ca="1" si="34"/>
        <v>3.0445661208077581</v>
      </c>
      <c r="J215" s="23">
        <f t="shared" ca="1" si="30"/>
        <v>44.076994086367229</v>
      </c>
      <c r="K215" s="6">
        <f t="shared" si="35"/>
        <v>-5.4896750542616536E-3</v>
      </c>
      <c r="N215" s="23"/>
      <c r="O215" s="23"/>
      <c r="P215" s="23"/>
    </row>
    <row r="216" spans="4:16" x14ac:dyDescent="0.15">
      <c r="D216" s="16">
        <v>2002</v>
      </c>
      <c r="E216" s="18">
        <v>445.92480684970928</v>
      </c>
      <c r="F216" s="23">
        <f t="shared" si="32"/>
        <v>44.649565013535074</v>
      </c>
      <c r="G216" s="6">
        <f t="shared" si="33"/>
        <v>0.18744063032803154</v>
      </c>
      <c r="H216" s="126">
        <v>90.749604355214245</v>
      </c>
      <c r="I216" s="23">
        <f t="shared" ca="1" si="34"/>
        <v>1.7774750957714787</v>
      </c>
      <c r="J216" s="23">
        <f t="shared" ca="1" si="30"/>
        <v>44.575775970872826</v>
      </c>
      <c r="K216" s="6">
        <f t="shared" si="35"/>
        <v>7.0984228013872743E-3</v>
      </c>
      <c r="N216" s="23"/>
      <c r="O216" s="23"/>
      <c r="P216" s="23"/>
    </row>
    <row r="217" spans="4:16" x14ac:dyDescent="0.15">
      <c r="D217" s="16">
        <v>2003</v>
      </c>
      <c r="E217" s="18">
        <v>424.52114366857035</v>
      </c>
      <c r="F217" s="23">
        <f t="shared" si="32"/>
        <v>45.074086157203645</v>
      </c>
      <c r="G217" s="6">
        <f t="shared" si="33"/>
        <v>0.20843779388741107</v>
      </c>
      <c r="H217" s="126">
        <v>89.235980021189476</v>
      </c>
      <c r="I217" s="23">
        <f t="shared" ca="1" si="34"/>
        <v>1.5737817343506322E-2</v>
      </c>
      <c r="J217" s="23">
        <f t="shared" ca="1" si="30"/>
        <v>45.073434287903638</v>
      </c>
      <c r="K217" s="6">
        <f t="shared" si="35"/>
        <v>1.9083328096509936E-2</v>
      </c>
      <c r="N217" s="23"/>
      <c r="O217" s="23"/>
      <c r="P217" s="23"/>
    </row>
    <row r="218" spans="4:16" x14ac:dyDescent="0.15">
      <c r="D218" s="16">
        <v>2004</v>
      </c>
      <c r="E218" s="18">
        <v>438.25212407554812</v>
      </c>
      <c r="F218" s="23">
        <f t="shared" si="32"/>
        <v>45.512338281279192</v>
      </c>
      <c r="G218" s="6">
        <f t="shared" si="33"/>
        <v>0.23016229177178515</v>
      </c>
      <c r="H218" s="126">
        <v>87.748916417492012</v>
      </c>
      <c r="I218" s="23">
        <f t="shared" ca="1" si="34"/>
        <v>-1.3913496587574627</v>
      </c>
      <c r="J218" s="23">
        <f t="shared" ca="1" si="30"/>
        <v>45.569822669091955</v>
      </c>
      <c r="K218" s="6">
        <f t="shared" si="35"/>
        <v>3.1458776524279482E-2</v>
      </c>
      <c r="N218" s="23"/>
      <c r="O218" s="23"/>
      <c r="P218" s="23"/>
    </row>
    <row r="219" spans="4:16" x14ac:dyDescent="0.15">
      <c r="D219" s="16">
        <v>2005</v>
      </c>
      <c r="E219" s="18">
        <v>446.42312977810235</v>
      </c>
      <c r="F219" s="23">
        <f t="shared" si="32"/>
        <v>45.958761411057296</v>
      </c>
      <c r="G219" s="6">
        <f t="shared" si="33"/>
        <v>0.25234760415452245</v>
      </c>
      <c r="H219" s="126">
        <v>86.354916753961533</v>
      </c>
      <c r="I219" s="23">
        <f t="shared" ca="1" si="34"/>
        <v>-2.5737429809641981</v>
      </c>
      <c r="J219" s="23">
        <f t="shared" ca="1" si="30"/>
        <v>46.064796259017776</v>
      </c>
      <c r="K219" s="6">
        <f t="shared" si="35"/>
        <v>4.4069927210910263E-2</v>
      </c>
      <c r="N219" s="23"/>
      <c r="O219" s="23"/>
      <c r="P219" s="23"/>
    </row>
    <row r="220" spans="4:16" x14ac:dyDescent="0.15">
      <c r="D220" s="16">
        <v>2006</v>
      </c>
      <c r="E220" s="18">
        <v>443.84932692017827</v>
      </c>
      <c r="F220" s="23">
        <f t="shared" si="32"/>
        <v>46.402610737977476</v>
      </c>
      <c r="G220" s="6">
        <f t="shared" si="33"/>
        <v>0.27446641271704125</v>
      </c>
      <c r="H220" s="126">
        <v>85.059868068613412</v>
      </c>
      <c r="I220" s="23">
        <f t="shared" ca="1" si="34"/>
        <v>-3.7885637108784067</v>
      </c>
      <c r="J220" s="23">
        <f t="shared" ca="1" si="30"/>
        <v>46.558211880919757</v>
      </c>
      <c r="K220" s="6">
        <f t="shared" si="35"/>
        <v>5.6615318443169166E-2</v>
      </c>
      <c r="N220" s="23"/>
      <c r="O220" s="23"/>
      <c r="P220" s="23"/>
    </row>
    <row r="221" spans="4:16" x14ac:dyDescent="0.15">
      <c r="D221" s="16">
        <v>2007</v>
      </c>
      <c r="E221" s="18">
        <v>432.35780099180874</v>
      </c>
      <c r="F221" s="23">
        <f t="shared" si="32"/>
        <v>46.834968538969285</v>
      </c>
      <c r="G221" s="6">
        <f t="shared" si="33"/>
        <v>0.29607685398148748</v>
      </c>
      <c r="H221" s="126">
        <v>83.84018374635437</v>
      </c>
      <c r="I221" s="23">
        <f t="shared" ca="1" si="34"/>
        <v>-5.2512654434794968</v>
      </c>
      <c r="J221" s="23">
        <f t="shared" ca="1" si="30"/>
        <v>47.049928198206246</v>
      </c>
      <c r="K221" s="6">
        <f t="shared" si="35"/>
        <v>6.8844459299353941E-2</v>
      </c>
      <c r="N221" s="23"/>
      <c r="O221" s="23"/>
      <c r="P221" s="23"/>
    </row>
    <row r="222" spans="4:16" x14ac:dyDescent="0.15">
      <c r="D222" s="16">
        <v>2008</v>
      </c>
      <c r="E222" s="18">
        <v>445.81176618790204</v>
      </c>
      <c r="F222" s="23">
        <f t="shared" si="32"/>
        <v>47.280780305157187</v>
      </c>
      <c r="G222" s="6">
        <f t="shared" si="33"/>
        <v>0.31843192426590838</v>
      </c>
      <c r="H222" s="126">
        <v>82.744394825349474</v>
      </c>
      <c r="I222" s="23">
        <f t="shared" ca="1" si="34"/>
        <v>-6.3508844427833537</v>
      </c>
      <c r="J222" s="23">
        <f t="shared" ca="1" si="30"/>
        <v>47.53980587139084</v>
      </c>
      <c r="K222" s="6">
        <f t="shared" si="35"/>
        <v>8.1464953438747045E-2</v>
      </c>
      <c r="N222" s="23"/>
      <c r="O222" s="23"/>
      <c r="P222" s="23"/>
    </row>
    <row r="223" spans="4:16" x14ac:dyDescent="0.15">
      <c r="D223" s="16">
        <v>2009</v>
      </c>
      <c r="E223" s="18">
        <v>403.61032959528995</v>
      </c>
      <c r="F223" s="23">
        <f t="shared" si="32"/>
        <v>47.684390634752475</v>
      </c>
      <c r="G223" s="6">
        <f t="shared" si="33"/>
        <v>0.33873894999015741</v>
      </c>
      <c r="H223" s="6">
        <v>81.667552204362536</v>
      </c>
      <c r="I223" s="23">
        <f t="shared" ca="1" si="34"/>
        <v>-8.4491344339967327</v>
      </c>
      <c r="J223" s="23">
        <f t="shared" ca="1" si="30"/>
        <v>48.027707710096159</v>
      </c>
      <c r="K223" s="6">
        <f t="shared" si="35"/>
        <v>9.2901913819689749E-2</v>
      </c>
      <c r="N223" s="23"/>
      <c r="O223" s="23"/>
      <c r="P223" s="23"/>
    </row>
    <row r="224" spans="4:16" x14ac:dyDescent="0.15">
      <c r="D224" s="16">
        <v>2010</v>
      </c>
      <c r="E224" s="18"/>
      <c r="J224" s="23">
        <f t="shared" ca="1" si="30"/>
        <v>48.513498819790406</v>
      </c>
      <c r="N224" s="23"/>
      <c r="O224" s="23"/>
      <c r="P224" s="23"/>
    </row>
    <row r="225" spans="4:16" x14ac:dyDescent="0.15">
      <c r="D225" s="16">
        <v>2011</v>
      </c>
      <c r="E225" s="18"/>
      <c r="J225" s="23">
        <f t="shared" ref="J225:J288" ca="1" si="36">F$1/(1+EXP((AVERAGE(E$2:F$2)-D225)*LN(81)/(F$2-E$2)))</f>
        <v>48.997046742942999</v>
      </c>
      <c r="N225" s="23"/>
      <c r="O225" s="23"/>
      <c r="P225" s="23"/>
    </row>
    <row r="226" spans="4:16" x14ac:dyDescent="0.15">
      <c r="D226" s="16">
        <v>2012</v>
      </c>
      <c r="E226" s="18"/>
      <c r="J226" s="23">
        <f t="shared" ca="1" si="36"/>
        <v>49.478221594308408</v>
      </c>
      <c r="N226" s="23"/>
      <c r="O226" s="23"/>
      <c r="P226" s="23"/>
    </row>
    <row r="227" spans="4:16" x14ac:dyDescent="0.15">
      <c r="D227" s="16">
        <v>2013</v>
      </c>
      <c r="E227" s="18"/>
      <c r="J227" s="23">
        <f t="shared" ca="1" si="36"/>
        <v>49.956896190071191</v>
      </c>
      <c r="N227" s="23"/>
      <c r="O227" s="23"/>
      <c r="P227" s="23"/>
    </row>
    <row r="228" spans="4:16" x14ac:dyDescent="0.15">
      <c r="D228" s="16">
        <v>2014</v>
      </c>
      <c r="E228" s="18"/>
      <c r="J228" s="23">
        <f t="shared" ca="1" si="36"/>
        <v>50.432946170609952</v>
      </c>
      <c r="N228" s="23"/>
      <c r="O228" s="23"/>
      <c r="P228" s="23"/>
    </row>
    <row r="229" spans="4:16" x14ac:dyDescent="0.15">
      <c r="D229" s="16">
        <v>2015</v>
      </c>
      <c r="E229" s="18"/>
      <c r="J229" s="23">
        <f t="shared" ca="1" si="36"/>
        <v>50.906250116662726</v>
      </c>
      <c r="N229" s="23"/>
      <c r="O229" s="23"/>
      <c r="P229" s="23"/>
    </row>
    <row r="230" spans="4:16" x14ac:dyDescent="0.15">
      <c r="D230" s="16">
        <v>2016</v>
      </c>
      <c r="E230" s="18"/>
      <c r="J230" s="23">
        <f t="shared" ca="1" si="36"/>
        <v>51.376689658702531</v>
      </c>
      <c r="N230" s="23"/>
      <c r="O230" s="23"/>
      <c r="P230" s="23"/>
    </row>
    <row r="231" spans="4:16" x14ac:dyDescent="0.15">
      <c r="D231" s="16">
        <v>2017</v>
      </c>
      <c r="E231" s="18"/>
      <c r="J231" s="23">
        <f t="shared" ca="1" si="36"/>
        <v>51.844149579357264</v>
      </c>
      <c r="N231" s="23"/>
      <c r="O231" s="23"/>
      <c r="P231" s="23"/>
    </row>
    <row r="232" spans="4:16" x14ac:dyDescent="0.15">
      <c r="D232" s="16">
        <v>2018</v>
      </c>
      <c r="E232" s="18"/>
      <c r="J232" s="23">
        <f t="shared" ca="1" si="36"/>
        <v>52.308517908734764</v>
      </c>
      <c r="N232" s="23"/>
      <c r="O232" s="23"/>
      <c r="P232" s="23"/>
    </row>
    <row r="233" spans="4:16" x14ac:dyDescent="0.15">
      <c r="D233" s="16">
        <v>2019</v>
      </c>
      <c r="E233" s="18"/>
      <c r="J233" s="23">
        <f t="shared" ca="1" si="36"/>
        <v>52.76968601253968</v>
      </c>
      <c r="N233" s="23"/>
      <c r="O233" s="23"/>
      <c r="P233" s="23"/>
    </row>
    <row r="234" spans="4:16" x14ac:dyDescent="0.15">
      <c r="D234" s="16">
        <v>2020</v>
      </c>
      <c r="E234" s="18"/>
      <c r="J234" s="23">
        <f t="shared" ca="1" si="36"/>
        <v>53.227548672895274</v>
      </c>
      <c r="N234" s="23"/>
      <c r="O234" s="23"/>
      <c r="P234" s="23"/>
    </row>
    <row r="235" spans="4:16" x14ac:dyDescent="0.15">
      <c r="D235" s="16">
        <v>2021</v>
      </c>
      <c r="E235" s="18"/>
      <c r="J235" s="23">
        <f t="shared" ca="1" si="36"/>
        <v>53.682004161808834</v>
      </c>
      <c r="N235" s="23"/>
      <c r="O235" s="23"/>
      <c r="P235" s="23"/>
    </row>
    <row r="236" spans="4:16" x14ac:dyDescent="0.15">
      <c r="D236" s="16">
        <v>2022</v>
      </c>
      <c r="E236" s="18"/>
      <c r="J236" s="23">
        <f t="shared" ca="1" si="36"/>
        <v>54.132954307245079</v>
      </c>
      <c r="N236" s="23"/>
      <c r="O236" s="23"/>
      <c r="P236" s="23"/>
    </row>
    <row r="237" spans="4:16" x14ac:dyDescent="0.15">
      <c r="D237" s="16">
        <v>2023</v>
      </c>
      <c r="E237" s="18"/>
      <c r="J237" s="23">
        <f t="shared" ca="1" si="36"/>
        <v>54.580304551796843</v>
      </c>
      <c r="N237" s="23"/>
      <c r="O237" s="23"/>
      <c r="P237" s="23"/>
    </row>
    <row r="238" spans="4:16" x14ac:dyDescent="0.15">
      <c r="D238" s="16">
        <v>2024</v>
      </c>
      <c r="E238" s="18"/>
      <c r="J238" s="23">
        <f t="shared" ca="1" si="36"/>
        <v>55.02396400396681</v>
      </c>
      <c r="N238" s="23"/>
      <c r="O238" s="23"/>
      <c r="P238" s="23"/>
    </row>
    <row r="239" spans="4:16" x14ac:dyDescent="0.15">
      <c r="D239" s="16">
        <v>2025</v>
      </c>
      <c r="E239" s="18"/>
      <c r="J239" s="23">
        <f t="shared" ca="1" si="36"/>
        <v>55.463845482097668</v>
      </c>
      <c r="N239" s="23"/>
      <c r="O239" s="23"/>
      <c r="P239" s="23"/>
    </row>
    <row r="240" spans="4:16" x14ac:dyDescent="0.15">
      <c r="D240" s="16">
        <v>2026</v>
      </c>
      <c r="E240" s="18"/>
      <c r="J240" s="23">
        <f t="shared" ca="1" si="36"/>
        <v>55.899865551010969</v>
      </c>
      <c r="N240" s="23"/>
      <c r="O240" s="23"/>
      <c r="P240" s="23"/>
    </row>
    <row r="241" spans="4:16" x14ac:dyDescent="0.15">
      <c r="D241" s="16">
        <v>2027</v>
      </c>
      <c r="E241" s="18"/>
      <c r="J241" s="23">
        <f t="shared" ca="1" si="36"/>
        <v>56.331944551436848</v>
      </c>
      <c r="N241" s="23"/>
      <c r="O241" s="23"/>
      <c r="P241" s="23"/>
    </row>
    <row r="242" spans="4:16" x14ac:dyDescent="0.15">
      <c r="D242" s="16">
        <v>2028</v>
      </c>
      <c r="E242" s="18"/>
      <c r="J242" s="23">
        <f t="shared" ca="1" si="36"/>
        <v>56.760006622337897</v>
      </c>
      <c r="N242" s="23"/>
      <c r="O242" s="23"/>
      <c r="P242" s="23"/>
    </row>
    <row r="243" spans="4:16" x14ac:dyDescent="0.15">
      <c r="D243" s="16">
        <v>2029</v>
      </c>
      <c r="E243" s="18"/>
      <c r="J243" s="23">
        <f t="shared" ca="1" si="36"/>
        <v>57.183979716250029</v>
      </c>
      <c r="N243" s="23"/>
      <c r="O243" s="23"/>
      <c r="P243" s="23"/>
    </row>
    <row r="244" spans="4:16" x14ac:dyDescent="0.15">
      <c r="D244" s="16">
        <v>2030</v>
      </c>
      <c r="E244" s="18"/>
      <c r="J244" s="23">
        <f t="shared" ca="1" si="36"/>
        <v>57.60379560778226</v>
      </c>
      <c r="N244" s="23"/>
      <c r="O244" s="23"/>
      <c r="P244" s="23"/>
    </row>
    <row r="245" spans="4:16" x14ac:dyDescent="0.15">
      <c r="D245" s="16">
        <v>2031</v>
      </c>
      <c r="E245" s="18"/>
      <c r="J245" s="23">
        <f t="shared" ca="1" si="36"/>
        <v>58.019389895434678</v>
      </c>
      <c r="N245" s="23"/>
      <c r="O245" s="23"/>
      <c r="P245" s="23"/>
    </row>
    <row r="246" spans="4:16" x14ac:dyDescent="0.15">
      <c r="D246" s="16">
        <v>2032</v>
      </c>
      <c r="E246" s="18"/>
      <c r="J246" s="23">
        <f t="shared" ca="1" si="36"/>
        <v>58.43070199691028</v>
      </c>
      <c r="N246" s="23"/>
      <c r="O246" s="23"/>
      <c r="P246" s="23"/>
    </row>
    <row r="247" spans="4:16" x14ac:dyDescent="0.15">
      <c r="D247" s="16">
        <v>2033</v>
      </c>
      <c r="E247" s="18"/>
      <c r="J247" s="23">
        <f t="shared" ca="1" si="36"/>
        <v>58.83767513811123</v>
      </c>
      <c r="N247" s="23"/>
      <c r="O247" s="23"/>
      <c r="P247" s="23"/>
    </row>
    <row r="248" spans="4:16" x14ac:dyDescent="0.15">
      <c r="D248" s="16">
        <v>2034</v>
      </c>
      <c r="E248" s="18"/>
      <c r="J248" s="23">
        <f t="shared" ca="1" si="36"/>
        <v>59.240256336024146</v>
      </c>
      <c r="N248" s="23"/>
      <c r="O248" s="23"/>
      <c r="P248" s="23"/>
    </row>
    <row r="249" spans="4:16" x14ac:dyDescent="0.15">
      <c r="D249" s="16">
        <v>2035</v>
      </c>
      <c r="E249" s="18"/>
      <c r="J249" s="23">
        <f t="shared" ca="1" si="36"/>
        <v>59.638396375711018</v>
      </c>
      <c r="N249" s="23"/>
      <c r="O249" s="23"/>
      <c r="P249" s="23"/>
    </row>
    <row r="250" spans="4:16" x14ac:dyDescent="0.15">
      <c r="D250" s="16">
        <v>2036</v>
      </c>
      <c r="E250" s="18"/>
      <c r="J250" s="23">
        <f t="shared" ca="1" si="36"/>
        <v>60.032049781633972</v>
      </c>
      <c r="O250" s="23"/>
      <c r="P250" s="23"/>
    </row>
    <row r="251" spans="4:16" x14ac:dyDescent="0.15">
      <c r="D251" s="16">
        <v>2037</v>
      </c>
      <c r="E251" s="18"/>
      <c r="J251" s="23">
        <f t="shared" ca="1" si="36"/>
        <v>60.421174783551393</v>
      </c>
      <c r="O251" s="23"/>
      <c r="P251" s="23"/>
    </row>
    <row r="252" spans="4:16" x14ac:dyDescent="0.15">
      <c r="D252" s="16">
        <v>2038</v>
      </c>
      <c r="E252" s="18"/>
      <c r="J252" s="23">
        <f t="shared" ca="1" si="36"/>
        <v>60.805733277231582</v>
      </c>
      <c r="O252" s="23"/>
      <c r="P252" s="23"/>
    </row>
    <row r="253" spans="4:16" x14ac:dyDescent="0.15">
      <c r="D253" s="16">
        <v>2039</v>
      </c>
      <c r="E253" s="18"/>
      <c r="J253" s="23">
        <f t="shared" ca="1" si="36"/>
        <v>61.185690780237373</v>
      </c>
      <c r="O253" s="23"/>
      <c r="P253" s="23"/>
    </row>
    <row r="254" spans="4:16" x14ac:dyDescent="0.15">
      <c r="D254" s="16">
        <v>2040</v>
      </c>
      <c r="E254" s="18"/>
      <c r="J254" s="23">
        <f t="shared" ca="1" si="36"/>
        <v>61.561016383040823</v>
      </c>
      <c r="O254" s="23"/>
      <c r="P254" s="23"/>
    </row>
    <row r="255" spans="4:16" x14ac:dyDescent="0.15">
      <c r="D255" s="16">
        <v>2041</v>
      </c>
      <c r="E255" s="18"/>
      <c r="J255" s="23">
        <f t="shared" ca="1" si="36"/>
        <v>61.931682695731773</v>
      </c>
      <c r="O255" s="23"/>
      <c r="P255" s="23"/>
    </row>
    <row r="256" spans="4:16" x14ac:dyDescent="0.15">
      <c r="D256" s="16">
        <v>2042</v>
      </c>
      <c r="J256" s="23">
        <f t="shared" ca="1" si="36"/>
        <v>62.297665790587551</v>
      </c>
      <c r="O256" s="23"/>
      <c r="P256" s="23"/>
    </row>
    <row r="257" spans="4:16" x14ac:dyDescent="0.15">
      <c r="D257" s="16">
        <v>2043</v>
      </c>
      <c r="J257" s="23">
        <f t="shared" ca="1" si="36"/>
        <v>62.65894514077317</v>
      </c>
      <c r="O257" s="23"/>
      <c r="P257" s="23"/>
    </row>
    <row r="258" spans="4:16" x14ac:dyDescent="0.15">
      <c r="D258" s="16">
        <v>2044</v>
      </c>
      <c r="J258" s="23">
        <f t="shared" ca="1" si="36"/>
        <v>63.015503555442571</v>
      </c>
      <c r="O258" s="23"/>
      <c r="P258" s="23"/>
    </row>
    <row r="259" spans="4:16" x14ac:dyDescent="0.15">
      <c r="D259" s="16">
        <v>2045</v>
      </c>
      <c r="J259" s="23">
        <f t="shared" ca="1" si="36"/>
        <v>63.367327111511507</v>
      </c>
      <c r="O259" s="23"/>
      <c r="P259" s="23"/>
    </row>
    <row r="260" spans="4:16" x14ac:dyDescent="0.15">
      <c r="D260" s="16">
        <v>2046</v>
      </c>
      <c r="J260" s="23">
        <f t="shared" ca="1" si="36"/>
        <v>63.714405082371584</v>
      </c>
      <c r="O260" s="23"/>
      <c r="P260" s="23"/>
    </row>
    <row r="261" spans="4:16" x14ac:dyDescent="0.15">
      <c r="D261" s="16">
        <v>2047</v>
      </c>
      <c r="J261" s="23">
        <f t="shared" ca="1" si="36"/>
        <v>64.056729863812862</v>
      </c>
      <c r="O261" s="23"/>
      <c r="P261" s="23"/>
    </row>
    <row r="262" spans="4:16" x14ac:dyDescent="0.15">
      <c r="D262" s="16">
        <v>2048</v>
      </c>
      <c r="J262" s="23">
        <f t="shared" ca="1" si="36"/>
        <v>64.394296897419864</v>
      </c>
      <c r="O262" s="23"/>
      <c r="P262" s="23"/>
    </row>
    <row r="263" spans="4:16" x14ac:dyDescent="0.15">
      <c r="D263" s="16">
        <v>2049</v>
      </c>
      <c r="J263" s="23">
        <f t="shared" ca="1" si="36"/>
        <v>64.727104591701618</v>
      </c>
      <c r="O263" s="23"/>
      <c r="P263" s="23"/>
    </row>
    <row r="264" spans="4:16" x14ac:dyDescent="0.15">
      <c r="D264" s="16">
        <v>2050</v>
      </c>
      <c r="J264" s="23">
        <f t="shared" ca="1" si="36"/>
        <v>65.055154241212421</v>
      </c>
      <c r="O264" s="23"/>
      <c r="P264" s="23"/>
    </row>
    <row r="265" spans="4:16" x14ac:dyDescent="0.15">
      <c r="D265" s="16">
        <v>2051</v>
      </c>
      <c r="J265" s="23">
        <f t="shared" ca="1" si="36"/>
        <v>65.378449943913878</v>
      </c>
      <c r="O265" s="23"/>
      <c r="P265" s="23"/>
    </row>
    <row r="266" spans="4:16" x14ac:dyDescent="0.15">
      <c r="D266" s="16">
        <v>2052</v>
      </c>
      <c r="J266" s="23">
        <f t="shared" ca="1" si="36"/>
        <v>65.6969985170238</v>
      </c>
      <c r="O266" s="23"/>
      <c r="P266" s="23"/>
    </row>
    <row r="267" spans="4:16" x14ac:dyDescent="0.15">
      <c r="D267" s="16">
        <v>2053</v>
      </c>
      <c r="J267" s="23">
        <f t="shared" ca="1" si="36"/>
        <v>66.010809411590245</v>
      </c>
      <c r="O267" s="23"/>
      <c r="P267" s="23"/>
    </row>
    <row r="268" spans="4:16" x14ac:dyDescent="0.15">
      <c r="D268" s="16">
        <v>2054</v>
      </c>
      <c r="J268" s="23">
        <f t="shared" ca="1" si="36"/>
        <v>66.319894626022204</v>
      </c>
      <c r="O268" s="23"/>
      <c r="P268" s="23"/>
    </row>
    <row r="269" spans="4:16" x14ac:dyDescent="0.15">
      <c r="D269" s="16">
        <v>2055</v>
      </c>
      <c r="J269" s="23">
        <f t="shared" ca="1" si="36"/>
        <v>66.624268618800969</v>
      </c>
      <c r="O269" s="23"/>
      <c r="P269" s="23"/>
    </row>
    <row r="270" spans="4:16" x14ac:dyDescent="0.15">
      <c r="D270" s="16">
        <v>2056</v>
      </c>
      <c r="J270" s="23">
        <f t="shared" ca="1" si="36"/>
        <v>66.923948220588017</v>
      </c>
      <c r="O270" s="23"/>
      <c r="P270" s="23"/>
    </row>
    <row r="271" spans="4:16" x14ac:dyDescent="0.15">
      <c r="D271" s="16">
        <v>2057</v>
      </c>
      <c r="J271" s="23">
        <f t="shared" ca="1" si="36"/>
        <v>67.218952545937015</v>
      </c>
      <c r="O271" s="23"/>
      <c r="P271" s="23"/>
    </row>
    <row r="272" spans="4:16" x14ac:dyDescent="0.15">
      <c r="D272" s="16">
        <v>2058</v>
      </c>
      <c r="J272" s="23">
        <f t="shared" ca="1" si="36"/>
        <v>67.509302904808905</v>
      </c>
      <c r="O272" s="23"/>
      <c r="P272" s="23"/>
    </row>
    <row r="273" spans="4:16" x14ac:dyDescent="0.15">
      <c r="D273" s="16">
        <v>2059</v>
      </c>
      <c r="J273" s="23">
        <f t="shared" ca="1" si="36"/>
        <v>67.795022714080218</v>
      </c>
      <c r="O273" s="23"/>
      <c r="P273" s="23"/>
    </row>
    <row r="274" spans="4:16" x14ac:dyDescent="0.15">
      <c r="D274" s="16">
        <v>2060</v>
      </c>
      <c r="J274" s="23">
        <f t="shared" ca="1" si="36"/>
        <v>68.076137409225495</v>
      </c>
      <c r="O274" s="23"/>
      <c r="P274" s="23"/>
    </row>
    <row r="275" spans="4:16" x14ac:dyDescent="0.15">
      <c r="D275" s="16">
        <v>2061</v>
      </c>
      <c r="J275" s="23">
        <f t="shared" ca="1" si="36"/>
        <v>68.352674356345744</v>
      </c>
      <c r="O275" s="23"/>
      <c r="P275" s="23"/>
    </row>
    <row r="276" spans="4:16" x14ac:dyDescent="0.15">
      <c r="D276" s="16">
        <v>2062</v>
      </c>
      <c r="J276" s="23">
        <f t="shared" ca="1" si="36"/>
        <v>68.624662764705334</v>
      </c>
      <c r="O276" s="23"/>
      <c r="P276" s="23"/>
    </row>
    <row r="277" spans="4:16" x14ac:dyDescent="0.15">
      <c r="D277" s="16">
        <v>2063</v>
      </c>
      <c r="J277" s="23">
        <f t="shared" ca="1" si="36"/>
        <v>68.892133599930418</v>
      </c>
      <c r="O277" s="23"/>
      <c r="P277" s="23"/>
    </row>
    <row r="278" spans="4:16" x14ac:dyDescent="0.15">
      <c r="D278" s="16">
        <v>2064</v>
      </c>
      <c r="J278" s="23">
        <f t="shared" ca="1" si="36"/>
        <v>69.155119498012866</v>
      </c>
      <c r="O278" s="23"/>
      <c r="P278" s="23"/>
    </row>
    <row r="279" spans="4:16" x14ac:dyDescent="0.15">
      <c r="D279" s="16">
        <v>2065</v>
      </c>
      <c r="J279" s="23">
        <f t="shared" ca="1" si="36"/>
        <v>69.413654680253856</v>
      </c>
      <c r="O279" s="23"/>
      <c r="P279" s="23"/>
    </row>
    <row r="280" spans="4:16" x14ac:dyDescent="0.15">
      <c r="D280" s="16">
        <v>2066</v>
      </c>
      <c r="J280" s="23">
        <f t="shared" ca="1" si="36"/>
        <v>69.667774869272563</v>
      </c>
      <c r="O280" s="23"/>
      <c r="P280" s="23"/>
    </row>
    <row r="281" spans="4:16" x14ac:dyDescent="0.15">
      <c r="D281" s="16">
        <v>2067</v>
      </c>
      <c r="J281" s="23">
        <f t="shared" ca="1" si="36"/>
        <v>69.91751720619601</v>
      </c>
      <c r="O281" s="23"/>
      <c r="P281" s="23"/>
    </row>
    <row r="282" spans="4:16" x14ac:dyDescent="0.15">
      <c r="D282" s="16">
        <v>2068</v>
      </c>
      <c r="J282" s="23">
        <f t="shared" ca="1" si="36"/>
        <v>70.16292016913691</v>
      </c>
      <c r="O282" s="23"/>
      <c r="P282" s="23"/>
    </row>
    <row r="283" spans="4:16" x14ac:dyDescent="0.15">
      <c r="D283" s="16">
        <v>2069</v>
      </c>
      <c r="J283" s="23">
        <f t="shared" ca="1" si="36"/>
        <v>70.404023493058062</v>
      </c>
      <c r="O283" s="23"/>
      <c r="P283" s="23"/>
    </row>
    <row r="284" spans="4:16" x14ac:dyDescent="0.15">
      <c r="D284" s="16">
        <v>2070</v>
      </c>
      <c r="J284" s="23">
        <f t="shared" ca="1" si="36"/>
        <v>70.640868091112509</v>
      </c>
      <c r="O284" s="23"/>
      <c r="P284" s="23"/>
    </row>
    <row r="285" spans="4:16" x14ac:dyDescent="0.15">
      <c r="D285" s="16">
        <v>2071</v>
      </c>
      <c r="J285" s="23">
        <f t="shared" ca="1" si="36"/>
        <v>70.873495977541012</v>
      </c>
      <c r="O285" s="23"/>
      <c r="P285" s="23"/>
    </row>
    <row r="286" spans="4:16" x14ac:dyDescent="0.15">
      <c r="D286" s="16">
        <v>2072</v>
      </c>
      <c r="J286" s="23">
        <f t="shared" ca="1" si="36"/>
        <v>71.101950192199396</v>
      </c>
      <c r="O286" s="23"/>
      <c r="P286" s="23"/>
    </row>
    <row r="287" spans="4:16" x14ac:dyDescent="0.15">
      <c r="D287" s="16">
        <v>2073</v>
      </c>
      <c r="J287" s="23">
        <f t="shared" ca="1" si="36"/>
        <v>71.32627472678098</v>
      </c>
      <c r="O287" s="23"/>
      <c r="P287" s="23"/>
    </row>
    <row r="288" spans="4:16" x14ac:dyDescent="0.15">
      <c r="D288" s="16">
        <v>2074</v>
      </c>
      <c r="J288" s="23">
        <f t="shared" ca="1" si="36"/>
        <v>71.546514452791484</v>
      </c>
      <c r="O288" s="23"/>
      <c r="P288" s="23"/>
    </row>
    <row r="289" spans="4:16" x14ac:dyDescent="0.15">
      <c r="D289" s="16">
        <v>2075</v>
      </c>
      <c r="J289" s="23">
        <f t="shared" ref="J289:J352" ca="1" si="37">F$1/(1+EXP((AVERAGE(E$2:F$2)-D289)*LN(81)/(F$2-E$2)))</f>
        <v>71.762715051326154</v>
      </c>
      <c r="O289" s="23"/>
      <c r="P289" s="23"/>
    </row>
    <row r="290" spans="4:16" x14ac:dyDescent="0.15">
      <c r="D290" s="16">
        <v>2076</v>
      </c>
      <c r="J290" s="23">
        <f t="shared" ca="1" si="37"/>
        <v>71.974922944692054</v>
      </c>
      <c r="O290" s="23"/>
      <c r="P290" s="23"/>
    </row>
    <row r="291" spans="4:16" x14ac:dyDescent="0.15">
      <c r="D291" s="16">
        <v>2077</v>
      </c>
      <c r="J291" s="23">
        <f t="shared" ca="1" si="37"/>
        <v>72.183185229911501</v>
      </c>
      <c r="O291" s="23"/>
      <c r="P291" s="23"/>
    </row>
    <row r="292" spans="4:16" x14ac:dyDescent="0.15">
      <c r="D292" s="16">
        <v>2078</v>
      </c>
      <c r="J292" s="23">
        <f t="shared" ca="1" si="37"/>
        <v>72.387549614136233</v>
      </c>
      <c r="O292" s="23"/>
      <c r="P292" s="23"/>
    </row>
    <row r="293" spans="4:16" x14ac:dyDescent="0.15">
      <c r="D293" s="16">
        <v>2079</v>
      </c>
      <c r="J293" s="23">
        <f t="shared" ca="1" si="37"/>
        <v>72.588064351995399</v>
      </c>
      <c r="O293" s="23"/>
      <c r="P293" s="23"/>
    </row>
    <row r="294" spans="4:16" x14ac:dyDescent="0.15">
      <c r="D294" s="16">
        <v>2080</v>
      </c>
      <c r="J294" s="23">
        <f t="shared" ca="1" si="37"/>
        <v>72.784778184895174</v>
      </c>
      <c r="O294" s="23"/>
      <c r="P294" s="23"/>
    </row>
    <row r="295" spans="4:16" x14ac:dyDescent="0.15">
      <c r="D295" s="16">
        <v>2081</v>
      </c>
      <c r="J295" s="23">
        <f t="shared" ca="1" si="37"/>
        <v>72.977740282281403</v>
      </c>
      <c r="O295" s="23"/>
      <c r="P295" s="23"/>
    </row>
    <row r="296" spans="4:16" x14ac:dyDescent="0.15">
      <c r="D296" s="16">
        <v>2082</v>
      </c>
      <c r="J296" s="23">
        <f t="shared" ca="1" si="37"/>
        <v>73.167000184872407</v>
      </c>
      <c r="O296" s="23"/>
      <c r="P296" s="23"/>
    </row>
    <row r="297" spans="4:16" x14ac:dyDescent="0.15">
      <c r="D297" s="16">
        <v>2083</v>
      </c>
      <c r="J297" s="23">
        <f t="shared" ca="1" si="37"/>
        <v>73.352607749863054</v>
      </c>
      <c r="O297" s="23"/>
      <c r="P297" s="23"/>
    </row>
    <row r="298" spans="4:16" x14ac:dyDescent="0.15">
      <c r="D298" s="16">
        <v>2084</v>
      </c>
      <c r="J298" s="23">
        <f t="shared" ca="1" si="37"/>
        <v>73.534613098097481</v>
      </c>
      <c r="O298" s="23"/>
      <c r="P298" s="23"/>
    </row>
    <row r="299" spans="4:16" x14ac:dyDescent="0.15">
      <c r="D299" s="16">
        <v>2085</v>
      </c>
      <c r="J299" s="23">
        <f t="shared" ca="1" si="37"/>
        <v>73.7130665632031</v>
      </c>
      <c r="O299" s="23"/>
      <c r="P299" s="23"/>
    </row>
    <row r="300" spans="4:16" x14ac:dyDescent="0.15">
      <c r="D300" s="16">
        <v>2086</v>
      </c>
      <c r="J300" s="23">
        <f t="shared" ca="1" si="37"/>
        <v>73.888018642674311</v>
      </c>
      <c r="O300" s="23"/>
      <c r="P300" s="23"/>
    </row>
    <row r="301" spans="4:16" x14ac:dyDescent="0.15">
      <c r="D301" s="16">
        <v>2087</v>
      </c>
      <c r="J301" s="23">
        <f t="shared" ca="1" si="37"/>
        <v>74.059519950890959</v>
      </c>
      <c r="O301" s="23"/>
      <c r="P301" s="23"/>
    </row>
    <row r="302" spans="4:16" x14ac:dyDescent="0.15">
      <c r="D302" s="16">
        <v>2088</v>
      </c>
      <c r="J302" s="23">
        <f t="shared" ca="1" si="37"/>
        <v>74.227621174052985</v>
      </c>
      <c r="O302" s="23"/>
      <c r="P302" s="23"/>
    </row>
    <row r="303" spans="4:16" x14ac:dyDescent="0.15">
      <c r="D303" s="16">
        <v>2089</v>
      </c>
      <c r="J303" s="23">
        <f t="shared" ca="1" si="37"/>
        <v>74.392373027009313</v>
      </c>
      <c r="O303" s="23"/>
      <c r="P303" s="23"/>
    </row>
    <row r="304" spans="4:16" x14ac:dyDescent="0.15">
      <c r="D304" s="16">
        <v>2090</v>
      </c>
      <c r="J304" s="23">
        <f t="shared" ca="1" si="37"/>
        <v>74.55382621195632</v>
      </c>
      <c r="O304" s="23"/>
      <c r="P304" s="23"/>
    </row>
    <row r="305" spans="4:16" x14ac:dyDescent="0.15">
      <c r="D305" s="16">
        <v>2091</v>
      </c>
      <c r="J305" s="23">
        <f t="shared" ca="1" si="37"/>
        <v>74.712031378978779</v>
      </c>
      <c r="O305" s="23"/>
      <c r="P305" s="23"/>
    </row>
    <row r="306" spans="4:16" x14ac:dyDescent="0.15">
      <c r="D306" s="16">
        <v>2092</v>
      </c>
      <c r="J306" s="23">
        <f t="shared" ca="1" si="37"/>
        <v>74.867039088402834</v>
      </c>
      <c r="O306" s="23"/>
      <c r="P306" s="23"/>
    </row>
    <row r="307" spans="4:16" x14ac:dyDescent="0.15">
      <c r="D307" s="16">
        <v>2093</v>
      </c>
      <c r="J307" s="23">
        <f t="shared" ca="1" si="37"/>
        <v>75.018899774929878</v>
      </c>
      <c r="O307" s="23"/>
      <c r="P307" s="23"/>
    </row>
    <row r="308" spans="4:16" x14ac:dyDescent="0.15">
      <c r="D308" s="16">
        <v>2094</v>
      </c>
      <c r="J308" s="23">
        <f t="shared" ca="1" si="37"/>
        <v>75.167663713516589</v>
      </c>
      <c r="O308" s="23"/>
      <c r="P308" s="23"/>
    </row>
    <row r="309" spans="4:16" x14ac:dyDescent="0.15">
      <c r="D309" s="16">
        <v>2095</v>
      </c>
      <c r="J309" s="23">
        <f t="shared" ca="1" si="37"/>
        <v>75.313380986966195</v>
      </c>
      <c r="O309" s="23"/>
      <c r="P309" s="23"/>
    </row>
    <row r="310" spans="4:16" x14ac:dyDescent="0.15">
      <c r="D310" s="16">
        <v>2096</v>
      </c>
      <c r="J310" s="23">
        <f t="shared" ca="1" si="37"/>
        <v>75.456101455193149</v>
      </c>
      <c r="O310" s="23"/>
      <c r="P310" s="23"/>
    </row>
    <row r="311" spans="4:16" x14ac:dyDescent="0.15">
      <c r="D311" s="16">
        <v>2097</v>
      </c>
      <c r="J311" s="23">
        <f t="shared" ca="1" si="37"/>
        <v>75.595874726123341</v>
      </c>
      <c r="O311" s="23"/>
      <c r="P311" s="23"/>
    </row>
    <row r="312" spans="4:16" x14ac:dyDescent="0.15">
      <c r="D312" s="16">
        <v>2098</v>
      </c>
      <c r="J312" s="23">
        <f t="shared" ca="1" si="37"/>
        <v>75.732750128189707</v>
      </c>
      <c r="O312" s="23"/>
      <c r="P312" s="23"/>
    </row>
    <row r="313" spans="4:16" x14ac:dyDescent="0.15">
      <c r="D313" s="16">
        <v>2099</v>
      </c>
      <c r="J313" s="23">
        <f t="shared" ca="1" si="37"/>
        <v>75.866776684383083</v>
      </c>
      <c r="O313" s="23"/>
      <c r="P313" s="23"/>
    </row>
    <row r="314" spans="4:16" x14ac:dyDescent="0.15">
      <c r="D314" s="16">
        <v>2100</v>
      </c>
      <c r="J314" s="23">
        <f t="shared" ca="1" si="37"/>
        <v>75.998003087816713</v>
      </c>
      <c r="O314" s="23"/>
      <c r="P314" s="23"/>
    </row>
    <row r="315" spans="4:16" x14ac:dyDescent="0.15">
      <c r="D315" s="16">
        <v>2101</v>
      </c>
      <c r="J315" s="23">
        <f t="shared" ca="1" si="37"/>
        <v>76.126477678762583</v>
      </c>
      <c r="O315" s="23"/>
      <c r="P315" s="23"/>
    </row>
    <row r="316" spans="4:16" x14ac:dyDescent="0.15">
      <c r="D316" s="16">
        <v>2102</v>
      </c>
      <c r="J316" s="23">
        <f t="shared" ca="1" si="37"/>
        <v>76.252248423117095</v>
      </c>
      <c r="O316" s="23"/>
      <c r="P316" s="23"/>
    </row>
    <row r="317" spans="4:16" x14ac:dyDescent="0.15">
      <c r="D317" s="16">
        <v>2103</v>
      </c>
      <c r="J317" s="23">
        <f t="shared" ca="1" si="37"/>
        <v>76.375362892253293</v>
      </c>
      <c r="O317" s="23"/>
      <c r="P317" s="23"/>
    </row>
    <row r="318" spans="4:16" x14ac:dyDescent="0.15">
      <c r="D318" s="16">
        <v>2104</v>
      </c>
      <c r="J318" s="23">
        <f t="shared" ca="1" si="37"/>
        <v>76.495868244216936</v>
      </c>
      <c r="O318" s="23"/>
      <c r="P318" s="23"/>
    </row>
    <row r="319" spans="4:16" x14ac:dyDescent="0.15">
      <c r="D319" s="16">
        <v>2105</v>
      </c>
      <c r="J319" s="23">
        <f t="shared" ca="1" si="37"/>
        <v>76.613811206222934</v>
      </c>
      <c r="O319" s="23"/>
      <c r="P319" s="23"/>
    </row>
    <row r="320" spans="4:16" x14ac:dyDescent="0.15">
      <c r="D320" s="16">
        <v>2106</v>
      </c>
      <c r="J320" s="23">
        <f t="shared" ca="1" si="37"/>
        <v>76.72923805840955</v>
      </c>
      <c r="O320" s="23"/>
      <c r="P320" s="23"/>
    </row>
    <row r="321" spans="4:16" x14ac:dyDescent="0.15">
      <c r="D321" s="16">
        <v>2107</v>
      </c>
      <c r="J321" s="23">
        <f t="shared" ca="1" si="37"/>
        <v>76.842194618807525</v>
      </c>
      <c r="O321" s="23"/>
      <c r="P321" s="23"/>
    </row>
    <row r="322" spans="4:16" x14ac:dyDescent="0.15">
      <c r="D322" s="16">
        <v>2108</v>
      </c>
      <c r="J322" s="23">
        <f t="shared" ca="1" si="37"/>
        <v>76.952726229481016</v>
      </c>
      <c r="O322" s="23"/>
      <c r="P322" s="23"/>
    </row>
    <row r="323" spans="4:16" x14ac:dyDescent="0.15">
      <c r="D323" s="16">
        <v>2109</v>
      </c>
      <c r="J323" s="23">
        <f t="shared" ca="1" si="37"/>
        <v>77.060877743798827</v>
      </c>
      <c r="O323" s="23"/>
      <c r="P323" s="23"/>
    </row>
    <row r="324" spans="4:16" x14ac:dyDescent="0.15">
      <c r="D324" s="16">
        <v>2110</v>
      </c>
      <c r="J324" s="23">
        <f t="shared" ca="1" si="37"/>
        <v>77.166693514793323</v>
      </c>
      <c r="O324" s="23"/>
      <c r="P324" s="23"/>
    </row>
    <row r="325" spans="4:16" x14ac:dyDescent="0.15">
      <c r="D325" s="16">
        <v>2111</v>
      </c>
      <c r="J325" s="23">
        <f t="shared" ca="1" si="37"/>
        <v>77.270217384566124</v>
      </c>
      <c r="O325" s="23"/>
      <c r="P325" s="23"/>
    </row>
    <row r="326" spans="4:16" x14ac:dyDescent="0.15">
      <c r="D326" s="16">
        <v>2112</v>
      </c>
      <c r="J326" s="23">
        <f t="shared" ca="1" si="37"/>
        <v>77.371492674699525</v>
      </c>
      <c r="O326" s="23"/>
      <c r="P326" s="23"/>
    </row>
    <row r="327" spans="4:16" x14ac:dyDescent="0.15">
      <c r="D327" s="16">
        <v>2113</v>
      </c>
      <c r="J327" s="23">
        <f t="shared" ca="1" si="37"/>
        <v>77.470562177633369</v>
      </c>
      <c r="O327" s="23"/>
      <c r="P327" s="23"/>
    </row>
    <row r="328" spans="4:16" x14ac:dyDescent="0.15">
      <c r="D328" s="16">
        <v>2114</v>
      </c>
      <c r="J328" s="23">
        <f t="shared" ca="1" si="37"/>
        <v>77.567468148968004</v>
      </c>
      <c r="O328" s="23"/>
      <c r="P328" s="23"/>
    </row>
    <row r="329" spans="4:16" x14ac:dyDescent="0.15">
      <c r="D329" s="16">
        <v>2115</v>
      </c>
      <c r="J329" s="23">
        <f t="shared" ca="1" si="37"/>
        <v>77.662252300653989</v>
      </c>
      <c r="O329" s="23"/>
      <c r="P329" s="23"/>
    </row>
    <row r="330" spans="4:16" x14ac:dyDescent="0.15">
      <c r="D330" s="16">
        <v>2116</v>
      </c>
      <c r="J330" s="23">
        <f t="shared" ca="1" si="37"/>
        <v>77.754955795031165</v>
      </c>
      <c r="O330" s="23"/>
      <c r="P330" s="23"/>
    </row>
    <row r="331" spans="4:16" x14ac:dyDescent="0.15">
      <c r="D331" s="16">
        <v>2117</v>
      </c>
      <c r="J331" s="23">
        <f t="shared" ca="1" si="37"/>
        <v>77.845619239678911</v>
      </c>
      <c r="O331" s="23"/>
      <c r="P331" s="23"/>
    </row>
    <row r="332" spans="4:16" x14ac:dyDescent="0.15">
      <c r="D332" s="16">
        <v>2118</v>
      </c>
      <c r="J332" s="23">
        <f t="shared" ca="1" si="37"/>
        <v>77.934282683041772</v>
      </c>
      <c r="O332" s="23"/>
      <c r="P332" s="23"/>
    </row>
    <row r="333" spans="4:16" x14ac:dyDescent="0.15">
      <c r="D333" s="16">
        <v>2119</v>
      </c>
      <c r="J333" s="23">
        <f t="shared" ca="1" si="37"/>
        <v>78.020985610794327</v>
      </c>
      <c r="O333" s="23"/>
      <c r="P333" s="23"/>
    </row>
    <row r="334" spans="4:16" x14ac:dyDescent="0.15">
      <c r="D334" s="16">
        <v>2120</v>
      </c>
      <c r="J334" s="23">
        <f t="shared" ca="1" si="37"/>
        <v>78.105766942910847</v>
      </c>
      <c r="O334" s="23"/>
      <c r="P334" s="23"/>
    </row>
    <row r="335" spans="4:16" x14ac:dyDescent="0.15">
      <c r="D335" s="16">
        <v>2121</v>
      </c>
      <c r="J335" s="23">
        <f t="shared" ca="1" si="37"/>
        <v>78.188665031405478</v>
      </c>
      <c r="O335" s="23"/>
      <c r="P335" s="23"/>
    </row>
    <row r="336" spans="4:16" x14ac:dyDescent="0.15">
      <c r="D336" s="16">
        <v>2122</v>
      </c>
      <c r="J336" s="23">
        <f t="shared" ca="1" si="37"/>
        <v>78.269717658710221</v>
      </c>
      <c r="O336" s="23"/>
      <c r="P336" s="23"/>
    </row>
    <row r="337" spans="4:16" x14ac:dyDescent="0.15">
      <c r="D337" s="16">
        <v>2123</v>
      </c>
      <c r="J337" s="23">
        <f t="shared" ca="1" si="37"/>
        <v>78.348962036658506</v>
      </c>
      <c r="O337" s="23"/>
      <c r="P337" s="23"/>
    </row>
    <row r="338" spans="4:16" x14ac:dyDescent="0.15">
      <c r="D338" s="16">
        <v>2124</v>
      </c>
      <c r="J338" s="23">
        <f t="shared" ca="1" si="37"/>
        <v>78.426434806043346</v>
      </c>
      <c r="O338" s="23"/>
      <c r="P338" s="23"/>
    </row>
    <row r="339" spans="4:16" x14ac:dyDescent="0.15">
      <c r="D339" s="16">
        <v>2125</v>
      </c>
      <c r="J339" s="23">
        <f t="shared" ca="1" si="37"/>
        <v>78.502172036719358</v>
      </c>
      <c r="O339" s="23"/>
      <c r="P339" s="23"/>
    </row>
    <row r="340" spans="4:16" x14ac:dyDescent="0.15">
      <c r="D340" s="16">
        <v>2126</v>
      </c>
      <c r="J340" s="23">
        <f t="shared" ca="1" si="37"/>
        <v>78.576209228219923</v>
      </c>
      <c r="O340" s="23"/>
      <c r="P340" s="23"/>
    </row>
    <row r="341" spans="4:16" x14ac:dyDescent="0.15">
      <c r="D341" s="16">
        <v>2127</v>
      </c>
      <c r="J341" s="23">
        <f t="shared" ca="1" si="37"/>
        <v>78.64858131086082</v>
      </c>
      <c r="O341" s="23"/>
      <c r="P341" s="23"/>
    </row>
    <row r="342" spans="4:16" x14ac:dyDescent="0.15">
      <c r="D342" s="16">
        <v>2128</v>
      </c>
      <c r="J342" s="23">
        <f t="shared" ca="1" si="37"/>
        <v>78.719322647302704</v>
      </c>
      <c r="O342" s="23"/>
      <c r="P342" s="23"/>
    </row>
    <row r="343" spans="4:16" x14ac:dyDescent="0.15">
      <c r="D343" s="16">
        <v>2129</v>
      </c>
      <c r="J343" s="23">
        <f t="shared" ca="1" si="37"/>
        <v>78.788467034546343</v>
      </c>
      <c r="O343" s="23"/>
      <c r="P343" s="23"/>
    </row>
    <row r="344" spans="4:16" x14ac:dyDescent="0.15">
      <c r="D344" s="16">
        <v>2130</v>
      </c>
      <c r="J344" s="23">
        <f t="shared" ca="1" si="37"/>
        <v>78.85604770633438</v>
      </c>
      <c r="O344" s="23"/>
      <c r="P344" s="23"/>
    </row>
    <row r="345" spans="4:16" x14ac:dyDescent="0.15">
      <c r="D345" s="16">
        <v>2131</v>
      </c>
      <c r="J345" s="23">
        <f t="shared" ca="1" si="37"/>
        <v>78.922097335935433</v>
      </c>
      <c r="O345" s="23"/>
      <c r="P345" s="23"/>
    </row>
    <row r="346" spans="4:16" x14ac:dyDescent="0.15">
      <c r="D346" s="16">
        <v>2132</v>
      </c>
      <c r="J346" s="23">
        <f t="shared" ca="1" si="37"/>
        <v>78.986648039286436</v>
      </c>
    </row>
    <row r="347" spans="4:16" x14ac:dyDescent="0.15">
      <c r="D347" s="16">
        <v>2133</v>
      </c>
      <c r="J347" s="23">
        <f t="shared" ca="1" si="37"/>
        <v>79.049731378470199</v>
      </c>
    </row>
    <row r="348" spans="4:16" x14ac:dyDescent="0.15">
      <c r="D348" s="16">
        <v>2134</v>
      </c>
      <c r="J348" s="23">
        <f t="shared" ca="1" si="37"/>
        <v>79.111378365506326</v>
      </c>
    </row>
    <row r="349" spans="4:16" x14ac:dyDescent="0.15">
      <c r="D349" s="16">
        <v>2135</v>
      </c>
      <c r="J349" s="23">
        <f t="shared" ca="1" si="37"/>
        <v>79.171619466433924</v>
      </c>
    </row>
    <row r="350" spans="4:16" x14ac:dyDescent="0.15">
      <c r="D350" s="16">
        <v>2136</v>
      </c>
      <c r="J350" s="23">
        <f t="shared" ca="1" si="37"/>
        <v>79.230484605666234</v>
      </c>
    </row>
    <row r="351" spans="4:16" x14ac:dyDescent="0.15">
      <c r="D351" s="16">
        <v>2137</v>
      </c>
      <c r="J351" s="23">
        <f t="shared" ca="1" si="37"/>
        <v>79.288003170596753</v>
      </c>
    </row>
    <row r="352" spans="4:16" x14ac:dyDescent="0.15">
      <c r="D352" s="16">
        <v>2138</v>
      </c>
      <c r="J352" s="23">
        <f t="shared" ca="1" si="37"/>
        <v>79.344204016439093</v>
      </c>
    </row>
    <row r="353" spans="4:10" x14ac:dyDescent="0.15">
      <c r="D353" s="16">
        <v>2139</v>
      </c>
      <c r="J353" s="23">
        <f t="shared" ref="J353:J364" ca="1" si="38">F$1/(1+EXP((AVERAGE(E$2:F$2)-D353)*LN(81)/(F$2-E$2)))</f>
        <v>79.399115471281689</v>
      </c>
    </row>
    <row r="354" spans="4:10" x14ac:dyDescent="0.15">
      <c r="D354" s="16">
        <v>2140</v>
      </c>
      <c r="J354" s="23">
        <f t="shared" ca="1" si="38"/>
        <v>79.452765341340637</v>
      </c>
    </row>
    <row r="355" spans="4:10" x14ac:dyDescent="0.15">
      <c r="D355" s="16">
        <v>2141</v>
      </c>
      <c r="J355" s="23">
        <f t="shared" ca="1" si="38"/>
        <v>79.505180916393996</v>
      </c>
    </row>
    <row r="356" spans="4:10" x14ac:dyDescent="0.15">
      <c r="D356" s="16">
        <v>2142</v>
      </c>
      <c r="J356" s="23">
        <f t="shared" ca="1" si="38"/>
        <v>79.556388975381822</v>
      </c>
    </row>
    <row r="357" spans="4:10" x14ac:dyDescent="0.15">
      <c r="D357" s="16">
        <v>2143</v>
      </c>
      <c r="J357" s="23">
        <f t="shared" ca="1" si="38"/>
        <v>79.606415792156923</v>
      </c>
    </row>
    <row r="358" spans="4:10" x14ac:dyDescent="0.15">
      <c r="D358" s="16">
        <v>2144</v>
      </c>
      <c r="J358" s="23">
        <f t="shared" ca="1" si="38"/>
        <v>79.655287141371886</v>
      </c>
    </row>
    <row r="359" spans="4:10" x14ac:dyDescent="0.15">
      <c r="D359" s="16">
        <v>2145</v>
      </c>
      <c r="J359" s="23">
        <f t="shared" ca="1" si="38"/>
        <v>79.703028304488797</v>
      </c>
    </row>
    <row r="360" spans="4:10" x14ac:dyDescent="0.15">
      <c r="D360" s="16">
        <v>2146</v>
      </c>
      <c r="J360" s="23">
        <f t="shared" ca="1" si="38"/>
        <v>79.749664075898551</v>
      </c>
    </row>
    <row r="361" spans="4:10" x14ac:dyDescent="0.15">
      <c r="D361" s="16">
        <v>2147</v>
      </c>
      <c r="J361" s="23">
        <f t="shared" ca="1" si="38"/>
        <v>79.795218769137165</v>
      </c>
    </row>
    <row r="362" spans="4:10" x14ac:dyDescent="0.15">
      <c r="D362" s="16">
        <v>2148</v>
      </c>
      <c r="J362" s="23">
        <f t="shared" ca="1" si="38"/>
        <v>79.839716223187793</v>
      </c>
    </row>
    <row r="363" spans="4:10" x14ac:dyDescent="0.15">
      <c r="D363" s="16">
        <v>2149</v>
      </c>
      <c r="J363" s="23">
        <f t="shared" ca="1" si="38"/>
        <v>79.883179808856568</v>
      </c>
    </row>
    <row r="364" spans="4:10" x14ac:dyDescent="0.15">
      <c r="D364" s="16">
        <v>2150</v>
      </c>
      <c r="J364" s="23">
        <f t="shared" ca="1" si="38"/>
        <v>79.925632435212137</v>
      </c>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008000"/>
  </sheetPr>
  <dimension ref="A1:BK345"/>
  <sheetViews>
    <sheetView topLeftCell="A131" zoomScaleNormal="100" workbookViewId="0">
      <selection activeCell="C152" sqref="C152"/>
    </sheetView>
  </sheetViews>
  <sheetFormatPr baseColWidth="10" defaultColWidth="9.1640625" defaultRowHeight="11" x14ac:dyDescent="0.15"/>
  <cols>
    <col min="1" max="1" width="6.6640625" style="15" customWidth="1"/>
    <col min="2" max="2" width="90.6640625" style="15" customWidth="1"/>
    <col min="3" max="3" width="7.5" style="15" customWidth="1"/>
    <col min="4" max="4" width="4.5" style="15" bestFit="1" customWidth="1"/>
    <col min="5" max="5" width="6.5" style="15" bestFit="1" customWidth="1"/>
    <col min="6" max="6" width="4.5" style="15" bestFit="1" customWidth="1"/>
    <col min="7" max="7" width="12.6640625" style="15" bestFit="1" customWidth="1"/>
    <col min="8" max="8" width="8.6640625" style="15" bestFit="1" customWidth="1"/>
    <col min="9" max="9" width="5.33203125" style="15" bestFit="1" customWidth="1"/>
    <col min="10" max="10" width="3.1640625" style="15" bestFit="1" customWidth="1"/>
    <col min="11" max="11" width="5.1640625" style="15" bestFit="1" customWidth="1"/>
    <col min="12" max="12" width="4" style="15" bestFit="1" customWidth="1"/>
    <col min="13" max="13" width="8.83203125" style="15" bestFit="1" customWidth="1"/>
    <col min="14" max="14" width="6.83203125" style="15" bestFit="1" customWidth="1"/>
    <col min="15" max="15" width="6.6640625" style="15" bestFit="1" customWidth="1"/>
    <col min="16" max="16" width="7.6640625" style="15" bestFit="1" customWidth="1"/>
    <col min="17" max="17" width="5.1640625" style="15" customWidth="1"/>
    <col min="18" max="18" width="6.1640625" style="15" bestFit="1" customWidth="1"/>
    <col min="19" max="19" width="12" style="15" bestFit="1" customWidth="1"/>
    <col min="20" max="20" width="8.1640625" style="15" bestFit="1" customWidth="1"/>
    <col min="21" max="21" width="11.1640625" style="15" bestFit="1" customWidth="1"/>
    <col min="22" max="22" width="7.5" style="15" bestFit="1" customWidth="1"/>
    <col min="23" max="23" width="9.33203125" style="15" bestFit="1" customWidth="1"/>
    <col min="24" max="24" width="6.5" style="15" bestFit="1" customWidth="1"/>
    <col min="25" max="25" width="11.33203125" style="15" bestFit="1" customWidth="1"/>
    <col min="26" max="27" width="7.1640625" style="15" bestFit="1" customWidth="1"/>
    <col min="28" max="28" width="5.83203125" style="15" bestFit="1" customWidth="1"/>
    <col min="29" max="29" width="6.5" style="15" bestFit="1" customWidth="1"/>
    <col min="30" max="30" width="5.83203125" style="15" bestFit="1" customWidth="1"/>
    <col min="31" max="31" width="4" style="15" bestFit="1" customWidth="1"/>
    <col min="32" max="32" width="9.5" style="15" bestFit="1" customWidth="1"/>
    <col min="33" max="33" width="6.1640625" style="15" bestFit="1" customWidth="1"/>
    <col min="34" max="34" width="5.6640625" style="15" bestFit="1" customWidth="1"/>
    <col min="35" max="35" width="6.6640625" style="15" bestFit="1" customWidth="1"/>
    <col min="36" max="36" width="7" style="15" bestFit="1" customWidth="1"/>
    <col min="37" max="37" width="4.6640625" style="15" bestFit="1" customWidth="1"/>
    <col min="38" max="38" width="6.33203125" style="15" bestFit="1" customWidth="1"/>
    <col min="39" max="39" width="5.5" style="15" bestFit="1" customWidth="1"/>
    <col min="40" max="40" width="6.33203125" style="15" bestFit="1" customWidth="1"/>
    <col min="41" max="41" width="8.1640625" style="15" bestFit="1" customWidth="1"/>
    <col min="42" max="16384" width="9.1640625" style="15"/>
  </cols>
  <sheetData>
    <row r="1" spans="1:63" x14ac:dyDescent="0.15">
      <c r="E1" s="95">
        <f ca="1">RSQ(OFFSET(G$13,E3-D$13,0):OFFSET(G$13,E4-D$13,0),OFFSET(D$13,E3-D$13,0):OFFSET(D$13,E4-D$13,0))</f>
        <v>0.99988411564603819</v>
      </c>
      <c r="F1" s="6">
        <v>4.4435745743336579</v>
      </c>
      <c r="G1" s="273" t="s">
        <v>251</v>
      </c>
      <c r="H1" s="23"/>
    </row>
    <row r="2" spans="1:63" x14ac:dyDescent="0.15">
      <c r="E2" s="12">
        <f ca="1" xml:space="preserve"> (- INTERCEPT(OFFSET(G$13,E3-D$13,0):OFFSET(G$13,E4-D$13,0),OFFSET(D$13,E3-D$13,0):OFFSET(D$13,E4-D$13,0)) - LN(9))/SLOPE(OFFSET(G$13,E3-D$13,0):OFFSET(G$13,E4-D$13,0),OFFSET(D$13,E3-D$13,0):OFFSET(D$13,E4-D$13,0))</f>
        <v>1962.3884178326775</v>
      </c>
      <c r="F2" s="12">
        <f ca="1" xml:space="preserve"> (- INTERCEPT(OFFSET(G17,E3-D17,0):OFFSET(G17,E4-D17,0),OFFSET(D17,E3-D17,0):OFFSET(D17,E4-D17,0)) + LN(9))/SLOPE(OFFSET(G17,E3-D17,0):OFFSET(G17,E4-D17,0),OFFSET(D17,E3-D17,0):OFFSET(D17,E4-D17,0))</f>
        <v>2029.9860884270863</v>
      </c>
      <c r="G2" s="273" t="s">
        <v>249</v>
      </c>
      <c r="H2" s="107"/>
    </row>
    <row r="3" spans="1:63" x14ac:dyDescent="0.15">
      <c r="E3" s="3">
        <v>1983</v>
      </c>
      <c r="F3" s="8">
        <f ca="1">(E3-AVERAGE(E$2:F$2))/(F$2-E$2)*LN(81)</f>
        <v>-0.85728861452592542</v>
      </c>
      <c r="G3" s="273" t="s">
        <v>247</v>
      </c>
      <c r="H3" s="6"/>
    </row>
    <row r="4" spans="1:63" x14ac:dyDescent="0.15">
      <c r="E4" s="3">
        <f ca="1">OFFSET(D13,COUNT(E14:E298),0)</f>
        <v>2009</v>
      </c>
      <c r="F4" s="8">
        <f ca="1">(E4-AVERAGE(E$2:F$2))/(F$2-E$2)*LN(81)</f>
        <v>0.8329423803707221</v>
      </c>
      <c r="G4" s="10"/>
      <c r="H4" s="6"/>
    </row>
    <row r="5" spans="1:63" x14ac:dyDescent="0.15">
      <c r="E5" s="95">
        <f ca="1">RSQ(OFFSET(K$13,E3-D$13,0):OFFSET(K$13,E4-D$13,0),OFFSET(D$13,E3-D$13,0):OFFSET(D$13,E4-D$13,0))</f>
        <v>0.99983940126565929</v>
      </c>
      <c r="F5" s="27">
        <v>4.4349439122728365</v>
      </c>
      <c r="G5" s="116" t="s">
        <v>73</v>
      </c>
      <c r="H5" s="3"/>
    </row>
    <row r="6" spans="1:63" x14ac:dyDescent="0.15">
      <c r="C6" s="108"/>
      <c r="E6" s="95">
        <f ca="1">RSQ(OFFSET(M$13,E8-D$13,0):OFFSET(M$13,E9-D$13,0),OFFSET(D$13,E8-D$13,0):OFFSET(D$13,E9-D$13,0))</f>
        <v>0.99913161311078413</v>
      </c>
      <c r="F6" s="6">
        <v>1.0490881232672864</v>
      </c>
      <c r="G6" s="116" t="s">
        <v>76</v>
      </c>
      <c r="J6" s="110"/>
    </row>
    <row r="7" spans="1:63" x14ac:dyDescent="0.15">
      <c r="C7" s="108"/>
      <c r="E7" s="12">
        <f ca="1">(-INTERCEPT(OFFSET(M$13,E8-D$13,0):OFFSET(M$13,E9-D$13,0),OFFSET(D$13,E8-D$13,0):OFFSET(D$13,E9-D$13,0))+NORMSINV(0.1))/SLOPE(OFFSET(M$13,E8-D$13,0):OFFSET(M$13,E9-D$13,0),OFFSET(D$13,E8-D$13,0):OFFSET(D$13,E9-D$13,0))</f>
        <v>1903.6337826880772</v>
      </c>
      <c r="F7" s="12">
        <f ca="1">(-INTERCEPT(OFFSET(M$13,E8-D$13,0):OFFSET(M$13,E9-D$13,0),OFFSET(D$13,E8-D$13,0):OFFSET(D$13,E9-D$13,0))+NORMSINV(0.9))/SLOPE(OFFSET(M$13,E8-D$13,0):OFFSET(M$13,E9-D$13,0),OFFSET(D$13,E8-D$13,0):OFFSET(D$13,E9-D$13,0))</f>
        <v>1970.3704647592076</v>
      </c>
      <c r="G7" s="273" t="s">
        <v>176</v>
      </c>
      <c r="H7" s="110"/>
      <c r="J7" s="110"/>
    </row>
    <row r="8" spans="1:63" x14ac:dyDescent="0.15">
      <c r="E8" s="3">
        <v>1877</v>
      </c>
      <c r="F8" s="8">
        <f ca="1">(E8-AVERAGE(E$7:F$7))/(F$7-E$7)*(NORMSINV(0.9)-NORMSINV(0.1))</f>
        <v>-2.3044542583665257</v>
      </c>
      <c r="G8" s="172" t="s">
        <v>81</v>
      </c>
      <c r="H8" s="6"/>
    </row>
    <row r="9" spans="1:63" x14ac:dyDescent="0.15">
      <c r="E9" s="3">
        <v>1969</v>
      </c>
      <c r="F9" s="8">
        <f ca="1">(E9-AVERAGE(E$7:F$7))/(F$7-E$7)*(NORMSINV(0.9)-NORMSINV(0.1))</f>
        <v>1.2289172060535409</v>
      </c>
      <c r="G9" s="10"/>
      <c r="H9" s="6"/>
    </row>
    <row r="10" spans="1:63" x14ac:dyDescent="0.15">
      <c r="E10" s="11">
        <f ca="1">RSQ(OFFSET(P$13,E8-D$13,0):OFFSET(P$13,E9-D$13,0),OFFSET(D$13,E8-D$13,0):OFFSET(D$13,E9-D$13,0))</f>
        <v>0.99673049101086597</v>
      </c>
      <c r="F10" s="6">
        <v>1.0060373762361654</v>
      </c>
      <c r="G10" s="116" t="s">
        <v>77</v>
      </c>
      <c r="H10" s="3"/>
    </row>
    <row r="11" spans="1:63" x14ac:dyDescent="0.15">
      <c r="D11" s="75"/>
      <c r="G11" s="28"/>
    </row>
    <row r="12" spans="1:63" x14ac:dyDescent="0.15">
      <c r="D12" s="75"/>
      <c r="E12" s="17" t="s">
        <v>0</v>
      </c>
      <c r="F12" s="22" t="s">
        <v>1</v>
      </c>
      <c r="G12" s="109" t="s">
        <v>2</v>
      </c>
      <c r="H12" s="209" t="s">
        <v>217</v>
      </c>
      <c r="I12" s="106" t="s">
        <v>20</v>
      </c>
      <c r="J12" s="118" t="s">
        <v>41</v>
      </c>
      <c r="K12" s="112" t="s">
        <v>3</v>
      </c>
      <c r="M12" s="109" t="s">
        <v>69</v>
      </c>
      <c r="N12" s="171" t="s">
        <v>117</v>
      </c>
      <c r="O12" s="171" t="s">
        <v>116</v>
      </c>
      <c r="P12" s="109" t="s">
        <v>70</v>
      </c>
      <c r="Q12" s="112"/>
      <c r="R12" s="22"/>
      <c r="S12" s="199" t="s">
        <v>166</v>
      </c>
      <c r="T12" s="140" t="s">
        <v>67</v>
      </c>
      <c r="U12" s="131" t="s">
        <v>26</v>
      </c>
      <c r="V12" s="206" t="s">
        <v>173</v>
      </c>
      <c r="W12" s="207" t="s">
        <v>174</v>
      </c>
    </row>
    <row r="13" spans="1:63" x14ac:dyDescent="0.15">
      <c r="A13" s="75"/>
      <c r="B13" s="82"/>
      <c r="C13" s="75"/>
      <c r="D13" s="16">
        <v>1857</v>
      </c>
      <c r="E13" s="105"/>
      <c r="F13" s="105">
        <v>0</v>
      </c>
      <c r="G13" s="30"/>
      <c r="H13" s="30"/>
      <c r="I13" s="30"/>
      <c r="J13" s="30"/>
      <c r="K13" s="30"/>
      <c r="M13" s="30"/>
      <c r="N13" s="23"/>
      <c r="O13" s="23"/>
      <c r="P13" s="23"/>
      <c r="Q13" s="30"/>
      <c r="R13" s="147" t="s">
        <v>7</v>
      </c>
      <c r="S13" s="132">
        <v>1913</v>
      </c>
      <c r="T13" s="136">
        <f t="shared" ref="T13:T31" si="0">SUM(V13:W13)+LOOKUP(U13,D$13:D$198,F$13:F$198)</f>
        <v>1234.4635225</v>
      </c>
      <c r="U13" s="135">
        <v>1913</v>
      </c>
      <c r="V13" s="276">
        <v>1234.269</v>
      </c>
      <c r="W13" s="22"/>
      <c r="X13" s="22"/>
      <c r="Y13" s="22"/>
      <c r="Z13" s="22"/>
      <c r="AA13" s="22"/>
      <c r="AB13" s="22"/>
      <c r="AC13" s="22"/>
      <c r="AD13" s="22"/>
      <c r="AE13" s="22"/>
      <c r="AF13" s="22"/>
      <c r="AG13" s="22"/>
      <c r="AH13" s="22"/>
      <c r="AI13" s="22"/>
      <c r="AJ13" s="22"/>
      <c r="AK13" s="22"/>
      <c r="AL13" s="22"/>
      <c r="AM13" s="22"/>
      <c r="AN13" s="22"/>
      <c r="AO13" s="22"/>
      <c r="AQ13" s="23"/>
      <c r="AR13" s="23"/>
      <c r="AS13" s="23"/>
      <c r="AT13" s="23"/>
      <c r="AU13" s="23"/>
      <c r="AV13" s="23"/>
      <c r="AW13" s="23"/>
      <c r="AX13" s="23"/>
      <c r="AY13" s="23"/>
      <c r="AZ13" s="23"/>
      <c r="BA13" s="23"/>
      <c r="BB13" s="23"/>
      <c r="BC13" s="23"/>
      <c r="BD13" s="23"/>
      <c r="BE13" s="23"/>
      <c r="BF13" s="23"/>
      <c r="BG13" s="23"/>
      <c r="BH13" s="23"/>
      <c r="BI13" s="23"/>
      <c r="BJ13" s="23"/>
      <c r="BK13" s="23"/>
    </row>
    <row r="14" spans="1:63" x14ac:dyDescent="0.15">
      <c r="A14" s="75"/>
      <c r="B14" s="75"/>
      <c r="C14" s="75"/>
      <c r="D14" s="16">
        <v>1858</v>
      </c>
      <c r="E14" s="19">
        <v>0.22800000000000001</v>
      </c>
      <c r="F14" s="23">
        <f t="shared" ref="F14:F77" si="1">F13+E14/1000</f>
        <v>2.2800000000000001E-4</v>
      </c>
      <c r="G14" s="6">
        <f t="shared" ref="G14:G45" si="2" xml:space="preserve"> - LN(F$1/F14 - 1)</f>
        <v>-9.877572754497967</v>
      </c>
      <c r="H14" s="6"/>
      <c r="I14" s="23">
        <f t="shared" ref="I14:I45" ca="1" si="3" xml:space="preserve"> (G14*(F$2-E$2)/LN(81) + AVERAGE(E$2:F$2) - D14)*12</f>
        <v>-165.05564042349488</v>
      </c>
      <c r="J14" s="6"/>
      <c r="K14" s="6">
        <f t="shared" ref="K14:K45" si="4">NORMSINV(F14/F$5)</f>
        <v>-3.883839510122014</v>
      </c>
      <c r="M14" s="30">
        <f t="shared" ref="M14:M45" si="5">NORMSINV(F14/F$6)</f>
        <v>-3.5180910492173334</v>
      </c>
      <c r="N14" s="6">
        <f t="shared" ref="N14:N45" ca="1" si="6">(M14*(F$7-E$7)/(NORMSINV(0.9)-NORMSINV(0.1))-(D14-AVERAGE(E$7:F$7)))*12</f>
        <v>-151.20015786373085</v>
      </c>
      <c r="O14" s="6"/>
      <c r="P14" s="6">
        <f t="shared" ref="P14:P45" si="7" xml:space="preserve"> - LN(F$10/F14 - 1)</f>
        <v>-8.3919574958897023</v>
      </c>
      <c r="Q14" s="6"/>
      <c r="R14" s="145" t="s">
        <v>102</v>
      </c>
      <c r="S14" s="15">
        <v>1948</v>
      </c>
      <c r="T14" s="136">
        <f t="shared" si="0"/>
        <v>90.298962500000002</v>
      </c>
      <c r="U14" s="15">
        <v>1946</v>
      </c>
      <c r="V14" s="129">
        <v>89.644000000000005</v>
      </c>
      <c r="W14" s="23"/>
      <c r="X14" s="23"/>
      <c r="Y14" s="23"/>
      <c r="Z14" s="23"/>
      <c r="AA14" s="23"/>
      <c r="AB14" s="23"/>
      <c r="AC14" s="23"/>
      <c r="AD14" s="23"/>
      <c r="AE14" s="23"/>
      <c r="AF14" s="23"/>
      <c r="AG14" s="23"/>
      <c r="AH14" s="23"/>
      <c r="AI14" s="23"/>
      <c r="AJ14" s="23"/>
      <c r="AK14" s="23"/>
      <c r="AL14" s="23"/>
      <c r="AM14" s="23"/>
      <c r="AN14" s="23"/>
      <c r="AO14" s="23"/>
      <c r="AQ14" s="23"/>
      <c r="AR14" s="23"/>
      <c r="AS14" s="23"/>
      <c r="AT14" s="23"/>
      <c r="AU14" s="23"/>
      <c r="AV14" s="23"/>
      <c r="AW14" s="23"/>
      <c r="AX14" s="23"/>
      <c r="AY14" s="23"/>
      <c r="AZ14" s="23"/>
      <c r="BA14" s="23"/>
      <c r="BB14" s="23"/>
      <c r="BC14" s="23"/>
      <c r="BD14" s="23"/>
      <c r="BE14" s="23"/>
      <c r="BF14" s="23"/>
      <c r="BG14" s="23"/>
      <c r="BH14" s="23"/>
      <c r="BI14" s="23"/>
      <c r="BJ14" s="23"/>
      <c r="BK14" s="23"/>
    </row>
    <row r="15" spans="1:63" x14ac:dyDescent="0.15">
      <c r="A15" s="75"/>
      <c r="B15" s="75"/>
      <c r="C15" s="75"/>
      <c r="D15" s="16">
        <v>1859</v>
      </c>
      <c r="E15" s="19">
        <v>0.26600000000000001</v>
      </c>
      <c r="F15" s="23">
        <f t="shared" si="1"/>
        <v>4.9400000000000008E-4</v>
      </c>
      <c r="G15" s="6">
        <f t="shared" si="2"/>
        <v>-9.1043229996846708</v>
      </c>
      <c r="H15" s="6"/>
      <c r="I15" s="23">
        <f t="shared" ca="1" si="3"/>
        <v>-34.321348938974552</v>
      </c>
      <c r="J15" s="6"/>
      <c r="K15" s="6">
        <f t="shared" si="4"/>
        <v>-3.6916816406593802</v>
      </c>
      <c r="M15" s="30">
        <f t="shared" si="5"/>
        <v>-3.3073681721833736</v>
      </c>
      <c r="N15" s="6">
        <f t="shared" ca="1" si="6"/>
        <v>-97.359909084885203</v>
      </c>
      <c r="O15" s="6"/>
      <c r="P15" s="6">
        <f t="shared" si="7"/>
        <v>-7.6185031090482829</v>
      </c>
      <c r="Q15" s="6"/>
      <c r="R15" s="145" t="s">
        <v>103</v>
      </c>
      <c r="S15" s="15">
        <v>1950</v>
      </c>
      <c r="T15" s="136">
        <f t="shared" si="0"/>
        <v>90.299962499999992</v>
      </c>
      <c r="U15" s="15">
        <v>1946</v>
      </c>
      <c r="V15" s="129">
        <v>89.644999999999996</v>
      </c>
      <c r="W15" s="23"/>
      <c r="X15" s="23"/>
      <c r="Y15" s="23"/>
      <c r="Z15" s="23"/>
      <c r="AA15" s="23"/>
      <c r="AB15" s="23"/>
      <c r="AC15" s="23"/>
      <c r="AD15" s="23"/>
      <c r="AE15" s="23"/>
      <c r="AF15" s="23"/>
      <c r="AG15" s="23"/>
      <c r="AH15" s="23"/>
      <c r="AI15" s="23"/>
      <c r="AJ15" s="23"/>
      <c r="AK15" s="23"/>
      <c r="AL15" s="23"/>
      <c r="AM15" s="23"/>
      <c r="AN15" s="23"/>
      <c r="AO15" s="23"/>
      <c r="AQ15" s="23"/>
      <c r="AR15" s="23"/>
      <c r="AS15" s="23"/>
      <c r="AT15" s="23"/>
      <c r="AU15" s="23"/>
      <c r="AV15" s="23"/>
      <c r="AW15" s="23"/>
      <c r="AX15" s="23"/>
      <c r="AY15" s="23"/>
      <c r="AZ15" s="23"/>
      <c r="BA15" s="23"/>
      <c r="BB15" s="23"/>
      <c r="BC15" s="23"/>
      <c r="BD15" s="23"/>
      <c r="BE15" s="23"/>
      <c r="BF15" s="23"/>
      <c r="BG15" s="23"/>
      <c r="BH15" s="23"/>
      <c r="BI15" s="23"/>
      <c r="BJ15" s="23"/>
      <c r="BK15" s="23"/>
    </row>
    <row r="16" spans="1:63" x14ac:dyDescent="0.15">
      <c r="A16" s="75"/>
      <c r="B16" s="75"/>
      <c r="C16" s="75"/>
      <c r="D16" s="16">
        <v>1860</v>
      </c>
      <c r="E16" s="19">
        <v>0.314</v>
      </c>
      <c r="F16" s="23">
        <f t="shared" si="1"/>
        <v>8.0800000000000012E-4</v>
      </c>
      <c r="G16" s="6">
        <f t="shared" si="2"/>
        <v>-8.6122257841670606</v>
      </c>
      <c r="H16" s="6"/>
      <c r="I16" s="23">
        <f t="shared" ca="1" si="3"/>
        <v>44.514951960171857</v>
      </c>
      <c r="J16" s="6"/>
      <c r="K16" s="6">
        <f t="shared" si="4"/>
        <v>-3.5646234639657637</v>
      </c>
      <c r="M16" s="30">
        <f t="shared" si="5"/>
        <v>-3.1669656029829278</v>
      </c>
      <c r="N16" s="6">
        <f t="shared" ca="1" si="6"/>
        <v>-65.491202395498533</v>
      </c>
      <c r="O16" s="6"/>
      <c r="P16" s="6">
        <f t="shared" si="7"/>
        <v>-7.1261642499734199</v>
      </c>
      <c r="Q16" s="6"/>
      <c r="R16" s="145" t="s">
        <v>105</v>
      </c>
      <c r="S16" s="15">
        <v>1954</v>
      </c>
      <c r="T16" s="136">
        <f t="shared" si="0"/>
        <v>90.412040500000003</v>
      </c>
      <c r="U16" s="15">
        <v>1953</v>
      </c>
      <c r="V16" s="129">
        <v>89.644000000000005</v>
      </c>
      <c r="W16" s="23"/>
      <c r="X16" s="23"/>
      <c r="Y16" s="23"/>
      <c r="Z16" s="23"/>
      <c r="AA16" s="23"/>
      <c r="AB16" s="23"/>
      <c r="AC16" s="23"/>
      <c r="AD16" s="23"/>
      <c r="AE16" s="23"/>
      <c r="AF16" s="23"/>
      <c r="AG16" s="23"/>
      <c r="AH16" s="23"/>
      <c r="AI16" s="23"/>
      <c r="AJ16" s="23"/>
      <c r="AK16" s="23"/>
      <c r="AL16" s="23"/>
      <c r="AM16" s="23"/>
      <c r="AN16" s="23"/>
      <c r="AO16" s="23"/>
    </row>
    <row r="17" spans="1:41" x14ac:dyDescent="0.15">
      <c r="A17" s="75"/>
      <c r="B17" s="75"/>
      <c r="C17" s="75"/>
      <c r="D17" s="16">
        <v>1861</v>
      </c>
      <c r="E17" s="19">
        <v>0.33</v>
      </c>
      <c r="F17" s="23">
        <f t="shared" si="1"/>
        <v>1.1380000000000001E-3</v>
      </c>
      <c r="G17" s="6">
        <f t="shared" si="2"/>
        <v>-8.2696859472016264</v>
      </c>
      <c r="H17" s="6"/>
      <c r="I17" s="23">
        <f t="shared" ca="1" si="3"/>
        <v>95.744433288994514</v>
      </c>
      <c r="J17" s="6"/>
      <c r="K17" s="6">
        <f t="shared" si="4"/>
        <v>-3.4737719445541901</v>
      </c>
      <c r="M17" s="30">
        <f t="shared" si="5"/>
        <v>-3.0659903507817181</v>
      </c>
      <c r="N17" s="6">
        <f t="shared" ca="1" si="6"/>
        <v>-45.941539544402872</v>
      </c>
      <c r="O17" s="6"/>
      <c r="P17" s="6">
        <f t="shared" si="7"/>
        <v>-6.7833703566282857</v>
      </c>
      <c r="Q17" s="6"/>
      <c r="R17" s="145" t="s">
        <v>106</v>
      </c>
      <c r="S17" s="15">
        <v>1956</v>
      </c>
      <c r="T17" s="136">
        <f t="shared" si="0"/>
        <v>87.560804500000003</v>
      </c>
      <c r="U17" s="15">
        <v>1945</v>
      </c>
      <c r="V17" s="129">
        <v>86.921999999999997</v>
      </c>
      <c r="W17" s="23"/>
      <c r="X17" s="23"/>
      <c r="Y17" s="23"/>
      <c r="Z17" s="23"/>
      <c r="AA17" s="23"/>
      <c r="AB17" s="23"/>
      <c r="AC17" s="23"/>
      <c r="AD17" s="23"/>
      <c r="AE17" s="23"/>
      <c r="AF17" s="23"/>
      <c r="AG17" s="23"/>
      <c r="AH17" s="23"/>
      <c r="AI17" s="23"/>
      <c r="AJ17" s="23"/>
      <c r="AK17" s="23"/>
      <c r="AL17" s="23"/>
      <c r="AM17" s="23"/>
      <c r="AN17" s="23"/>
      <c r="AO17" s="23"/>
    </row>
    <row r="18" spans="1:41" x14ac:dyDescent="0.15">
      <c r="A18" s="75"/>
      <c r="B18" s="75"/>
      <c r="C18" s="75"/>
      <c r="D18" s="16">
        <v>1862</v>
      </c>
      <c r="E18" s="19">
        <v>0.40400000000000003</v>
      </c>
      <c r="F18" s="23">
        <f t="shared" si="1"/>
        <v>1.5420000000000002E-3</v>
      </c>
      <c r="G18" s="6">
        <f t="shared" si="2"/>
        <v>-7.9657870625447122</v>
      </c>
      <c r="H18" s="6"/>
      <c r="I18" s="23">
        <f t="shared" ca="1" si="3"/>
        <v>139.8411752723332</v>
      </c>
      <c r="J18" s="6"/>
      <c r="K18" s="6">
        <f t="shared" si="4"/>
        <v>-3.3913916702463451</v>
      </c>
      <c r="M18" s="30">
        <f t="shared" si="5"/>
        <v>-2.9739744154611554</v>
      </c>
      <c r="N18" s="6">
        <f t="shared" ca="1" si="6"/>
        <v>-29.191210399325485</v>
      </c>
      <c r="O18" s="6"/>
      <c r="P18" s="6">
        <f t="shared" si="7"/>
        <v>-6.4791603060531484</v>
      </c>
      <c r="Q18" s="6"/>
      <c r="R18" s="145" t="s">
        <v>107</v>
      </c>
      <c r="S18" s="15">
        <v>1960</v>
      </c>
      <c r="T18" s="136">
        <f t="shared" si="0"/>
        <v>86.538545499999984</v>
      </c>
      <c r="U18" s="15">
        <v>1956</v>
      </c>
      <c r="V18" s="129">
        <v>85.72999999999999</v>
      </c>
      <c r="W18" s="23"/>
      <c r="X18" s="23"/>
      <c r="Y18" s="23"/>
      <c r="Z18" s="23"/>
      <c r="AA18" s="23"/>
      <c r="AB18" s="23"/>
      <c r="AC18" s="23"/>
      <c r="AD18" s="23"/>
      <c r="AE18" s="23"/>
      <c r="AF18" s="23"/>
      <c r="AG18" s="23"/>
      <c r="AH18" s="23"/>
      <c r="AI18" s="23"/>
      <c r="AJ18" s="23"/>
      <c r="AK18" s="23"/>
      <c r="AL18" s="23"/>
      <c r="AM18" s="23"/>
      <c r="AN18" s="23"/>
      <c r="AO18" s="23"/>
    </row>
    <row r="19" spans="1:41" x14ac:dyDescent="0.15">
      <c r="A19" s="75"/>
      <c r="B19" s="75"/>
      <c r="C19" s="75"/>
      <c r="D19" s="16">
        <v>1863</v>
      </c>
      <c r="E19" s="19">
        <v>0.436</v>
      </c>
      <c r="F19" s="23">
        <f t="shared" si="1"/>
        <v>1.9780000000000002E-3</v>
      </c>
      <c r="G19" s="6">
        <f t="shared" si="2"/>
        <v>-7.7166829464030737</v>
      </c>
      <c r="H19" s="6"/>
      <c r="I19" s="23">
        <f t="shared" ca="1" si="3"/>
        <v>173.82334248548523</v>
      </c>
      <c r="J19" s="6"/>
      <c r="K19" s="6">
        <f t="shared" si="4"/>
        <v>-3.322543765319053</v>
      </c>
      <c r="M19" s="30">
        <f t="shared" si="5"/>
        <v>-2.8967173002980822</v>
      </c>
      <c r="N19" s="6">
        <f t="shared" ca="1" si="6"/>
        <v>-17.052266617474459</v>
      </c>
      <c r="O19" s="6"/>
      <c r="P19" s="6">
        <f t="shared" si="7"/>
        <v>-6.2297202049799276</v>
      </c>
      <c r="Q19" s="6"/>
      <c r="R19" s="145" t="s">
        <v>108</v>
      </c>
      <c r="S19" s="15">
        <v>1962</v>
      </c>
      <c r="T19" s="136">
        <f t="shared" si="0"/>
        <v>60.8507435</v>
      </c>
      <c r="U19" s="15">
        <v>1960</v>
      </c>
      <c r="V19" s="129">
        <v>60</v>
      </c>
      <c r="W19" s="23"/>
      <c r="X19" s="23"/>
      <c r="Y19" s="23"/>
      <c r="Z19" s="23"/>
      <c r="AA19" s="23"/>
      <c r="AB19" s="23"/>
      <c r="AC19" s="23"/>
      <c r="AD19" s="23"/>
      <c r="AE19" s="23"/>
      <c r="AF19" s="23"/>
      <c r="AG19" s="23"/>
      <c r="AH19" s="23"/>
      <c r="AI19" s="23"/>
      <c r="AJ19" s="23"/>
      <c r="AK19" s="23"/>
      <c r="AL19" s="23"/>
      <c r="AM19" s="23"/>
      <c r="AN19" s="23"/>
      <c r="AO19" s="23"/>
    </row>
    <row r="20" spans="1:41" x14ac:dyDescent="0.15">
      <c r="A20" s="75"/>
      <c r="B20" s="75"/>
      <c r="C20" s="75"/>
      <c r="D20" s="16">
        <v>1864</v>
      </c>
      <c r="E20" s="19">
        <v>0.40100000000000002</v>
      </c>
      <c r="F20" s="23">
        <f t="shared" si="1"/>
        <v>2.379E-3</v>
      </c>
      <c r="G20" s="6">
        <f t="shared" si="2"/>
        <v>-7.53199866135642</v>
      </c>
      <c r="H20" s="6"/>
      <c r="I20" s="23">
        <f t="shared" ca="1" si="3"/>
        <v>195.91424314257529</v>
      </c>
      <c r="J20" s="6"/>
      <c r="K20" s="6">
        <f t="shared" si="4"/>
        <v>-3.2706929327616954</v>
      </c>
      <c r="M20" s="30">
        <f t="shared" si="5"/>
        <v>-2.8383060468564714</v>
      </c>
      <c r="N20" s="6">
        <f t="shared" ca="1" si="6"/>
        <v>-10.801702121527057</v>
      </c>
      <c r="O20" s="6"/>
      <c r="P20" s="6">
        <f t="shared" si="7"/>
        <v>-6.0447267483153793</v>
      </c>
      <c r="Q20" s="6"/>
      <c r="R20" s="145" t="s">
        <v>109</v>
      </c>
      <c r="S20" s="15">
        <v>1968</v>
      </c>
      <c r="T20" s="136">
        <f t="shared" si="0"/>
        <v>61.910216499999997</v>
      </c>
      <c r="U20" s="15">
        <v>1966</v>
      </c>
      <c r="V20" s="129">
        <v>61</v>
      </c>
      <c r="W20" s="23"/>
      <c r="X20" s="23"/>
      <c r="Y20" s="23"/>
      <c r="Z20" s="23"/>
      <c r="AA20" s="23"/>
      <c r="AB20" s="23"/>
      <c r="AC20" s="23"/>
      <c r="AD20" s="23"/>
      <c r="AE20" s="23"/>
      <c r="AF20" s="23"/>
      <c r="AG20" s="23"/>
      <c r="AH20" s="23"/>
      <c r="AI20" s="23"/>
      <c r="AJ20" s="23"/>
      <c r="AK20" s="23"/>
      <c r="AL20" s="23"/>
      <c r="AM20" s="23"/>
      <c r="AN20" s="23"/>
      <c r="AO20" s="23"/>
    </row>
    <row r="21" spans="1:41" x14ac:dyDescent="0.15">
      <c r="A21" s="75"/>
      <c r="B21" s="75"/>
      <c r="C21" s="75"/>
      <c r="D21" s="16">
        <v>1865</v>
      </c>
      <c r="E21" s="19">
        <v>0.78500000000000003</v>
      </c>
      <c r="F21" s="23">
        <f t="shared" si="1"/>
        <v>3.1640000000000001E-3</v>
      </c>
      <c r="G21" s="6">
        <f t="shared" si="2"/>
        <v>-7.2466650729423892</v>
      </c>
      <c r="H21" s="6"/>
      <c r="I21" s="23">
        <f t="shared" ca="1" si="3"/>
        <v>236.58401422946736</v>
      </c>
      <c r="J21" s="6"/>
      <c r="K21" s="6">
        <f t="shared" si="4"/>
        <v>-3.1891637928519101</v>
      </c>
      <c r="M21" s="30">
        <f t="shared" si="5"/>
        <v>-2.7460419459409313</v>
      </c>
      <c r="N21" s="6">
        <f t="shared" ca="1" si="6"/>
        <v>6.0261662292676306</v>
      </c>
      <c r="O21" s="6"/>
      <c r="P21" s="6">
        <f t="shared" si="7"/>
        <v>-5.758787485058205</v>
      </c>
      <c r="Q21" s="6"/>
      <c r="R21" s="145" t="s">
        <v>8</v>
      </c>
      <c r="S21" s="15">
        <v>1974</v>
      </c>
      <c r="T21" s="136">
        <f t="shared" si="0"/>
        <v>6.5441655000000001</v>
      </c>
      <c r="U21" s="15">
        <v>1973</v>
      </c>
      <c r="V21" s="129">
        <v>5.5369999999999999</v>
      </c>
      <c r="W21" s="23"/>
      <c r="X21" s="23"/>
      <c r="Y21" s="23"/>
      <c r="Z21" s="23"/>
      <c r="AA21" s="23"/>
      <c r="AB21" s="23"/>
      <c r="AC21" s="23"/>
      <c r="AD21" s="23"/>
      <c r="AE21" s="23"/>
      <c r="AF21" s="23"/>
      <c r="AG21" s="23"/>
      <c r="AH21" s="23"/>
      <c r="AI21" s="23"/>
      <c r="AJ21" s="23"/>
      <c r="AK21" s="23"/>
      <c r="AL21" s="23"/>
      <c r="AM21" s="23"/>
      <c r="AN21" s="23"/>
      <c r="AO21" s="23"/>
    </row>
    <row r="22" spans="1:41" x14ac:dyDescent="0.15">
      <c r="D22" s="16">
        <v>1866</v>
      </c>
      <c r="E22" s="19">
        <v>0.67849999999999999</v>
      </c>
      <c r="F22" s="23">
        <f t="shared" si="1"/>
        <v>3.8425E-3</v>
      </c>
      <c r="G22" s="6">
        <f t="shared" si="2"/>
        <v>-7.0522261135563618</v>
      </c>
      <c r="H22" s="6"/>
      <c r="I22" s="23">
        <f t="shared" ca="1" si="3"/>
        <v>260.47553172714015</v>
      </c>
      <c r="J22" s="6"/>
      <c r="K22" s="6">
        <f t="shared" si="4"/>
        <v>-3.1325703198158581</v>
      </c>
      <c r="M22" s="30">
        <f t="shared" si="5"/>
        <v>-2.6816772589649962</v>
      </c>
      <c r="N22" s="6">
        <f t="shared" ca="1" si="6"/>
        <v>14.136877807987844</v>
      </c>
      <c r="O22" s="6"/>
      <c r="P22" s="6">
        <f t="shared" si="7"/>
        <v>-5.5638245535656425</v>
      </c>
      <c r="Q22" s="6"/>
      <c r="R22" s="145" t="s">
        <v>9</v>
      </c>
      <c r="S22" s="15">
        <v>1980</v>
      </c>
      <c r="T22" s="136">
        <f t="shared" si="0"/>
        <v>7.0406865000000005</v>
      </c>
      <c r="U22" s="15">
        <v>1978</v>
      </c>
      <c r="V22" s="129">
        <v>5.9060000000000006</v>
      </c>
      <c r="W22" s="23"/>
      <c r="X22" s="23"/>
      <c r="Y22" s="23"/>
      <c r="Z22" s="23"/>
      <c r="AA22" s="23"/>
      <c r="AB22" s="23"/>
      <c r="AC22" s="23"/>
      <c r="AD22" s="23"/>
      <c r="AE22" s="23"/>
      <c r="AF22" s="23"/>
      <c r="AG22" s="23"/>
      <c r="AH22" s="23"/>
      <c r="AI22" s="23"/>
      <c r="AJ22" s="23"/>
      <c r="AK22" s="23"/>
      <c r="AL22" s="23"/>
      <c r="AM22" s="23"/>
      <c r="AN22" s="23"/>
      <c r="AO22" s="23"/>
    </row>
    <row r="23" spans="1:41" x14ac:dyDescent="0.15">
      <c r="D23" s="16">
        <v>1867</v>
      </c>
      <c r="E23" s="19">
        <v>0.57199999999999995</v>
      </c>
      <c r="F23" s="23">
        <f t="shared" si="1"/>
        <v>4.4145E-3</v>
      </c>
      <c r="G23" s="6">
        <f t="shared" si="2"/>
        <v>-6.9133258877240316</v>
      </c>
      <c r="H23" s="6"/>
      <c r="I23" s="23">
        <f t="shared" ca="1" si="3"/>
        <v>274.11514583345706</v>
      </c>
      <c r="J23" s="6"/>
      <c r="K23" s="6">
        <f t="shared" si="4"/>
        <v>-3.0916042666017534</v>
      </c>
      <c r="M23" s="30">
        <f t="shared" si="5"/>
        <v>-2.6349131963075321</v>
      </c>
      <c r="N23" s="6">
        <f t="shared" ca="1" si="6"/>
        <v>16.748283852813131</v>
      </c>
      <c r="O23" s="6"/>
      <c r="P23" s="6">
        <f t="shared" si="7"/>
        <v>-5.4244822624181692</v>
      </c>
      <c r="Q23" s="6"/>
      <c r="R23" s="145" t="s">
        <v>10</v>
      </c>
      <c r="S23" s="15">
        <v>1986</v>
      </c>
      <c r="T23" s="136">
        <f t="shared" si="0"/>
        <v>8.2356505000000002</v>
      </c>
      <c r="U23" s="15">
        <v>1984</v>
      </c>
      <c r="V23" s="129">
        <v>6.8460000000000001</v>
      </c>
      <c r="W23" s="23"/>
      <c r="X23" s="23"/>
      <c r="Y23" s="23"/>
      <c r="Z23" s="23"/>
      <c r="AA23" s="23"/>
      <c r="AB23" s="23"/>
      <c r="AC23" s="23"/>
      <c r="AD23" s="23"/>
      <c r="AE23" s="23"/>
      <c r="AF23" s="23"/>
      <c r="AG23" s="23"/>
      <c r="AH23" s="23"/>
      <c r="AI23" s="23"/>
      <c r="AJ23" s="23"/>
      <c r="AK23" s="23"/>
      <c r="AL23" s="23"/>
      <c r="AM23" s="23"/>
      <c r="AN23" s="23"/>
      <c r="AO23" s="23"/>
    </row>
    <row r="24" spans="1:41" x14ac:dyDescent="0.15">
      <c r="D24" s="16">
        <v>1868</v>
      </c>
      <c r="E24" s="19">
        <v>0.56499999999999995</v>
      </c>
      <c r="F24" s="23">
        <f t="shared" si="1"/>
        <v>4.9794999999999996E-3</v>
      </c>
      <c r="G24" s="6">
        <f t="shared" si="2"/>
        <v>-6.7927636962642284</v>
      </c>
      <c r="H24" s="6"/>
      <c r="I24" s="23">
        <f t="shared" ca="1" si="3"/>
        <v>284.36973934702655</v>
      </c>
      <c r="J24" s="6"/>
      <c r="K24" s="6">
        <f t="shared" si="4"/>
        <v>-3.0556709909992765</v>
      </c>
      <c r="M24" s="30">
        <f t="shared" si="5"/>
        <v>-2.5937696641736063</v>
      </c>
      <c r="N24" s="6">
        <f t="shared" ca="1" si="6"/>
        <v>17.603558180249024</v>
      </c>
      <c r="O24" s="6"/>
      <c r="P24" s="6">
        <f t="shared" si="7"/>
        <v>-5.3034831116719907</v>
      </c>
      <c r="Q24" s="6"/>
      <c r="R24" s="145" t="s">
        <v>11</v>
      </c>
      <c r="S24" s="15">
        <v>1989</v>
      </c>
      <c r="T24" s="136">
        <f t="shared" si="0"/>
        <v>8.5354104999999993</v>
      </c>
      <c r="U24" s="15">
        <v>1987</v>
      </c>
      <c r="V24" s="129">
        <v>6.9660000000000002</v>
      </c>
      <c r="W24" s="23"/>
      <c r="X24" s="23"/>
      <c r="Y24" s="23"/>
      <c r="Z24" s="23"/>
      <c r="AA24" s="23"/>
      <c r="AB24" s="23"/>
      <c r="AC24" s="23"/>
      <c r="AD24" s="23"/>
      <c r="AE24" s="23"/>
      <c r="AF24" s="23"/>
      <c r="AG24" s="23"/>
      <c r="AH24" s="23"/>
      <c r="AI24" s="23"/>
      <c r="AJ24" s="23"/>
      <c r="AK24" s="23"/>
      <c r="AL24" s="23"/>
      <c r="AM24" s="23"/>
      <c r="AN24" s="23"/>
      <c r="AO24" s="23"/>
    </row>
    <row r="25" spans="1:41" x14ac:dyDescent="0.15">
      <c r="D25" s="16">
        <v>1869</v>
      </c>
      <c r="E25" s="19">
        <v>0.624</v>
      </c>
      <c r="F25" s="23">
        <f t="shared" si="1"/>
        <v>5.6034999999999991E-3</v>
      </c>
      <c r="G25" s="6">
        <f t="shared" si="2"/>
        <v>-6.6745611832357241</v>
      </c>
      <c r="H25" s="6"/>
      <c r="I25" s="23">
        <f t="shared" ca="1" si="3"/>
        <v>294.18875945507079</v>
      </c>
      <c r="J25" s="6"/>
      <c r="K25" s="6">
        <f t="shared" si="4"/>
        <v>-3.020092291107968</v>
      </c>
      <c r="M25" s="30">
        <f t="shared" si="5"/>
        <v>-2.5529132255810412</v>
      </c>
      <c r="N25" s="6">
        <f t="shared" ca="1" si="6"/>
        <v>18.369130286207906</v>
      </c>
      <c r="O25" s="6"/>
      <c r="P25" s="6">
        <f t="shared" si="7"/>
        <v>-5.1847976586112798</v>
      </c>
      <c r="Q25" s="6"/>
      <c r="R25" s="145" t="s">
        <v>12</v>
      </c>
      <c r="S25" s="15">
        <v>1992</v>
      </c>
      <c r="T25" s="136">
        <f t="shared" si="0"/>
        <v>10.584930499999999</v>
      </c>
      <c r="U25" s="15">
        <v>1990</v>
      </c>
      <c r="V25" s="129">
        <v>8.6229999999999993</v>
      </c>
      <c r="W25" s="23">
        <v>0.183</v>
      </c>
      <c r="X25" s="23"/>
      <c r="Y25" s="23"/>
      <c r="Z25" s="23"/>
      <c r="AA25" s="23"/>
      <c r="AB25" s="23"/>
      <c r="AC25" s="23"/>
      <c r="AD25" s="23"/>
      <c r="AE25" s="23"/>
      <c r="AF25" s="23"/>
      <c r="AG25" s="23"/>
      <c r="AH25" s="23"/>
      <c r="AI25" s="23"/>
      <c r="AJ25" s="23"/>
      <c r="AK25" s="23"/>
      <c r="AL25" s="23"/>
      <c r="AM25" s="23"/>
      <c r="AN25" s="23"/>
      <c r="AO25" s="23"/>
    </row>
    <row r="26" spans="1:41" x14ac:dyDescent="0.15">
      <c r="D26" s="16">
        <v>1870</v>
      </c>
      <c r="E26" s="19">
        <v>0.68300000000000005</v>
      </c>
      <c r="F26" s="23">
        <f t="shared" si="1"/>
        <v>6.2864999999999987E-3</v>
      </c>
      <c r="G26" s="6">
        <f t="shared" si="2"/>
        <v>-6.5593941976954877</v>
      </c>
      <c r="H26" s="6"/>
      <c r="I26" s="23">
        <f t="shared" ca="1" si="3"/>
        <v>303.44745107594827</v>
      </c>
      <c r="J26" s="6"/>
      <c r="K26" s="6">
        <f t="shared" si="4"/>
        <v>-2.985086102078125</v>
      </c>
      <c r="M26" s="30">
        <f t="shared" si="5"/>
        <v>-2.5125946869028182</v>
      </c>
      <c r="N26" s="6">
        <f t="shared" ca="1" si="6"/>
        <v>18.966635855315587</v>
      </c>
      <c r="O26" s="6"/>
      <c r="P26" s="6">
        <f t="shared" si="7"/>
        <v>-5.069101647130724</v>
      </c>
      <c r="Q26" s="6"/>
      <c r="R26" s="145" t="s">
        <v>13</v>
      </c>
      <c r="S26" s="15">
        <v>1995</v>
      </c>
      <c r="T26" s="136">
        <f t="shared" si="0"/>
        <v>10.7907075</v>
      </c>
      <c r="U26" s="15">
        <v>1993</v>
      </c>
      <c r="V26" s="129">
        <v>8.6229999999999993</v>
      </c>
      <c r="W26" s="23">
        <v>0.183</v>
      </c>
      <c r="X26" s="23"/>
      <c r="Y26" s="23"/>
      <c r="Z26" s="23"/>
      <c r="AA26" s="23"/>
      <c r="AB26" s="23"/>
      <c r="AC26" s="23"/>
      <c r="AD26" s="23"/>
      <c r="AE26" s="23"/>
      <c r="AF26" s="23"/>
      <c r="AG26" s="23"/>
      <c r="AH26" s="23"/>
      <c r="AI26" s="23"/>
      <c r="AJ26" s="23"/>
      <c r="AK26" s="23"/>
      <c r="AL26" s="23"/>
      <c r="AM26" s="23"/>
      <c r="AN26" s="23"/>
      <c r="AO26" s="23"/>
    </row>
    <row r="27" spans="1:41" x14ac:dyDescent="0.15">
      <c r="D27" s="16">
        <v>1871</v>
      </c>
      <c r="E27" s="19">
        <v>0.91700000000000004</v>
      </c>
      <c r="F27" s="23">
        <f t="shared" si="1"/>
        <v>7.203499999999999E-3</v>
      </c>
      <c r="G27" s="6">
        <f t="shared" si="2"/>
        <v>-6.4230249766136751</v>
      </c>
      <c r="H27" s="6"/>
      <c r="I27" s="23">
        <f t="shared" ca="1" si="3"/>
        <v>316.61986662505842</v>
      </c>
      <c r="J27" s="6"/>
      <c r="K27" s="6">
        <f t="shared" si="4"/>
        <v>-2.9431872091342139</v>
      </c>
      <c r="M27" s="30">
        <f t="shared" si="5"/>
        <v>-2.4641756662319039</v>
      </c>
      <c r="N27" s="6">
        <f t="shared" ca="1" si="6"/>
        <v>22.095132634938409</v>
      </c>
      <c r="O27" s="6"/>
      <c r="P27" s="6">
        <f t="shared" si="7"/>
        <v>-4.9320214557475506</v>
      </c>
      <c r="Q27" s="6"/>
      <c r="R27" s="145" t="s">
        <v>14</v>
      </c>
      <c r="S27" s="15">
        <v>1998</v>
      </c>
      <c r="T27" s="136">
        <f t="shared" si="0"/>
        <v>11.014364299999999</v>
      </c>
      <c r="U27" s="15">
        <v>1996</v>
      </c>
      <c r="V27" s="129">
        <v>8.6229999999999993</v>
      </c>
      <c r="W27" s="23">
        <v>0.183</v>
      </c>
      <c r="X27" s="23"/>
      <c r="Y27" s="23"/>
      <c r="Z27" s="23"/>
      <c r="AA27" s="23"/>
      <c r="AB27" s="23"/>
      <c r="AC27" s="23"/>
      <c r="AD27" s="23"/>
      <c r="AE27" s="23"/>
      <c r="AF27" s="23"/>
      <c r="AG27" s="23"/>
      <c r="AH27" s="23"/>
      <c r="AI27" s="23"/>
      <c r="AJ27" s="23"/>
      <c r="AK27" s="23"/>
      <c r="AL27" s="23"/>
      <c r="AM27" s="23"/>
      <c r="AN27" s="23"/>
      <c r="AO27" s="23"/>
    </row>
    <row r="28" spans="1:41" x14ac:dyDescent="0.15">
      <c r="D28" s="16">
        <v>1872</v>
      </c>
      <c r="E28" s="19">
        <v>0.91700000000000004</v>
      </c>
      <c r="F28" s="23">
        <f t="shared" si="1"/>
        <v>8.1204999999999992E-3</v>
      </c>
      <c r="G28" s="6">
        <f t="shared" si="2"/>
        <v>-6.3029935451619385</v>
      </c>
      <c r="H28" s="6"/>
      <c r="I28" s="23">
        <f t="shared" ca="1" si="3"/>
        <v>326.77648706688797</v>
      </c>
      <c r="J28" s="6"/>
      <c r="K28" s="6">
        <f t="shared" si="4"/>
        <v>-2.9058941496395754</v>
      </c>
      <c r="M28" s="30">
        <f t="shared" si="5"/>
        <v>-2.4209251714136735</v>
      </c>
      <c r="N28" s="6">
        <f t="shared" ca="1" si="6"/>
        <v>23.608726311725206</v>
      </c>
      <c r="O28" s="6"/>
      <c r="P28" s="6">
        <f t="shared" si="7"/>
        <v>-4.8112782538655869</v>
      </c>
      <c r="Q28" s="6"/>
      <c r="R28" s="145" t="s">
        <v>15</v>
      </c>
      <c r="S28" s="15">
        <v>2001</v>
      </c>
      <c r="T28" s="136">
        <f t="shared" si="0"/>
        <v>9.1956550000000004</v>
      </c>
      <c r="U28" s="15">
        <v>1999</v>
      </c>
      <c r="V28" s="129">
        <v>6.5780000000000003</v>
      </c>
      <c r="W28" s="23">
        <v>0.183</v>
      </c>
      <c r="X28" s="23"/>
      <c r="Y28" s="23"/>
      <c r="Z28" s="23"/>
      <c r="AA28" s="23"/>
      <c r="AB28" s="23"/>
      <c r="AC28" s="23"/>
      <c r="AD28" s="23"/>
      <c r="AE28" s="23"/>
      <c r="AF28" s="23"/>
      <c r="AG28" s="23"/>
      <c r="AH28" s="23"/>
      <c r="AI28" s="23"/>
      <c r="AJ28" s="23"/>
      <c r="AK28" s="23"/>
      <c r="AL28" s="23"/>
      <c r="AM28" s="23"/>
      <c r="AN28" s="23"/>
      <c r="AO28" s="23"/>
    </row>
    <row r="29" spans="1:41" x14ac:dyDescent="0.15">
      <c r="D29" s="16">
        <v>1873</v>
      </c>
      <c r="E29" s="19">
        <v>0.91700000000000004</v>
      </c>
      <c r="F29" s="23">
        <f t="shared" si="1"/>
        <v>9.0374999999999987E-3</v>
      </c>
      <c r="G29" s="6">
        <f t="shared" si="2"/>
        <v>-6.1957959217282141</v>
      </c>
      <c r="H29" s="6"/>
      <c r="I29" s="23">
        <f t="shared" ca="1" si="3"/>
        <v>334.56411290756114</v>
      </c>
      <c r="J29" s="6"/>
      <c r="K29" s="6">
        <f t="shared" si="4"/>
        <v>-2.8722513194650472</v>
      </c>
      <c r="M29" s="30">
        <f t="shared" si="5"/>
        <v>-2.3817786865694641</v>
      </c>
      <c r="N29" s="6">
        <f t="shared" ca="1" si="6"/>
        <v>23.84002429530716</v>
      </c>
      <c r="O29" s="6"/>
      <c r="P29" s="6">
        <f t="shared" si="7"/>
        <v>-4.703368058340704</v>
      </c>
      <c r="Q29" s="6"/>
      <c r="R29" s="145" t="s">
        <v>16</v>
      </c>
      <c r="S29" s="15">
        <v>2004</v>
      </c>
      <c r="T29" s="136">
        <f t="shared" si="0"/>
        <v>9.4017812999999997</v>
      </c>
      <c r="U29" s="15">
        <v>2002</v>
      </c>
      <c r="V29" s="129">
        <v>6.5780000000000003</v>
      </c>
      <c r="W29" s="23">
        <v>0.183</v>
      </c>
      <c r="X29" s="23"/>
      <c r="Y29" s="23"/>
      <c r="Z29" s="23"/>
      <c r="AA29" s="23"/>
      <c r="AB29" s="23"/>
      <c r="AC29" s="23"/>
      <c r="AD29" s="23"/>
      <c r="AE29" s="23"/>
      <c r="AF29" s="23"/>
      <c r="AG29" s="23"/>
      <c r="AH29" s="23"/>
      <c r="AI29" s="23"/>
      <c r="AJ29" s="23"/>
      <c r="AK29" s="23"/>
      <c r="AL29" s="23"/>
      <c r="AM29" s="23"/>
      <c r="AN29" s="23"/>
      <c r="AO29" s="23"/>
    </row>
    <row r="30" spans="1:41" x14ac:dyDescent="0.15">
      <c r="D30" s="16">
        <v>1874</v>
      </c>
      <c r="E30" s="19">
        <v>0.96499999999999997</v>
      </c>
      <c r="F30" s="23">
        <f t="shared" si="1"/>
        <v>1.0002499999999999E-2</v>
      </c>
      <c r="G30" s="6">
        <f t="shared" si="2"/>
        <v>-6.0941258136960075</v>
      </c>
      <c r="H30" s="6"/>
      <c r="I30" s="23">
        <f t="shared" ca="1" si="3"/>
        <v>341.3314138278638</v>
      </c>
      <c r="J30" s="6"/>
      <c r="K30" s="6">
        <f t="shared" si="4"/>
        <v>-2.8400414441843331</v>
      </c>
      <c r="M30" s="30">
        <f t="shared" si="5"/>
        <v>-2.344180480746763</v>
      </c>
      <c r="N30" s="6">
        <f t="shared" ca="1" si="6"/>
        <v>23.587563337335069</v>
      </c>
      <c r="O30" s="6"/>
      <c r="P30" s="6">
        <f t="shared" si="7"/>
        <v>-4.6009472115236596</v>
      </c>
      <c r="Q30" s="6"/>
      <c r="R30" s="145" t="s">
        <v>17</v>
      </c>
      <c r="S30" s="15">
        <v>2007</v>
      </c>
      <c r="T30" s="136">
        <f t="shared" si="0"/>
        <v>9.5952494999999995</v>
      </c>
      <c r="U30" s="15">
        <v>2005</v>
      </c>
      <c r="V30" s="129">
        <v>6.5780000000000003</v>
      </c>
      <c r="W30" s="23">
        <v>0.183</v>
      </c>
      <c r="X30" s="23"/>
      <c r="Y30" s="23"/>
      <c r="Z30" s="23"/>
      <c r="AA30" s="23"/>
      <c r="AB30" s="23"/>
      <c r="AC30" s="23"/>
      <c r="AD30" s="23"/>
      <c r="AE30" s="23"/>
      <c r="AF30" s="23"/>
      <c r="AG30" s="23"/>
      <c r="AH30" s="23"/>
      <c r="AI30" s="23"/>
      <c r="AJ30" s="23"/>
      <c r="AK30" s="23"/>
      <c r="AL30" s="23"/>
      <c r="AM30" s="23"/>
      <c r="AN30" s="23"/>
      <c r="AO30" s="23"/>
    </row>
    <row r="31" spans="1:41" x14ac:dyDescent="0.15">
      <c r="D31" s="16">
        <v>1875</v>
      </c>
      <c r="E31" s="19">
        <v>0.93400000000000005</v>
      </c>
      <c r="F31" s="23">
        <f t="shared" si="1"/>
        <v>1.09365E-2</v>
      </c>
      <c r="G31" s="6">
        <f t="shared" si="2"/>
        <v>-6.0046443689726257</v>
      </c>
      <c r="H31" s="6"/>
      <c r="I31" s="23">
        <f t="shared" ca="1" si="3"/>
        <v>345.84880750836692</v>
      </c>
      <c r="J31" s="6"/>
      <c r="K31" s="6">
        <f t="shared" si="4"/>
        <v>-2.8114439904007016</v>
      </c>
      <c r="M31" s="30">
        <f t="shared" si="5"/>
        <v>-2.3106981150997221</v>
      </c>
      <c r="N31" s="6">
        <f t="shared" ca="1" si="6"/>
        <v>22.04911034606431</v>
      </c>
      <c r="O31" s="6"/>
      <c r="P31" s="6">
        <f t="shared" si="7"/>
        <v>-4.5107382962391354</v>
      </c>
      <c r="Q31" s="6"/>
      <c r="R31" s="341" t="s">
        <v>297</v>
      </c>
      <c r="S31" s="15">
        <v>2010</v>
      </c>
      <c r="T31" s="35">
        <f t="shared" si="0"/>
        <v>9.802367499999999</v>
      </c>
      <c r="U31" s="35">
        <v>2008</v>
      </c>
      <c r="V31" s="23">
        <v>6.5819999999999999</v>
      </c>
      <c r="W31" s="23">
        <v>0.183</v>
      </c>
      <c r="X31" s="23"/>
      <c r="Y31" s="23"/>
      <c r="Z31" s="23"/>
      <c r="AA31" s="23"/>
      <c r="AB31" s="23"/>
      <c r="AC31" s="23"/>
      <c r="AD31" s="23"/>
      <c r="AE31" s="23"/>
      <c r="AF31" s="23"/>
      <c r="AG31" s="23"/>
      <c r="AH31" s="23"/>
      <c r="AI31" s="23"/>
      <c r="AJ31" s="23"/>
      <c r="AK31" s="23"/>
      <c r="AL31" s="23"/>
      <c r="AM31" s="23"/>
      <c r="AN31" s="23"/>
      <c r="AO31" s="23"/>
    </row>
    <row r="32" spans="1:41" x14ac:dyDescent="0.15">
      <c r="D32" s="16">
        <v>1876</v>
      </c>
      <c r="E32" s="19">
        <v>0.90300000000000002</v>
      </c>
      <c r="F32" s="23">
        <f t="shared" si="1"/>
        <v>1.1839499999999999E-2</v>
      </c>
      <c r="G32" s="6">
        <f t="shared" si="2"/>
        <v>-5.9251050521593172</v>
      </c>
      <c r="H32" s="6"/>
      <c r="I32" s="23">
        <f t="shared" ca="1" si="3"/>
        <v>348.53098226476504</v>
      </c>
      <c r="J32" s="6"/>
      <c r="K32" s="6">
        <f t="shared" si="4"/>
        <v>-2.7858238222397858</v>
      </c>
      <c r="M32" s="30">
        <f t="shared" si="5"/>
        <v>-2.2806185191913912</v>
      </c>
      <c r="N32" s="6">
        <f t="shared" ca="1" si="6"/>
        <v>19.447463793243543</v>
      </c>
      <c r="O32" s="6"/>
      <c r="P32" s="6">
        <f t="shared" si="7"/>
        <v>-4.4304948586703361</v>
      </c>
      <c r="Q32" s="6"/>
      <c r="T32" s="35"/>
      <c r="U32" s="35"/>
      <c r="V32" s="23"/>
      <c r="W32" s="23"/>
      <c r="X32" s="23"/>
      <c r="Y32" s="23"/>
      <c r="Z32" s="23"/>
      <c r="AA32" s="23"/>
      <c r="AB32" s="23"/>
      <c r="AC32" s="23"/>
      <c r="AD32" s="23"/>
      <c r="AE32" s="23"/>
      <c r="AF32" s="23"/>
      <c r="AG32" s="23"/>
      <c r="AH32" s="23"/>
      <c r="AI32" s="23"/>
      <c r="AJ32" s="23"/>
      <c r="AK32" s="23"/>
      <c r="AL32" s="23"/>
      <c r="AM32" s="23"/>
      <c r="AN32" s="23"/>
      <c r="AO32" s="23"/>
    </row>
    <row r="33" spans="4:41" x14ac:dyDescent="0.15">
      <c r="D33" s="16">
        <v>1877</v>
      </c>
      <c r="E33" s="19">
        <v>0.94099999999999995</v>
      </c>
      <c r="F33" s="23">
        <f t="shared" si="1"/>
        <v>1.27805E-2</v>
      </c>
      <c r="G33" s="6">
        <f t="shared" si="2"/>
        <v>-5.8484135244464452</v>
      </c>
      <c r="H33" s="6"/>
      <c r="I33" s="23">
        <f t="shared" ca="1" si="3"/>
        <v>350.68748319195038</v>
      </c>
      <c r="J33" s="6"/>
      <c r="K33" s="6">
        <f t="shared" si="4"/>
        <v>-2.7609389294560058</v>
      </c>
      <c r="M33" s="30">
        <f t="shared" si="5"/>
        <v>-2.2513248598470441</v>
      </c>
      <c r="N33" s="6">
        <f t="shared" ca="1" si="6"/>
        <v>16.600251786754853</v>
      </c>
      <c r="O33" s="6">
        <f t="shared" ref="O33:O64" ca="1" si="8">F$6*NORMDIST(D33,AVERAGE(E$7:F$7),(F$7-E$7)/(NORMSINV(0.9)-NORMSINV(0.1)),1)</f>
        <v>1.1118842946036767E-2</v>
      </c>
      <c r="P33" s="6">
        <f t="shared" si="7"/>
        <v>-4.3530687458221795</v>
      </c>
      <c r="Q33" s="6"/>
      <c r="T33" s="35"/>
      <c r="U33" s="35"/>
      <c r="V33" s="23"/>
      <c r="W33" s="23"/>
      <c r="X33" s="23"/>
      <c r="Y33" s="23"/>
      <c r="Z33" s="23"/>
      <c r="AA33" s="23"/>
      <c r="AB33" s="23"/>
      <c r="AC33" s="23"/>
      <c r="AD33" s="23"/>
      <c r="AE33" s="23"/>
      <c r="AF33" s="23"/>
      <c r="AG33" s="23"/>
      <c r="AH33" s="23"/>
      <c r="AI33" s="23"/>
      <c r="AJ33" s="23"/>
      <c r="AK33" s="23"/>
      <c r="AL33" s="23"/>
      <c r="AM33" s="23"/>
      <c r="AN33" s="23"/>
      <c r="AO33" s="23"/>
    </row>
    <row r="34" spans="4:41" x14ac:dyDescent="0.15">
      <c r="D34" s="16">
        <v>1878</v>
      </c>
      <c r="E34" s="19">
        <v>0.98899999999999999</v>
      </c>
      <c r="F34" s="23">
        <f t="shared" si="1"/>
        <v>1.37695E-2</v>
      </c>
      <c r="G34" s="6">
        <f t="shared" si="2"/>
        <v>-5.7736548595313275</v>
      </c>
      <c r="H34" s="6"/>
      <c r="I34" s="23">
        <f t="shared" ca="1" si="3"/>
        <v>352.48719667723253</v>
      </c>
      <c r="J34" s="6"/>
      <c r="K34" s="6">
        <f t="shared" si="4"/>
        <v>-2.7365058730419314</v>
      </c>
      <c r="M34" s="30">
        <f t="shared" si="5"/>
        <v>-2.2224869302435888</v>
      </c>
      <c r="N34" s="6">
        <f t="shared" ca="1" si="6"/>
        <v>13.610647269597308</v>
      </c>
      <c r="O34" s="6">
        <f t="shared" ca="1" si="8"/>
        <v>1.229974082347828E-2</v>
      </c>
      <c r="P34" s="6">
        <f t="shared" si="7"/>
        <v>-4.2775371060992793</v>
      </c>
      <c r="Q34" s="6"/>
      <c r="T34" s="35"/>
      <c r="U34" s="35"/>
      <c r="V34" s="23"/>
      <c r="W34" s="23"/>
      <c r="X34" s="23"/>
      <c r="Y34" s="23"/>
      <c r="Z34" s="23"/>
      <c r="AA34" s="23"/>
      <c r="AB34" s="23"/>
      <c r="AC34" s="23"/>
      <c r="AD34" s="23"/>
      <c r="AE34" s="23"/>
      <c r="AF34" s="23"/>
      <c r="AG34" s="23"/>
      <c r="AH34" s="23"/>
      <c r="AI34" s="23"/>
      <c r="AJ34" s="23"/>
      <c r="AK34" s="23"/>
      <c r="AL34" s="23"/>
      <c r="AM34" s="23"/>
      <c r="AN34" s="23"/>
      <c r="AO34" s="23"/>
    </row>
    <row r="35" spans="4:41" x14ac:dyDescent="0.15">
      <c r="D35" s="16">
        <v>1879</v>
      </c>
      <c r="E35" s="19">
        <v>1.0209999999999999</v>
      </c>
      <c r="F35" s="23">
        <f t="shared" si="1"/>
        <v>1.47905E-2</v>
      </c>
      <c r="G35" s="6">
        <f t="shared" si="2"/>
        <v>-5.7018952672668446</v>
      </c>
      <c r="H35" s="6"/>
      <c r="I35" s="23">
        <f t="shared" ca="1" si="3"/>
        <v>353.73331087944371</v>
      </c>
      <c r="J35" s="6"/>
      <c r="K35" s="6">
        <f t="shared" si="4"/>
        <v>-2.7128870907540041</v>
      </c>
      <c r="M35" s="30">
        <f t="shared" si="5"/>
        <v>-2.1945364204210205</v>
      </c>
      <c r="N35" s="6">
        <f t="shared" ca="1" si="6"/>
        <v>10.343768922624463</v>
      </c>
      <c r="O35" s="6">
        <f t="shared" ca="1" si="8"/>
        <v>1.3588003678773513E-2</v>
      </c>
      <c r="P35" s="6">
        <f t="shared" si="7"/>
        <v>-4.2049785388286738</v>
      </c>
      <c r="Q35" s="6"/>
      <c r="T35" s="35"/>
      <c r="U35" s="35"/>
      <c r="V35" s="23"/>
      <c r="W35" s="23"/>
      <c r="X35" s="23"/>
      <c r="Y35" s="23"/>
      <c r="Z35" s="23"/>
      <c r="AA35" s="23"/>
      <c r="AB35" s="23"/>
      <c r="AC35" s="23"/>
      <c r="AD35" s="23"/>
      <c r="AE35" s="23"/>
      <c r="AF35" s="23"/>
      <c r="AG35" s="23"/>
      <c r="AH35" s="23"/>
      <c r="AI35" s="23"/>
      <c r="AJ35" s="23"/>
      <c r="AK35" s="23"/>
      <c r="AL35" s="23"/>
      <c r="AM35" s="23"/>
      <c r="AN35" s="23"/>
      <c r="AO35" s="23"/>
    </row>
    <row r="36" spans="4:41" x14ac:dyDescent="0.15">
      <c r="D36" s="16">
        <v>1880</v>
      </c>
      <c r="E36" s="19">
        <v>1.345</v>
      </c>
      <c r="F36" s="23">
        <f t="shared" si="1"/>
        <v>1.6135500000000001E-2</v>
      </c>
      <c r="G36" s="6">
        <f t="shared" si="2"/>
        <v>-5.6145547952665362</v>
      </c>
      <c r="H36" s="6"/>
      <c r="I36" s="23">
        <f t="shared" ca="1" si="3"/>
        <v>357.85550207483448</v>
      </c>
      <c r="J36" s="6"/>
      <c r="K36" s="6">
        <f t="shared" si="4"/>
        <v>-2.683916420450521</v>
      </c>
      <c r="M36" s="30">
        <f t="shared" si="5"/>
        <v>-2.1601507644935638</v>
      </c>
      <c r="N36" s="6">
        <f t="shared" ca="1" si="6"/>
        <v>9.0875484901494588</v>
      </c>
      <c r="O36" s="6">
        <f t="shared" ca="1" si="8"/>
        <v>1.499132171167929E-2</v>
      </c>
      <c r="P36" s="6">
        <f t="shared" si="7"/>
        <v>-4.1165840097454307</v>
      </c>
      <c r="Q36" s="6"/>
    </row>
    <row r="37" spans="4:41" x14ac:dyDescent="0.15">
      <c r="D37" s="16">
        <v>1881</v>
      </c>
      <c r="E37" s="19">
        <v>1.3939999999999999</v>
      </c>
      <c r="F37" s="23">
        <f t="shared" si="1"/>
        <v>1.75295E-2</v>
      </c>
      <c r="G37" s="6">
        <f t="shared" si="2"/>
        <v>-5.5313765285541976</v>
      </c>
      <c r="H37" s="6"/>
      <c r="I37" s="23">
        <f t="shared" ca="1" si="3"/>
        <v>361.20939115425972</v>
      </c>
      <c r="J37" s="6"/>
      <c r="K37" s="6">
        <f t="shared" si="4"/>
        <v>-2.6560933312841546</v>
      </c>
      <c r="M37" s="30">
        <f t="shared" si="5"/>
        <v>-2.1270184977866022</v>
      </c>
      <c r="N37" s="6">
        <f t="shared" ca="1" si="6"/>
        <v>7.4397072747025277</v>
      </c>
      <c r="O37" s="6">
        <f t="shared" ca="1" si="8"/>
        <v>1.6517717662874659E-2</v>
      </c>
      <c r="P37" s="6">
        <f t="shared" si="7"/>
        <v>-4.0323114344519926</v>
      </c>
      <c r="Q37" s="6"/>
    </row>
    <row r="38" spans="4:41" x14ac:dyDescent="0.15">
      <c r="D38" s="16">
        <v>1882</v>
      </c>
      <c r="E38" s="19">
        <v>1.6759999999999999</v>
      </c>
      <c r="F38" s="23">
        <f t="shared" si="1"/>
        <v>1.92055E-2</v>
      </c>
      <c r="G38" s="6">
        <f t="shared" si="2"/>
        <v>-5.4396862688590355</v>
      </c>
      <c r="H38" s="6"/>
      <c r="I38" s="23">
        <f t="shared" ca="1" si="3"/>
        <v>366.13451033102592</v>
      </c>
      <c r="J38" s="6"/>
      <c r="K38" s="6">
        <f t="shared" si="4"/>
        <v>-2.6251535899578062</v>
      </c>
      <c r="M38" s="30">
        <f t="shared" si="5"/>
        <v>-2.0900456177263607</v>
      </c>
      <c r="N38" s="6">
        <f t="shared" ca="1" si="6"/>
        <v>6.9918636209944793</v>
      </c>
      <c r="O38" s="6">
        <f t="shared" ca="1" si="8"/>
        <v>1.8175539221554831E-2</v>
      </c>
      <c r="P38" s="6">
        <f t="shared" si="7"/>
        <v>-3.9393029904186614</v>
      </c>
      <c r="Q38" s="6"/>
    </row>
    <row r="39" spans="4:41" x14ac:dyDescent="0.15">
      <c r="D39" s="16">
        <v>1883</v>
      </c>
      <c r="E39" s="19">
        <v>1.65</v>
      </c>
      <c r="F39" s="23">
        <f t="shared" si="1"/>
        <v>2.0855499999999999E-2</v>
      </c>
      <c r="G39" s="6">
        <f t="shared" si="2"/>
        <v>-5.3568922586902215</v>
      </c>
      <c r="H39" s="6"/>
      <c r="I39" s="23">
        <f t="shared" ca="1" si="3"/>
        <v>369.41746943582439</v>
      </c>
      <c r="J39" s="6"/>
      <c r="K39" s="6">
        <f t="shared" si="4"/>
        <v>-2.596967601014085</v>
      </c>
      <c r="M39" s="30">
        <f t="shared" si="5"/>
        <v>-2.0562410113855054</v>
      </c>
      <c r="N39" s="6">
        <f t="shared" ca="1" si="6"/>
        <v>5.5540945599454403</v>
      </c>
      <c r="O39" s="6">
        <f t="shared" ca="1" si="8"/>
        <v>1.9973448769829892E-2</v>
      </c>
      <c r="P39" s="6">
        <f t="shared" si="7"/>
        <v>-3.8552085676247265</v>
      </c>
      <c r="Q39" s="6"/>
    </row>
    <row r="40" spans="4:41" x14ac:dyDescent="0.15">
      <c r="D40" s="16">
        <v>1884</v>
      </c>
      <c r="E40" s="19">
        <v>1.8009999999999999</v>
      </c>
      <c r="F40" s="23">
        <f t="shared" si="1"/>
        <v>2.26565E-2</v>
      </c>
      <c r="G40" s="6">
        <f t="shared" si="2"/>
        <v>-5.2736558761516248</v>
      </c>
      <c r="H40" s="6"/>
      <c r="I40" s="23">
        <f t="shared" ca="1" si="3"/>
        <v>372.78208612458275</v>
      </c>
      <c r="J40" s="6"/>
      <c r="K40" s="6">
        <f t="shared" si="4"/>
        <v>-2.5683882267605793</v>
      </c>
      <c r="M40" s="30">
        <f t="shared" si="5"/>
        <v>-2.0218413055644011</v>
      </c>
      <c r="N40" s="6">
        <f t="shared" ca="1" si="6"/>
        <v>4.3022640091296012</v>
      </c>
      <c r="O40" s="6">
        <f t="shared" ca="1" si="8"/>
        <v>2.1920410311396549E-2</v>
      </c>
      <c r="P40" s="6">
        <f t="shared" si="7"/>
        <v>-3.7705497217349113</v>
      </c>
      <c r="Q40" s="6"/>
    </row>
    <row r="41" spans="4:41" x14ac:dyDescent="0.15">
      <c r="D41" s="16">
        <v>1885</v>
      </c>
      <c r="E41" s="19">
        <v>1.7430000000000001</v>
      </c>
      <c r="F41" s="23">
        <f t="shared" si="1"/>
        <v>2.4399500000000001E-2</v>
      </c>
      <c r="G41" s="6">
        <f t="shared" si="2"/>
        <v>-5.1991456826012499</v>
      </c>
      <c r="H41" s="6"/>
      <c r="I41" s="23">
        <f t="shared" ca="1" si="3"/>
        <v>374.53593424232804</v>
      </c>
      <c r="J41" s="6"/>
      <c r="K41" s="6">
        <f t="shared" si="4"/>
        <v>-2.5425941313704992</v>
      </c>
      <c r="M41" s="30">
        <f t="shared" si="5"/>
        <v>-1.9906840367165266</v>
      </c>
      <c r="N41" s="6">
        <f t="shared" ca="1" si="6"/>
        <v>2.0373357824845755</v>
      </c>
      <c r="O41" s="6">
        <f t="shared" ca="1" si="8"/>
        <v>2.4025673444759768E-2</v>
      </c>
      <c r="P41" s="6">
        <f t="shared" si="7"/>
        <v>-3.6946598385890175</v>
      </c>
      <c r="Q41" s="6"/>
    </row>
    <row r="42" spans="4:41" x14ac:dyDescent="0.15">
      <c r="D42" s="16">
        <v>1886</v>
      </c>
      <c r="E42" s="19">
        <v>1.921</v>
      </c>
      <c r="F42" s="23">
        <f t="shared" si="1"/>
        <v>2.63205E-2</v>
      </c>
      <c r="G42" s="6">
        <f t="shared" si="2"/>
        <v>-5.1229254286279886</v>
      </c>
      <c r="H42" s="6"/>
      <c r="I42" s="23">
        <f t="shared" ca="1" si="3"/>
        <v>376.60544267724708</v>
      </c>
      <c r="J42" s="6"/>
      <c r="K42" s="6">
        <f t="shared" si="4"/>
        <v>-2.5159976422239234</v>
      </c>
      <c r="M42" s="30">
        <f t="shared" si="5"/>
        <v>-1.9584446241064954</v>
      </c>
      <c r="N42" s="6">
        <f t="shared" ca="1" si="6"/>
        <v>0.11052278811857263</v>
      </c>
      <c r="O42" s="6">
        <f t="shared" ca="1" si="8"/>
        <v>2.6298754256682527E-2</v>
      </c>
      <c r="P42" s="6">
        <f t="shared" si="7"/>
        <v>-3.6169155248874594</v>
      </c>
      <c r="Q42" s="6"/>
    </row>
    <row r="43" spans="4:41" x14ac:dyDescent="0.15">
      <c r="D43" s="16">
        <v>1887</v>
      </c>
      <c r="E43" s="19">
        <v>2.2040000000000002</v>
      </c>
      <c r="F43" s="23">
        <f t="shared" si="1"/>
        <v>2.8524500000000001E-2</v>
      </c>
      <c r="G43" s="6">
        <f t="shared" si="2"/>
        <v>-5.0420110877279427</v>
      </c>
      <c r="H43" s="6"/>
      <c r="I43" s="23">
        <f t="shared" ca="1" si="3"/>
        <v>379.54143334185937</v>
      </c>
      <c r="J43" s="6"/>
      <c r="K43" s="6">
        <f t="shared" si="4"/>
        <v>-2.4875255226621165</v>
      </c>
      <c r="M43" s="30">
        <f t="shared" si="5"/>
        <v>-1.9238004011403675</v>
      </c>
      <c r="N43" s="6">
        <f t="shared" ca="1" si="6"/>
        <v>-1.0649085131915683</v>
      </c>
      <c r="O43" s="6">
        <f t="shared" ca="1" si="8"/>
        <v>2.874941302956531E-2</v>
      </c>
      <c r="P43" s="6">
        <f t="shared" si="7"/>
        <v>-3.5342480972821528</v>
      </c>
      <c r="Q43" s="6"/>
    </row>
    <row r="44" spans="4:41" x14ac:dyDescent="0.15">
      <c r="D44" s="16">
        <v>1888</v>
      </c>
      <c r="E44" s="19">
        <v>2.3610000000000002</v>
      </c>
      <c r="F44" s="23">
        <f t="shared" si="1"/>
        <v>3.0885500000000003E-2</v>
      </c>
      <c r="G44" s="6">
        <f t="shared" si="2"/>
        <v>-4.961952731925499</v>
      </c>
      <c r="H44" s="6"/>
      <c r="I44" s="23">
        <f t="shared" ca="1" si="3"/>
        <v>382.31941758530138</v>
      </c>
      <c r="J44" s="6"/>
      <c r="K44" s="6">
        <f t="shared" si="4"/>
        <v>-2.4591085873122989</v>
      </c>
      <c r="M44" s="30">
        <f t="shared" si="5"/>
        <v>-1.8890833659440551</v>
      </c>
      <c r="N44" s="6">
        <f t="shared" ca="1" si="6"/>
        <v>-2.2175896726236601</v>
      </c>
      <c r="O44" s="6">
        <f t="shared" ca="1" si="8"/>
        <v>3.1387628677097858E-2</v>
      </c>
      <c r="P44" s="6">
        <f t="shared" si="7"/>
        <v>-3.4523064112601389</v>
      </c>
      <c r="Q44" s="6"/>
    </row>
    <row r="45" spans="4:41" x14ac:dyDescent="0.15">
      <c r="D45" s="16">
        <v>1889</v>
      </c>
      <c r="E45" s="19">
        <v>2.411</v>
      </c>
      <c r="F45" s="23">
        <f t="shared" si="1"/>
        <v>3.3296500000000007E-2</v>
      </c>
      <c r="G45" s="6">
        <f t="shared" si="2"/>
        <v>-4.8862407355000759</v>
      </c>
      <c r="H45" s="6"/>
      <c r="I45" s="23">
        <f t="shared" ca="1" si="3"/>
        <v>384.29510668108469</v>
      </c>
      <c r="J45" s="6"/>
      <c r="K45" s="6">
        <f t="shared" si="4"/>
        <v>-2.4320044585744496</v>
      </c>
      <c r="M45" s="30">
        <f t="shared" si="5"/>
        <v>-1.8558353400418561</v>
      </c>
      <c r="N45" s="6">
        <f t="shared" ca="1" si="6"/>
        <v>-3.8292619902263141</v>
      </c>
      <c r="O45" s="6">
        <f t="shared" ca="1" si="8"/>
        <v>3.4223569845745691E-2</v>
      </c>
      <c r="P45" s="6">
        <f t="shared" si="7"/>
        <v>-3.3746654461121586</v>
      </c>
      <c r="Q45" s="6"/>
    </row>
    <row r="46" spans="4:41" x14ac:dyDescent="0.15">
      <c r="D46" s="16">
        <v>1890</v>
      </c>
      <c r="E46" s="19">
        <v>2.7989999999999999</v>
      </c>
      <c r="F46" s="23">
        <f t="shared" si="1"/>
        <v>3.609550000000001E-2</v>
      </c>
      <c r="G46" s="6">
        <f t="shared" ref="G46:G77" si="9" xml:space="preserve"> - LN(F$1/F46 - 1)</f>
        <v>-4.8048899626909343</v>
      </c>
      <c r="H46" s="6"/>
      <c r="I46" s="23">
        <f t="shared" ref="I46:I77" ca="1" si="10" xml:space="preserve"> (G46*(F$2-E$2)/LN(81) + AVERAGE(E$2:F$2) - D46)*12</f>
        <v>387.31165837910066</v>
      </c>
      <c r="J46" s="6"/>
      <c r="K46" s="6">
        <f t="shared" ref="K46:K77" si="11">NORMSINV(F46/F$5)</f>
        <v>-2.4026272375699103</v>
      </c>
      <c r="M46" s="30">
        <f t="shared" ref="M46:M77" si="12">NORMSINV(F46/F$6)</f>
        <v>-1.8196449326761608</v>
      </c>
      <c r="N46" s="6">
        <f t="shared" ref="N46:N77" ca="1" si="13">(M46*(F$7-E$7)/(NORMSINV(0.9)-NORMSINV(0.1))-(D46-AVERAGE(E$7:F$7)))*12</f>
        <v>-4.5215888134732154</v>
      </c>
      <c r="O46" s="6">
        <f t="shared" ca="1" si="8"/>
        <v>3.7267562645352324E-2</v>
      </c>
      <c r="P46" s="6">
        <f t="shared" ref="P46:P77" si="14" xml:space="preserve"> - LN(F$10/F46 - 1)</f>
        <v>-3.2910679444667541</v>
      </c>
      <c r="Q46" s="6"/>
    </row>
    <row r="47" spans="4:41" x14ac:dyDescent="0.15">
      <c r="D47" s="16">
        <v>1891</v>
      </c>
      <c r="E47" s="19">
        <v>3.246</v>
      </c>
      <c r="F47" s="23">
        <f t="shared" si="1"/>
        <v>3.9341500000000008E-2</v>
      </c>
      <c r="G47" s="6">
        <f t="shared" si="9"/>
        <v>-4.7180414784048601</v>
      </c>
      <c r="H47" s="6"/>
      <c r="I47" s="23">
        <f t="shared" ca="1" si="10"/>
        <v>391.3430334864488</v>
      </c>
      <c r="J47" s="6"/>
      <c r="K47" s="6">
        <f t="shared" si="11"/>
        <v>-2.3709673179891233</v>
      </c>
      <c r="M47" s="30">
        <f t="shared" si="12"/>
        <v>-1.7804562346248631</v>
      </c>
      <c r="N47" s="6">
        <f t="shared" ca="1" si="13"/>
        <v>-4.2771013362038275</v>
      </c>
      <c r="O47" s="6">
        <f t="shared" ca="1" si="8"/>
        <v>4.0530055000236646E-2</v>
      </c>
      <c r="P47" s="6">
        <f t="shared" si="14"/>
        <v>-3.2016040022812984</v>
      </c>
      <c r="Q47" s="6"/>
    </row>
    <row r="48" spans="4:41" x14ac:dyDescent="0.15">
      <c r="D48" s="16">
        <v>1892</v>
      </c>
      <c r="E48" s="19">
        <v>2.9830000000000001</v>
      </c>
      <c r="F48" s="23">
        <f t="shared" si="1"/>
        <v>4.2324500000000008E-2</v>
      </c>
      <c r="G48" s="6">
        <f t="shared" si="9"/>
        <v>-4.6442777727581408</v>
      </c>
      <c r="H48" s="6"/>
      <c r="I48" s="23">
        <f t="shared" ca="1" si="10"/>
        <v>392.95908728694303</v>
      </c>
      <c r="J48" s="6"/>
      <c r="K48" s="6">
        <f t="shared" si="11"/>
        <v>-2.3438308509834958</v>
      </c>
      <c r="M48" s="30">
        <f t="shared" si="12"/>
        <v>-1.7467070364479647</v>
      </c>
      <c r="N48" s="6">
        <f t="shared" ca="1" si="13"/>
        <v>-5.7321826480660718</v>
      </c>
      <c r="O48" s="6">
        <f t="shared" ca="1" si="8"/>
        <v>4.4021577642481914E-2</v>
      </c>
      <c r="P48" s="6">
        <f t="shared" si="14"/>
        <v>-3.1254272894171677</v>
      </c>
      <c r="Q48" s="6"/>
    </row>
    <row r="49" spans="4:17" x14ac:dyDescent="0.15">
      <c r="D49" s="16">
        <v>1893</v>
      </c>
      <c r="E49" s="19">
        <v>3.4319999999999999</v>
      </c>
      <c r="F49" s="23">
        <f t="shared" si="1"/>
        <v>4.5756500000000006E-2</v>
      </c>
      <c r="G49" s="6">
        <f t="shared" si="9"/>
        <v>-4.5655299465819059</v>
      </c>
      <c r="H49" s="6"/>
      <c r="I49" s="23">
        <f t="shared" ca="1" si="10"/>
        <v>395.49516066458546</v>
      </c>
      <c r="J49" s="6"/>
      <c r="K49" s="6">
        <f t="shared" si="11"/>
        <v>-2.3146054602172206</v>
      </c>
      <c r="M49" s="30">
        <f t="shared" si="12"/>
        <v>-1.7101886480504773</v>
      </c>
      <c r="N49" s="6">
        <f t="shared" ca="1" si="13"/>
        <v>-6.3220319755997139</v>
      </c>
      <c r="O49" s="6">
        <f t="shared" ca="1" si="8"/>
        <v>4.7752701801444544E-2</v>
      </c>
      <c r="P49" s="6">
        <f t="shared" si="14"/>
        <v>-3.0438919629491923</v>
      </c>
      <c r="Q49" s="6"/>
    </row>
    <row r="50" spans="4:17" x14ac:dyDescent="0.15">
      <c r="D50" s="16">
        <v>1894</v>
      </c>
      <c r="E50" s="19">
        <v>3.49</v>
      </c>
      <c r="F50" s="23">
        <f t="shared" si="1"/>
        <v>4.9246500000000006E-2</v>
      </c>
      <c r="G50" s="6">
        <f t="shared" si="9"/>
        <v>-4.4912316152177088</v>
      </c>
      <c r="H50" s="6"/>
      <c r="I50" s="23">
        <f t="shared" ca="1" si="10"/>
        <v>397.20990110871662</v>
      </c>
      <c r="J50" s="6"/>
      <c r="K50" s="6">
        <f t="shared" si="11"/>
        <v>-2.2867846119004271</v>
      </c>
      <c r="M50" s="30">
        <f t="shared" si="12"/>
        <v>-1.6752540775015052</v>
      </c>
      <c r="N50" s="6">
        <f t="shared" ca="1" si="13"/>
        <v>-7.4067443319340214</v>
      </c>
      <c r="O50" s="6">
        <f t="shared" ca="1" si="8"/>
        <v>5.1733993677608441E-2</v>
      </c>
      <c r="P50" s="6">
        <f t="shared" si="14"/>
        <v>-2.96674654834161</v>
      </c>
      <c r="Q50" s="6"/>
    </row>
    <row r="51" spans="4:17" x14ac:dyDescent="0.15">
      <c r="D51" s="16">
        <v>1895</v>
      </c>
      <c r="E51" s="19">
        <v>3.1549999999999998</v>
      </c>
      <c r="F51" s="23">
        <f t="shared" si="1"/>
        <v>5.2401500000000004E-2</v>
      </c>
      <c r="G51" s="6">
        <f t="shared" si="9"/>
        <v>-4.4284164686123111</v>
      </c>
      <c r="H51" s="6"/>
      <c r="I51" s="23">
        <f t="shared" ca="1" si="10"/>
        <v>396.8049587073865</v>
      </c>
      <c r="J51" s="6"/>
      <c r="K51" s="6">
        <f t="shared" si="11"/>
        <v>-2.2630730021709944</v>
      </c>
      <c r="M51" s="30">
        <f t="shared" si="12"/>
        <v>-1.6453427974463892</v>
      </c>
      <c r="N51" s="6">
        <f t="shared" ca="1" si="13"/>
        <v>-10.060981081913582</v>
      </c>
      <c r="O51" s="6">
        <f t="shared" ca="1" si="8"/>
        <v>5.5975965824490083E-2</v>
      </c>
      <c r="P51" s="6">
        <f t="shared" si="14"/>
        <v>-2.9013467006238716</v>
      </c>
      <c r="Q51" s="6"/>
    </row>
    <row r="52" spans="4:17" x14ac:dyDescent="0.15">
      <c r="D52" s="16">
        <v>1896</v>
      </c>
      <c r="E52" s="19">
        <v>3.3980000000000001</v>
      </c>
      <c r="F52" s="23">
        <f t="shared" si="1"/>
        <v>5.5799500000000002E-2</v>
      </c>
      <c r="G52" s="6">
        <f t="shared" si="9"/>
        <v>-4.3648126520400519</v>
      </c>
      <c r="H52" s="6"/>
      <c r="I52" s="23">
        <f t="shared" ca="1" si="10"/>
        <v>396.54559701686139</v>
      </c>
      <c r="J52" s="6"/>
      <c r="K52" s="6">
        <f t="shared" si="11"/>
        <v>-2.2388824584334075</v>
      </c>
      <c r="M52" s="30">
        <f t="shared" si="12"/>
        <v>-1.6146932244529859</v>
      </c>
      <c r="N52" s="6">
        <f t="shared" ca="1" si="13"/>
        <v>-12.484538603264895</v>
      </c>
      <c r="O52" s="6">
        <f t="shared" ca="1" si="8"/>
        <v>6.0489025599023978E-2</v>
      </c>
      <c r="P52" s="6">
        <f t="shared" si="14"/>
        <v>-2.8349474405151573</v>
      </c>
      <c r="Q52" s="6"/>
    </row>
    <row r="53" spans="4:17" x14ac:dyDescent="0.15">
      <c r="D53" s="16">
        <v>1897</v>
      </c>
      <c r="E53" s="19">
        <v>3.4350000000000001</v>
      </c>
      <c r="F53" s="23">
        <f t="shared" si="1"/>
        <v>5.9234500000000002E-2</v>
      </c>
      <c r="G53" s="6">
        <f t="shared" si="9"/>
        <v>-4.304290254903937</v>
      </c>
      <c r="H53" s="6"/>
      <c r="I53" s="23">
        <f t="shared" ca="1" si="10"/>
        <v>395.71743563742803</v>
      </c>
      <c r="J53" s="6"/>
      <c r="K53" s="6">
        <f t="shared" si="11"/>
        <v>-2.215691660494171</v>
      </c>
      <c r="M53" s="30">
        <f t="shared" si="12"/>
        <v>-1.5851789144836117</v>
      </c>
      <c r="N53" s="6">
        <f t="shared" ca="1" si="13"/>
        <v>-15.262808441492353</v>
      </c>
      <c r="O53" s="6">
        <f t="shared" ca="1" si="8"/>
        <v>6.528342087836525E-2</v>
      </c>
      <c r="P53" s="6">
        <f t="shared" si="14"/>
        <v>-2.7715867730694068</v>
      </c>
      <c r="Q53" s="6"/>
    </row>
    <row r="54" spans="4:17" x14ac:dyDescent="0.15">
      <c r="D54" s="16">
        <v>1898</v>
      </c>
      <c r="E54" s="19">
        <v>3.786</v>
      </c>
      <c r="F54" s="23">
        <f t="shared" si="1"/>
        <v>6.3020500000000007E-2</v>
      </c>
      <c r="G54" s="6">
        <f t="shared" si="9"/>
        <v>-4.2414704260724712</v>
      </c>
      <c r="H54" s="6"/>
      <c r="I54" s="23">
        <f t="shared" ca="1" si="10"/>
        <v>395.31335752893028</v>
      </c>
      <c r="J54" s="6"/>
      <c r="K54" s="6">
        <f t="shared" si="11"/>
        <v>-2.1914398765046625</v>
      </c>
      <c r="M54" s="30">
        <f t="shared" si="12"/>
        <v>-1.5541720330416846</v>
      </c>
      <c r="N54" s="6">
        <f t="shared" ca="1" si="13"/>
        <v>-17.574725131659562</v>
      </c>
      <c r="O54" s="6">
        <f t="shared" ca="1" si="8"/>
        <v>7.0369183278930672E-2</v>
      </c>
      <c r="P54" s="6">
        <f t="shared" si="14"/>
        <v>-2.7056241085132484</v>
      </c>
      <c r="Q54" s="6"/>
    </row>
    <row r="55" spans="4:17" x14ac:dyDescent="0.15">
      <c r="D55" s="16">
        <v>1899</v>
      </c>
      <c r="E55" s="19">
        <v>4.468</v>
      </c>
      <c r="F55" s="23">
        <f t="shared" si="1"/>
        <v>6.7488500000000007E-2</v>
      </c>
      <c r="G55" s="6">
        <f t="shared" si="9"/>
        <v>-4.1719528005524289</v>
      </c>
      <c r="H55" s="6"/>
      <c r="I55" s="23">
        <f t="shared" ca="1" si="10"/>
        <v>396.14562674405079</v>
      </c>
      <c r="J55" s="6"/>
      <c r="K55" s="6">
        <f t="shared" si="11"/>
        <v>-2.1643840983628229</v>
      </c>
      <c r="M55" s="30">
        <f t="shared" si="12"/>
        <v>-1.5194023126981702</v>
      </c>
      <c r="N55" s="6">
        <f t="shared" ca="1" si="13"/>
        <v>-18.710944845388354</v>
      </c>
      <c r="O55" s="6">
        <f t="shared" ca="1" si="8"/>
        <v>7.5756069151321576E-2</v>
      </c>
      <c r="P55" s="6">
        <f t="shared" si="14"/>
        <v>-2.6323777207779293</v>
      </c>
      <c r="Q55" s="6"/>
    </row>
    <row r="56" spans="4:17" x14ac:dyDescent="0.15">
      <c r="D56" s="16">
        <v>1900</v>
      </c>
      <c r="E56" s="19">
        <v>5.2409999999999997</v>
      </c>
      <c r="F56" s="23">
        <f t="shared" si="1"/>
        <v>7.2729500000000002E-2</v>
      </c>
      <c r="G56" s="6">
        <f t="shared" si="9"/>
        <v>-4.0959645708477312</v>
      </c>
      <c r="H56" s="6"/>
      <c r="I56" s="23">
        <f t="shared" ca="1" si="10"/>
        <v>398.17230578345152</v>
      </c>
      <c r="J56" s="6"/>
      <c r="K56" s="6">
        <f t="shared" si="11"/>
        <v>-2.1345426599726434</v>
      </c>
      <c r="M56" s="30">
        <f t="shared" si="12"/>
        <v>-1.4808265692213227</v>
      </c>
      <c r="N56" s="6">
        <f t="shared" ca="1" si="13"/>
        <v>-18.657974692863064</v>
      </c>
      <c r="O56" s="6">
        <f t="shared" ca="1" si="8"/>
        <v>8.1453498662074506E-2</v>
      </c>
      <c r="P56" s="6">
        <f t="shared" si="14"/>
        <v>-2.551988052261331</v>
      </c>
      <c r="Q56" s="6"/>
    </row>
    <row r="57" spans="4:17" x14ac:dyDescent="0.15">
      <c r="D57" s="16">
        <v>1901</v>
      </c>
      <c r="E57" s="19">
        <v>5.8840000000000003</v>
      </c>
      <c r="F57" s="23">
        <f t="shared" si="1"/>
        <v>7.8613500000000003E-2</v>
      </c>
      <c r="G57" s="6">
        <f t="shared" si="9"/>
        <v>-4.0168211101434848</v>
      </c>
      <c r="H57" s="6"/>
      <c r="I57" s="23">
        <f t="shared" ca="1" si="10"/>
        <v>400.78140939963214</v>
      </c>
      <c r="J57" s="6"/>
      <c r="K57" s="6">
        <f t="shared" si="11"/>
        <v>-2.1031591755732633</v>
      </c>
      <c r="M57" s="30">
        <f t="shared" si="12"/>
        <v>-1.4399902578352695</v>
      </c>
      <c r="N57" s="6">
        <f t="shared" ca="1" si="13"/>
        <v>-17.898691321675727</v>
      </c>
      <c r="O57" s="6">
        <f t="shared" ca="1" si="8"/>
        <v>8.7470493309479744E-2</v>
      </c>
      <c r="P57" s="6">
        <f t="shared" si="14"/>
        <v>-2.4678672765623926</v>
      </c>
      <c r="Q57" s="6"/>
    </row>
    <row r="58" spans="4:17" x14ac:dyDescent="0.15">
      <c r="D58" s="16">
        <v>1902</v>
      </c>
      <c r="E58" s="19">
        <v>6.774</v>
      </c>
      <c r="F58" s="23">
        <f t="shared" si="1"/>
        <v>8.5387500000000005E-2</v>
      </c>
      <c r="G58" s="6">
        <f t="shared" si="9"/>
        <v>-3.9326117211736595</v>
      </c>
      <c r="H58" s="6"/>
      <c r="I58" s="23">
        <f t="shared" ca="1" si="10"/>
        <v>404.32563349557768</v>
      </c>
      <c r="J58" s="6"/>
      <c r="K58" s="6">
        <f t="shared" si="11"/>
        <v>-2.0694200391563187</v>
      </c>
      <c r="M58" s="30">
        <f t="shared" si="12"/>
        <v>-1.395768470834629</v>
      </c>
      <c r="N58" s="6">
        <f t="shared" ca="1" si="13"/>
        <v>-16.081617928652236</v>
      </c>
      <c r="O58" s="6">
        <f t="shared" ca="1" si="8"/>
        <v>9.3815612255491093E-2</v>
      </c>
      <c r="P58" s="6">
        <f t="shared" si="14"/>
        <v>-2.3778800878243236</v>
      </c>
      <c r="Q58" s="6"/>
    </row>
    <row r="59" spans="4:17" x14ac:dyDescent="0.15">
      <c r="D59" s="16">
        <v>1903</v>
      </c>
      <c r="E59" s="19">
        <v>7.2210000000000001</v>
      </c>
      <c r="F59" s="23">
        <f t="shared" si="1"/>
        <v>9.260850000000001E-2</v>
      </c>
      <c r="G59" s="6">
        <f t="shared" si="9"/>
        <v>-3.8497722553829541</v>
      </c>
      <c r="H59" s="6"/>
      <c r="I59" s="23">
        <f t="shared" ca="1" si="10"/>
        <v>407.61698326063106</v>
      </c>
      <c r="J59" s="6"/>
      <c r="K59" s="6">
        <f t="shared" si="11"/>
        <v>-2.0358731100679361</v>
      </c>
      <c r="M59" s="30">
        <f t="shared" si="12"/>
        <v>-1.3514526785157825</v>
      </c>
      <c r="N59" s="6">
        <f t="shared" ca="1" si="13"/>
        <v>-14.235172624878714</v>
      </c>
      <c r="O59" s="6">
        <f t="shared" ca="1" si="8"/>
        <v>0.10049688788851489</v>
      </c>
      <c r="P59" s="6">
        <f t="shared" si="14"/>
        <v>-2.2888245841645305</v>
      </c>
      <c r="Q59" s="6"/>
    </row>
    <row r="60" spans="4:17" x14ac:dyDescent="0.15">
      <c r="D60" s="16">
        <v>1904</v>
      </c>
      <c r="E60" s="19">
        <v>7.4889999999999999</v>
      </c>
      <c r="F60" s="23">
        <f t="shared" si="1"/>
        <v>0.10009750000000001</v>
      </c>
      <c r="G60" s="6">
        <f t="shared" si="9"/>
        <v>-3.7702857645467041</v>
      </c>
      <c r="H60" s="6"/>
      <c r="I60" s="23">
        <f t="shared" ca="1" si="10"/>
        <v>410.28940686177884</v>
      </c>
      <c r="J60" s="6"/>
      <c r="K60" s="6">
        <f t="shared" si="11"/>
        <v>-2.0033440917687524</v>
      </c>
      <c r="M60" s="30">
        <f t="shared" si="12"/>
        <v>-1.3081346880075533</v>
      </c>
      <c r="N60" s="6">
        <f t="shared" ca="1" si="13"/>
        <v>-12.700489956314669</v>
      </c>
      <c r="O60" s="6">
        <f t="shared" ca="1" si="8"/>
        <v>0.10752176106209993</v>
      </c>
      <c r="P60" s="6">
        <f t="shared" si="14"/>
        <v>-2.202828231086384</v>
      </c>
      <c r="Q60" s="6"/>
    </row>
    <row r="61" spans="4:17" x14ac:dyDescent="0.15">
      <c r="D61" s="16">
        <v>1905</v>
      </c>
      <c r="E61" s="19">
        <v>7.8630000000000004</v>
      </c>
      <c r="F61" s="23">
        <f t="shared" si="1"/>
        <v>0.1079605</v>
      </c>
      <c r="G61" s="6">
        <f t="shared" si="9"/>
        <v>-3.6928531146774306</v>
      </c>
      <c r="H61" s="6"/>
      <c r="I61" s="23">
        <f t="shared" ca="1" si="10"/>
        <v>412.58271164210601</v>
      </c>
      <c r="J61" s="6"/>
      <c r="K61" s="6">
        <f t="shared" si="11"/>
        <v>-1.971328637447729</v>
      </c>
      <c r="M61" s="30">
        <f t="shared" si="12"/>
        <v>-1.2651493616553058</v>
      </c>
      <c r="N61" s="6">
        <f t="shared" ca="1" si="13"/>
        <v>-11.269748023080098</v>
      </c>
      <c r="O61" s="6">
        <f t="shared" ca="1" si="8"/>
        <v>0.11489701648173742</v>
      </c>
      <c r="P61" s="6">
        <f t="shared" si="14"/>
        <v>-2.118490253434806</v>
      </c>
      <c r="Q61" s="6"/>
    </row>
    <row r="62" spans="4:17" x14ac:dyDescent="0.15">
      <c r="D62" s="16">
        <v>1906</v>
      </c>
      <c r="E62" s="19">
        <v>8.8569999999999993</v>
      </c>
      <c r="F62" s="23">
        <f t="shared" si="1"/>
        <v>0.1168175</v>
      </c>
      <c r="G62" s="6">
        <f t="shared" si="9"/>
        <v>-3.6119607088882435</v>
      </c>
      <c r="H62" s="6"/>
      <c r="I62" s="23">
        <f t="shared" ca="1" si="10"/>
        <v>415.5146533012221</v>
      </c>
      <c r="J62" s="6"/>
      <c r="K62" s="6">
        <f t="shared" si="11"/>
        <v>-1.9375308517811167</v>
      </c>
      <c r="M62" s="30">
        <f t="shared" si="12"/>
        <v>-1.2193722668601019</v>
      </c>
      <c r="N62" s="6">
        <f t="shared" ca="1" si="13"/>
        <v>-8.9667195521689536</v>
      </c>
      <c r="O62" s="6">
        <f t="shared" ca="1" si="8"/>
        <v>0.12262871873563716</v>
      </c>
      <c r="P62" s="6">
        <f t="shared" si="14"/>
        <v>-2.0297316468443332</v>
      </c>
      <c r="Q62" s="6"/>
    </row>
    <row r="63" spans="4:17" x14ac:dyDescent="0.15">
      <c r="D63" s="16">
        <v>1907</v>
      </c>
      <c r="E63" s="19">
        <v>9.5350000000000001</v>
      </c>
      <c r="F63" s="23">
        <f t="shared" si="1"/>
        <v>0.12635250000000001</v>
      </c>
      <c r="G63" s="6">
        <f t="shared" si="9"/>
        <v>-3.5312918161053006</v>
      </c>
      <c r="H63" s="6"/>
      <c r="I63" s="23">
        <f t="shared" ca="1" si="10"/>
        <v>418.40533666004649</v>
      </c>
      <c r="J63" s="6"/>
      <c r="K63" s="6">
        <f t="shared" si="11"/>
        <v>-1.9034609269213441</v>
      </c>
      <c r="M63" s="30">
        <f t="shared" si="12"/>
        <v>-1.1727885214865164</v>
      </c>
      <c r="N63" s="6">
        <f t="shared" ca="1" si="13"/>
        <v>-6.4116535450121148</v>
      </c>
      <c r="O63" s="6">
        <f t="shared" ca="1" si="8"/>
        <v>0.1307221494849938</v>
      </c>
      <c r="P63" s="6">
        <f t="shared" si="14"/>
        <v>-1.9404881282083528</v>
      </c>
      <c r="Q63" s="6"/>
    </row>
    <row r="64" spans="4:17" x14ac:dyDescent="0.15">
      <c r="D64" s="16">
        <v>1908</v>
      </c>
      <c r="E64" s="19">
        <v>9.8759999999999994</v>
      </c>
      <c r="F64" s="23">
        <f t="shared" si="1"/>
        <v>0.1362285</v>
      </c>
      <c r="G64" s="6">
        <f t="shared" si="9"/>
        <v>-3.4537436104975674</v>
      </c>
      <c r="H64" s="6"/>
      <c r="I64" s="23">
        <f t="shared" ca="1" si="10"/>
        <v>420.71997189195554</v>
      </c>
      <c r="J64" s="6"/>
      <c r="K64" s="6">
        <f t="shared" si="11"/>
        <v>-1.8703578011078816</v>
      </c>
      <c r="M64" s="30">
        <f t="shared" si="12"/>
        <v>-1.1270806068482901</v>
      </c>
      <c r="N64" s="6">
        <f t="shared" ca="1" si="13"/>
        <v>-4.1302403766731857</v>
      </c>
      <c r="O64" s="6">
        <f t="shared" ca="1" si="8"/>
        <v>0.13918174634445132</v>
      </c>
      <c r="P64" s="6">
        <f t="shared" si="14"/>
        <v>-1.8539398821009556</v>
      </c>
      <c r="Q64" s="6"/>
    </row>
    <row r="65" spans="4:17" x14ac:dyDescent="0.15">
      <c r="D65" s="16">
        <v>1909</v>
      </c>
      <c r="E65" s="19">
        <v>9.5259999999999998</v>
      </c>
      <c r="F65" s="23">
        <f t="shared" si="1"/>
        <v>0.14575450000000001</v>
      </c>
      <c r="G65" s="6">
        <f t="shared" si="9"/>
        <v>-3.3839395141373947</v>
      </c>
      <c r="H65" s="6"/>
      <c r="I65" s="23">
        <f t="shared" ca="1" si="10"/>
        <v>421.60512080363333</v>
      </c>
      <c r="J65" s="6"/>
      <c r="K65" s="6">
        <f t="shared" si="11"/>
        <v>-1.8402603004845353</v>
      </c>
      <c r="M65" s="30">
        <f t="shared" si="12"/>
        <v>-1.0851190400472419</v>
      </c>
      <c r="N65" s="6">
        <f t="shared" ca="1" si="13"/>
        <v>-3.0193715606312992</v>
      </c>
      <c r="O65" s="6">
        <f t="shared" ref="O65:O96" ca="1" si="15">F$6*NORMDIST(D65,AVERAGE(E$7:F$7),(F$7-E$7)/(NORMSINV(0.9)-NORMSINV(0.1)),1)</f>
        <v>0.14801104399381332</v>
      </c>
      <c r="P65" s="6">
        <f t="shared" si="14"/>
        <v>-1.7753375614797327</v>
      </c>
      <c r="Q65" s="6"/>
    </row>
    <row r="66" spans="4:17" x14ac:dyDescent="0.15">
      <c r="D66" s="16">
        <v>1910</v>
      </c>
      <c r="E66" s="19">
        <v>11.711</v>
      </c>
      <c r="F66" s="23">
        <f t="shared" si="1"/>
        <v>0.15746550000000001</v>
      </c>
      <c r="G66" s="6">
        <f t="shared" si="9"/>
        <v>-3.3039282380387509</v>
      </c>
      <c r="H66" s="6"/>
      <c r="I66" s="23">
        <f t="shared" ca="1" si="10"/>
        <v>424.37441459729234</v>
      </c>
      <c r="J66" s="6"/>
      <c r="K66" s="6">
        <f t="shared" si="11"/>
        <v>-1.8054053787808153</v>
      </c>
      <c r="M66" s="30">
        <f t="shared" si="12"/>
        <v>-1.0360153288202842</v>
      </c>
      <c r="N66" s="6">
        <f t="shared" ca="1" si="13"/>
        <v>0.32305641232422033</v>
      </c>
      <c r="O66" s="6">
        <f t="shared" ca="1" si="15"/>
        <v>0.15721261806717121</v>
      </c>
      <c r="P66" s="6">
        <f t="shared" si="14"/>
        <v>-1.6843484042000683</v>
      </c>
      <c r="Q66" s="6"/>
    </row>
    <row r="67" spans="4:17" x14ac:dyDescent="0.15">
      <c r="D67" s="16">
        <v>1911</v>
      </c>
      <c r="E67" s="19">
        <v>10.272</v>
      </c>
      <c r="F67" s="23">
        <f t="shared" si="1"/>
        <v>0.16773750000000001</v>
      </c>
      <c r="G67" s="6">
        <f t="shared" si="9"/>
        <v>-3.2383349116377973</v>
      </c>
      <c r="H67" s="6"/>
      <c r="I67" s="23">
        <f t="shared" ca="1" si="10"/>
        <v>424.48229683284899</v>
      </c>
      <c r="J67" s="6"/>
      <c r="K67" s="6">
        <f t="shared" si="11"/>
        <v>-1.7765423251340575</v>
      </c>
      <c r="M67" s="30">
        <f t="shared" si="12"/>
        <v>-0.99491478320925741</v>
      </c>
      <c r="N67" s="6">
        <f t="shared" ca="1" si="13"/>
        <v>1.1648996239665479</v>
      </c>
      <c r="O67" s="6">
        <f t="shared" ca="1" si="15"/>
        <v>0.16678803236522455</v>
      </c>
      <c r="P67" s="6">
        <f t="shared" si="14"/>
        <v>-1.6089756265800377</v>
      </c>
      <c r="Q67" s="6"/>
    </row>
    <row r="68" spans="4:17" x14ac:dyDescent="0.15">
      <c r="D68" s="16">
        <v>1912</v>
      </c>
      <c r="E68" s="19">
        <v>13.166</v>
      </c>
      <c r="F68" s="23">
        <f t="shared" si="1"/>
        <v>0.18090350000000002</v>
      </c>
      <c r="G68" s="6">
        <f t="shared" si="9"/>
        <v>-3.1596875156074291</v>
      </c>
      <c r="H68" s="6"/>
      <c r="I68" s="23">
        <f t="shared" ca="1" si="10"/>
        <v>426.99983179437822</v>
      </c>
      <c r="J68" s="6"/>
      <c r="K68" s="6">
        <f t="shared" si="11"/>
        <v>-1.7415857074416974</v>
      </c>
      <c r="M68" s="30">
        <f t="shared" si="12"/>
        <v>-0.9445716513105995</v>
      </c>
      <c r="N68" s="6">
        <f t="shared" ca="1" si="13"/>
        <v>4.8945839143898553</v>
      </c>
      <c r="O68" s="6">
        <f t="shared" ca="1" si="15"/>
        <v>0.17673778993040162</v>
      </c>
      <c r="P68" s="6">
        <f t="shared" si="14"/>
        <v>-1.5175819074752981</v>
      </c>
      <c r="Q68" s="6"/>
    </row>
    <row r="69" spans="4:17" x14ac:dyDescent="0.15">
      <c r="D69" s="16">
        <v>1913</v>
      </c>
      <c r="E69" s="19">
        <v>13.619</v>
      </c>
      <c r="F69" s="23">
        <f t="shared" si="1"/>
        <v>0.19452250000000001</v>
      </c>
      <c r="G69" s="6">
        <f t="shared" si="9"/>
        <v>-3.0839033581059119</v>
      </c>
      <c r="H69" s="6"/>
      <c r="I69" s="23">
        <f t="shared" ca="1" si="10"/>
        <v>428.98884111432744</v>
      </c>
      <c r="J69" s="6"/>
      <c r="K69" s="6">
        <f t="shared" si="11"/>
        <v>-1.7075350834344549</v>
      </c>
      <c r="M69" s="30">
        <f t="shared" si="12"/>
        <v>-0.89489895381064444</v>
      </c>
      <c r="N69" s="6">
        <f t="shared" ca="1" si="13"/>
        <v>8.4147913401186258</v>
      </c>
      <c r="O69" s="6">
        <f t="shared" ca="1" si="15"/>
        <v>0.18706128851228654</v>
      </c>
      <c r="P69" s="6">
        <f t="shared" si="14"/>
        <v>-1.4283548809606725</v>
      </c>
      <c r="Q69" s="6"/>
    </row>
    <row r="70" spans="4:17" x14ac:dyDescent="0.15">
      <c r="D70" s="16">
        <v>1914</v>
      </c>
      <c r="E70" s="19">
        <v>12.372</v>
      </c>
      <c r="F70" s="23">
        <f t="shared" si="1"/>
        <v>0.20689450000000001</v>
      </c>
      <c r="G70" s="6">
        <f t="shared" si="9"/>
        <v>-3.0193262386760638</v>
      </c>
      <c r="H70" s="6"/>
      <c r="I70" s="23">
        <f t="shared" ca="1" si="10"/>
        <v>428.9091415483781</v>
      </c>
      <c r="J70" s="6"/>
      <c r="K70" s="6">
        <f t="shared" si="11"/>
        <v>-1.6782312205417413</v>
      </c>
      <c r="M70" s="30">
        <f t="shared" si="12"/>
        <v>-0.85161591420894989</v>
      </c>
      <c r="N70" s="6">
        <f t="shared" ca="1" si="13"/>
        <v>9.9385536168691431</v>
      </c>
      <c r="O70" s="6">
        <f t="shared" ca="1" si="15"/>
        <v>0.19775678093269855</v>
      </c>
      <c r="P70" s="6">
        <f t="shared" si="14"/>
        <v>-1.3513307470909446</v>
      </c>
      <c r="Q70" s="6"/>
    </row>
    <row r="71" spans="4:17" x14ac:dyDescent="0.15">
      <c r="D71" s="16">
        <v>1915</v>
      </c>
      <c r="E71" s="19">
        <v>12.036</v>
      </c>
      <c r="F71" s="23">
        <f t="shared" si="1"/>
        <v>0.2189305</v>
      </c>
      <c r="G71" s="6">
        <f t="shared" si="9"/>
        <v>-2.9599359656297364</v>
      </c>
      <c r="H71" s="6"/>
      <c r="I71" s="23">
        <f t="shared" ca="1" si="10"/>
        <v>427.87200120862508</v>
      </c>
      <c r="J71" s="6"/>
      <c r="K71" s="6">
        <f t="shared" si="11"/>
        <v>-1.6510431137230501</v>
      </c>
      <c r="M71" s="30">
        <f t="shared" si="12"/>
        <v>-0.81098733245373844</v>
      </c>
      <c r="N71" s="6">
        <f t="shared" ca="1" si="13"/>
        <v>10.632931977428896</v>
      </c>
      <c r="O71" s="6">
        <f t="shared" ca="1" si="15"/>
        <v>0.2088213408355413</v>
      </c>
      <c r="P71" s="6">
        <f t="shared" si="14"/>
        <v>-1.2796097134244735</v>
      </c>
      <c r="Q71" s="6"/>
    </row>
    <row r="72" spans="4:17" x14ac:dyDescent="0.15">
      <c r="D72" s="16">
        <v>1916</v>
      </c>
      <c r="E72" s="19">
        <v>13.138999999999999</v>
      </c>
      <c r="F72" s="23">
        <f t="shared" si="1"/>
        <v>0.23206950000000001</v>
      </c>
      <c r="G72" s="6">
        <f t="shared" si="9"/>
        <v>-2.8985384668603049</v>
      </c>
      <c r="H72" s="6"/>
      <c r="I72" s="23">
        <f t="shared" ca="1" si="10"/>
        <v>427.20537497463738</v>
      </c>
      <c r="J72" s="6"/>
      <c r="K72" s="6">
        <f t="shared" si="11"/>
        <v>-1.6226932850262867</v>
      </c>
      <c r="M72" s="30">
        <f t="shared" si="12"/>
        <v>-0.76811079269187188</v>
      </c>
      <c r="N72" s="6">
        <f t="shared" ca="1" si="13"/>
        <v>12.029683599429632</v>
      </c>
      <c r="O72" s="6">
        <f t="shared" ca="1" si="15"/>
        <v>0.22025083427628578</v>
      </c>
      <c r="P72" s="6">
        <f t="shared" si="14"/>
        <v>-1.2044934733875805</v>
      </c>
      <c r="Q72" s="6"/>
    </row>
    <row r="73" spans="4:17" x14ac:dyDescent="0.15">
      <c r="D73" s="16">
        <v>1917</v>
      </c>
      <c r="E73" s="19">
        <v>12.743</v>
      </c>
      <c r="F73" s="23">
        <f t="shared" si="1"/>
        <v>0.24481250000000002</v>
      </c>
      <c r="G73" s="6">
        <f t="shared" si="9"/>
        <v>-2.842052405193527</v>
      </c>
      <c r="H73" s="6"/>
      <c r="I73" s="23">
        <f t="shared" ca="1" si="10"/>
        <v>425.6321458084758</v>
      </c>
      <c r="J73" s="6"/>
      <c r="K73" s="6">
        <f t="shared" si="11"/>
        <v>-1.5963905633721238</v>
      </c>
      <c r="M73" s="30">
        <f t="shared" si="12"/>
        <v>-0.72783459551062135</v>
      </c>
      <c r="N73" s="6">
        <f t="shared" ca="1" si="13"/>
        <v>12.613959590745097</v>
      </c>
      <c r="O73" s="6">
        <f t="shared" ca="1" si="15"/>
        <v>0.2320398975698118</v>
      </c>
      <c r="P73" s="6">
        <f t="shared" si="14"/>
        <v>-1.1344362037511899</v>
      </c>
      <c r="Q73" s="6"/>
    </row>
    <row r="74" spans="4:17" x14ac:dyDescent="0.15">
      <c r="D74" s="16">
        <v>1918</v>
      </c>
      <c r="E74" s="19">
        <v>13.587999999999999</v>
      </c>
      <c r="F74" s="23">
        <f t="shared" si="1"/>
        <v>0.25840050000000003</v>
      </c>
      <c r="G74" s="6">
        <f t="shared" si="9"/>
        <v>-2.7847928699902975</v>
      </c>
      <c r="H74" s="6"/>
      <c r="I74" s="23">
        <f t="shared" ca="1" si="10"/>
        <v>424.20169224168239</v>
      </c>
      <c r="J74" s="6"/>
      <c r="K74" s="6">
        <f t="shared" si="11"/>
        <v>-1.5695092734189793</v>
      </c>
      <c r="M74" s="30">
        <f t="shared" si="12"/>
        <v>-0.68614885506242307</v>
      </c>
      <c r="N74" s="6">
        <f t="shared" ca="1" si="13"/>
        <v>13.638646612256494</v>
      </c>
      <c r="O74" s="6">
        <f t="shared" ca="1" si="15"/>
        <v>0.24418192177353151</v>
      </c>
      <c r="P74" s="6">
        <f t="shared" si="14"/>
        <v>-1.0624066936324126</v>
      </c>
      <c r="Q74" s="6"/>
    </row>
    <row r="75" spans="4:17" x14ac:dyDescent="0.15">
      <c r="D75" s="16">
        <v>1919</v>
      </c>
      <c r="E75" s="19">
        <v>12.627000000000001</v>
      </c>
      <c r="F75" s="23">
        <f t="shared" si="1"/>
        <v>0.27102750000000003</v>
      </c>
      <c r="G75" s="6">
        <f t="shared" si="9"/>
        <v>-2.7340616457714444</v>
      </c>
      <c r="H75" s="6"/>
      <c r="I75" s="23">
        <f t="shared" ca="1" si="10"/>
        <v>421.56617674354948</v>
      </c>
      <c r="J75" s="6"/>
      <c r="K75" s="6">
        <f t="shared" si="11"/>
        <v>-1.5455071422090119</v>
      </c>
      <c r="M75" s="30">
        <f t="shared" si="12"/>
        <v>-0.64845364993667887</v>
      </c>
      <c r="N75" s="6">
        <f t="shared" ca="1" si="13"/>
        <v>13.416493033974845</v>
      </c>
      <c r="O75" s="6">
        <f t="shared" ca="1" si="15"/>
        <v>0.25666904413555486</v>
      </c>
      <c r="P75" s="6">
        <f t="shared" si="14"/>
        <v>-0.99766364443244882</v>
      </c>
      <c r="Q75" s="6"/>
    </row>
    <row r="76" spans="4:17" x14ac:dyDescent="0.15">
      <c r="D76" s="16">
        <v>1920</v>
      </c>
      <c r="E76" s="19">
        <v>15.374000000000001</v>
      </c>
      <c r="F76" s="23">
        <f t="shared" si="1"/>
        <v>0.28640150000000003</v>
      </c>
      <c r="G76" s="6">
        <f t="shared" si="9"/>
        <v>-2.6751959003149657</v>
      </c>
      <c r="H76" s="6"/>
      <c r="I76" s="23">
        <f t="shared" ca="1" si="10"/>
        <v>420.43221377509872</v>
      </c>
      <c r="J76" s="6"/>
      <c r="K76" s="6">
        <f t="shared" si="11"/>
        <v>-1.5174355144611789</v>
      </c>
      <c r="M76" s="30">
        <f t="shared" si="12"/>
        <v>-0.60376356956574695</v>
      </c>
      <c r="N76" s="6">
        <f t="shared" ca="1" si="13"/>
        <v>15.379884436867343</v>
      </c>
      <c r="O76" s="6">
        <f t="shared" ca="1" si="15"/>
        <v>0.26949214678552852</v>
      </c>
      <c r="P76" s="6">
        <f t="shared" si="14"/>
        <v>-0.92135068413412957</v>
      </c>
      <c r="Q76" s="6"/>
    </row>
    <row r="77" spans="4:17" x14ac:dyDescent="0.15">
      <c r="D77" s="16">
        <v>1921</v>
      </c>
      <c r="E77" s="19">
        <v>13.66</v>
      </c>
      <c r="F77" s="23">
        <f t="shared" si="1"/>
        <v>0.30006150000000004</v>
      </c>
      <c r="G77" s="6">
        <f t="shared" si="9"/>
        <v>-2.6253118220215597</v>
      </c>
      <c r="H77" s="6"/>
      <c r="I77" s="23">
        <f t="shared" ca="1" si="10"/>
        <v>417.64032347994544</v>
      </c>
      <c r="J77" s="6"/>
      <c r="K77" s="6">
        <f t="shared" si="11"/>
        <v>-1.4934595646951021</v>
      </c>
      <c r="M77" s="30">
        <f t="shared" si="12"/>
        <v>-0.56504595528803314</v>
      </c>
      <c r="N77" s="6">
        <f t="shared" ca="1" si="13"/>
        <v>15.477182044270684</v>
      </c>
      <c r="O77" s="6">
        <f t="shared" ca="1" si="15"/>
        <v>0.28264086288914048</v>
      </c>
      <c r="P77" s="6">
        <f t="shared" si="14"/>
        <v>-0.85559361362571473</v>
      </c>
      <c r="Q77" s="6"/>
    </row>
    <row r="78" spans="4:17" x14ac:dyDescent="0.15">
      <c r="D78" s="16">
        <v>1922</v>
      </c>
      <c r="E78" s="19">
        <v>13.750999999999999</v>
      </c>
      <c r="F78" s="23">
        <f t="shared" ref="F78:F141" si="16">F77+E78/1000</f>
        <v>0.31381250000000005</v>
      </c>
      <c r="G78" s="6">
        <f t="shared" ref="G78:G109" si="17" xml:space="preserve"> - LN(F$1/F78 - 1)</f>
        <v>-2.5771794013805054</v>
      </c>
      <c r="H78" s="6"/>
      <c r="I78" s="23">
        <f t="shared" ref="I78:I109" ca="1" si="18" xml:space="preserve"> (G78*(F$2-E$2)/LN(81) + AVERAGE(E$2:F$2) - D78)*12</f>
        <v>414.52509442862265</v>
      </c>
      <c r="J78" s="6"/>
      <c r="K78" s="6">
        <f t="shared" ref="K78:K109" si="19">NORMSINV(F78/F$5)</f>
        <v>-1.4701610648676122</v>
      </c>
      <c r="M78" s="30">
        <f t="shared" ref="M78:M109" si="20">NORMSINV(F78/F$6)</f>
        <v>-0.52690774597829959</v>
      </c>
      <c r="N78" s="6">
        <f t="shared" ref="N78:N109" ca="1" si="21">(M78*(F$7-E$7)/(NORMSINV(0.9)-NORMSINV(0.1))-(D78-AVERAGE(E$7:F$7)))*12</f>
        <v>15.393444883297263</v>
      </c>
      <c r="O78" s="6">
        <f t="shared" ca="1" si="15"/>
        <v>0.29610359042668799</v>
      </c>
      <c r="P78" s="6">
        <f t="shared" ref="P78:P109" si="22" xml:space="preserve"> - LN(F$10/F78 - 1)</f>
        <v>-0.79111519469204006</v>
      </c>
      <c r="Q78" s="6"/>
    </row>
    <row r="79" spans="4:17" x14ac:dyDescent="0.15">
      <c r="D79" s="16">
        <v>1923</v>
      </c>
      <c r="E79" s="19">
        <v>15.414</v>
      </c>
      <c r="F79" s="23">
        <f t="shared" si="16"/>
        <v>0.32922650000000003</v>
      </c>
      <c r="G79" s="6">
        <f t="shared" si="17"/>
        <v>-2.5254897101694458</v>
      </c>
      <c r="H79" s="6"/>
      <c r="I79" s="23">
        <f t="shared" ca="1" si="18"/>
        <v>412.06650250038456</v>
      </c>
      <c r="J79" s="6"/>
      <c r="K79" s="6">
        <f t="shared" si="19"/>
        <v>-1.4449593789070074</v>
      </c>
      <c r="M79" s="30">
        <f t="shared" si="20"/>
        <v>-0.48504676299192889</v>
      </c>
      <c r="N79" s="6">
        <f t="shared" ca="1" si="21"/>
        <v>16.472886340930259</v>
      </c>
      <c r="O79" s="6">
        <f t="shared" ca="1" si="15"/>
        <v>0.30986751369215582</v>
      </c>
      <c r="P79" s="6">
        <f t="shared" si="22"/>
        <v>-0.72064591451127757</v>
      </c>
      <c r="Q79" s="6"/>
    </row>
    <row r="80" spans="4:17" x14ac:dyDescent="0.15">
      <c r="D80" s="16">
        <v>1924</v>
      </c>
      <c r="E80" s="19">
        <v>12.372</v>
      </c>
      <c r="F80" s="23">
        <f t="shared" si="16"/>
        <v>0.34159850000000003</v>
      </c>
      <c r="G80" s="6">
        <f t="shared" si="17"/>
        <v>-2.4855880351280795</v>
      </c>
      <c r="H80" s="6"/>
      <c r="I80" s="23">
        <f t="shared" ca="1" si="18"/>
        <v>407.43195884954457</v>
      </c>
      <c r="J80" s="6"/>
      <c r="K80" s="6">
        <f t="shared" si="19"/>
        <v>-1.4253757210881579</v>
      </c>
      <c r="M80" s="30">
        <f t="shared" si="20"/>
        <v>-0.45205498393258309</v>
      </c>
      <c r="N80" s="6">
        <f t="shared" ca="1" si="21"/>
        <v>14.781149836089263</v>
      </c>
      <c r="O80" s="6">
        <f t="shared" ca="1" si="15"/>
        <v>0.32391863254263165</v>
      </c>
      <c r="P80" s="6">
        <f t="shared" si="22"/>
        <v>-0.66530681852269835</v>
      </c>
      <c r="Q80" s="6"/>
    </row>
    <row r="81" spans="4:17" x14ac:dyDescent="0.15">
      <c r="D81" s="16">
        <v>1925</v>
      </c>
      <c r="E81" s="19">
        <v>11.916</v>
      </c>
      <c r="F81" s="23">
        <f t="shared" si="16"/>
        <v>0.35351450000000001</v>
      </c>
      <c r="G81" s="6">
        <f t="shared" si="17"/>
        <v>-2.4483904341471678</v>
      </c>
      <c r="H81" s="6"/>
      <c r="I81" s="23">
        <f t="shared" ca="1" si="18"/>
        <v>402.29826975088599</v>
      </c>
      <c r="J81" s="6"/>
      <c r="K81" s="6">
        <f t="shared" si="19"/>
        <v>-1.4070171301621026</v>
      </c>
      <c r="M81" s="30">
        <f t="shared" si="20"/>
        <v>-0.42073822713024878</v>
      </c>
      <c r="N81" s="6">
        <f t="shared" ca="1" si="21"/>
        <v>12.566053534419105</v>
      </c>
      <c r="O81" s="6">
        <f t="shared" ca="1" si="15"/>
        <v>0.3382417993593011</v>
      </c>
      <c r="P81" s="6">
        <f t="shared" si="22"/>
        <v>-0.61292169506510452</v>
      </c>
      <c r="Q81" s="6"/>
    </row>
    <row r="82" spans="4:17" x14ac:dyDescent="0.15">
      <c r="D82" s="16">
        <v>1926</v>
      </c>
      <c r="E82" s="19">
        <v>14.898999999999999</v>
      </c>
      <c r="F82" s="23">
        <f t="shared" si="16"/>
        <v>0.3684135</v>
      </c>
      <c r="G82" s="6">
        <f t="shared" si="17"/>
        <v>-2.4034596036767346</v>
      </c>
      <c r="H82" s="6"/>
      <c r="I82" s="23">
        <f t="shared" ca="1" si="18"/>
        <v>398.59205867624587</v>
      </c>
      <c r="J82" s="6"/>
      <c r="K82" s="6">
        <f t="shared" si="19"/>
        <v>-1.3847097984190191</v>
      </c>
      <c r="M82" s="30">
        <f t="shared" si="20"/>
        <v>-0.3821501992978717</v>
      </c>
      <c r="N82" s="6">
        <f t="shared" ca="1" si="21"/>
        <v>12.622861927175066</v>
      </c>
      <c r="O82" s="6">
        <f t="shared" ca="1" si="15"/>
        <v>0.35282076361151715</v>
      </c>
      <c r="P82" s="6">
        <f t="shared" si="22"/>
        <v>-0.54854262515942898</v>
      </c>
      <c r="Q82" s="6"/>
    </row>
    <row r="83" spans="4:17" x14ac:dyDescent="0.15">
      <c r="D83" s="16">
        <v>1927</v>
      </c>
      <c r="E83" s="19">
        <v>15.81</v>
      </c>
      <c r="F83" s="23">
        <f t="shared" si="16"/>
        <v>0.3842235</v>
      </c>
      <c r="G83" s="6">
        <f t="shared" si="17"/>
        <v>-2.3575539913897785</v>
      </c>
      <c r="H83" s="6"/>
      <c r="I83" s="23">
        <f t="shared" ca="1" si="18"/>
        <v>395.06578272744173</v>
      </c>
      <c r="J83" s="6"/>
      <c r="K83" s="6">
        <f t="shared" si="19"/>
        <v>-1.3617684782898252</v>
      </c>
      <c r="M83" s="30">
        <f t="shared" si="20"/>
        <v>-0.34181460199351787</v>
      </c>
      <c r="N83" s="6">
        <f t="shared" ca="1" si="21"/>
        <v>13.225697454776594</v>
      </c>
      <c r="O83" s="6">
        <f t="shared" ca="1" si="15"/>
        <v>0.3676382238452961</v>
      </c>
      <c r="P83" s="6">
        <f t="shared" si="22"/>
        <v>-0.48141639908941486</v>
      </c>
      <c r="Q83" s="6"/>
    </row>
    <row r="84" spans="4:17" x14ac:dyDescent="0.15">
      <c r="D84" s="16">
        <v>1928</v>
      </c>
      <c r="E84" s="19">
        <v>15.935</v>
      </c>
      <c r="F84" s="23">
        <f t="shared" si="16"/>
        <v>0.40015849999999997</v>
      </c>
      <c r="G84" s="6">
        <f t="shared" si="17"/>
        <v>-2.3129844580004253</v>
      </c>
      <c r="H84" s="6"/>
      <c r="I84" s="23">
        <f t="shared" ca="1" si="18"/>
        <v>391.29287976888827</v>
      </c>
      <c r="J84" s="6"/>
      <c r="K84" s="6">
        <f t="shared" si="19"/>
        <v>-1.3393490317588352</v>
      </c>
      <c r="M84" s="30">
        <f t="shared" si="20"/>
        <v>-0.30171519549025866</v>
      </c>
      <c r="N84" s="6">
        <f t="shared" ca="1" si="21"/>
        <v>13.754735294522689</v>
      </c>
      <c r="O84" s="6">
        <f t="shared" ca="1" si="15"/>
        <v>0.38267588684791615</v>
      </c>
      <c r="P84" s="6">
        <f t="shared" si="22"/>
        <v>-0.41481937327237461</v>
      </c>
      <c r="Q84" s="6"/>
    </row>
    <row r="85" spans="4:17" x14ac:dyDescent="0.15">
      <c r="D85" s="16">
        <v>1929</v>
      </c>
      <c r="E85" s="19">
        <v>15.871</v>
      </c>
      <c r="F85" s="23">
        <f t="shared" si="16"/>
        <v>0.4160295</v>
      </c>
      <c r="G85" s="6">
        <f t="shared" si="17"/>
        <v>-2.2701561354208257</v>
      </c>
      <c r="H85" s="6"/>
      <c r="I85" s="23">
        <f t="shared" ca="1" si="18"/>
        <v>387.19856643845105</v>
      </c>
      <c r="J85" s="6"/>
      <c r="K85" s="6">
        <f t="shared" si="19"/>
        <v>-1.3176694575681327</v>
      </c>
      <c r="M85" s="30">
        <f t="shared" si="20"/>
        <v>-0.26225359467385567</v>
      </c>
      <c r="N85" s="6">
        <f t="shared" ca="1" si="21"/>
        <v>14.084491092915474</v>
      </c>
      <c r="O85" s="6">
        <f t="shared" ca="1" si="15"/>
        <v>0.39791453367189217</v>
      </c>
      <c r="P85" s="6">
        <f t="shared" si="22"/>
        <v>-0.34937971515492239</v>
      </c>
      <c r="Q85" s="6"/>
    </row>
    <row r="86" spans="4:17" x14ac:dyDescent="0.15">
      <c r="D86" s="16">
        <v>1930</v>
      </c>
      <c r="E86" s="19">
        <v>13.499000000000001</v>
      </c>
      <c r="F86" s="23">
        <f t="shared" si="16"/>
        <v>0.42952849999999998</v>
      </c>
      <c r="G86" s="6">
        <f t="shared" si="17"/>
        <v>-2.2348669122483846</v>
      </c>
      <c r="H86" s="6"/>
      <c r="I86" s="23">
        <f t="shared" ca="1" si="18"/>
        <v>381.7126095858348</v>
      </c>
      <c r="J86" s="6"/>
      <c r="K86" s="6">
        <f t="shared" si="19"/>
        <v>-1.2997056126373028</v>
      </c>
      <c r="M86" s="30">
        <f t="shared" si="20"/>
        <v>-0.22901061387292568</v>
      </c>
      <c r="N86" s="6">
        <f t="shared" ca="1" si="21"/>
        <v>12.471242436154267</v>
      </c>
      <c r="O86" s="6">
        <f t="shared" ca="1" si="15"/>
        <v>0.4133340921353309</v>
      </c>
      <c r="P86" s="6">
        <f t="shared" si="22"/>
        <v>-0.294302640906562</v>
      </c>
      <c r="Q86" s="6"/>
    </row>
    <row r="87" spans="4:17" x14ac:dyDescent="0.15">
      <c r="D87" s="16">
        <v>1931</v>
      </c>
      <c r="E87" s="19">
        <v>11.106999999999999</v>
      </c>
      <c r="F87" s="23">
        <f t="shared" si="16"/>
        <v>0.44063549999999996</v>
      </c>
      <c r="G87" s="6">
        <f t="shared" si="17"/>
        <v>-2.2065661358053217</v>
      </c>
      <c r="H87" s="6"/>
      <c r="I87" s="23">
        <f t="shared" ca="1" si="18"/>
        <v>374.93665427374708</v>
      </c>
      <c r="J87" s="6"/>
      <c r="K87" s="6">
        <f t="shared" si="19"/>
        <v>-1.2852333781396816</v>
      </c>
      <c r="M87" s="30">
        <f t="shared" si="20"/>
        <v>-0.20184839514577932</v>
      </c>
      <c r="N87" s="6">
        <f t="shared" ca="1" si="21"/>
        <v>8.9580629634410442</v>
      </c>
      <c r="O87" s="6">
        <f t="shared" ca="1" si="15"/>
        <v>0.42891371535233735</v>
      </c>
      <c r="P87" s="6">
        <f t="shared" si="22"/>
        <v>-0.24931876060679015</v>
      </c>
      <c r="Q87" s="6"/>
    </row>
    <row r="88" spans="4:17" x14ac:dyDescent="0.15">
      <c r="D88" s="16">
        <v>1932</v>
      </c>
      <c r="E88" s="19">
        <v>10.648999999999999</v>
      </c>
      <c r="F88" s="23">
        <f t="shared" si="16"/>
        <v>0.45128449999999998</v>
      </c>
      <c r="G88" s="6">
        <f t="shared" si="17"/>
        <v>-2.1800223376844587</v>
      </c>
      <c r="H88" s="6"/>
      <c r="I88" s="23">
        <f t="shared" ca="1" si="18"/>
        <v>367.83637806222032</v>
      </c>
      <c r="J88" s="6"/>
      <c r="K88" s="6">
        <f t="shared" si="19"/>
        <v>-1.2716062400657051</v>
      </c>
      <c r="M88" s="30">
        <f t="shared" si="20"/>
        <v>-0.17594559213615185</v>
      </c>
      <c r="N88" s="6">
        <f t="shared" ca="1" si="21"/>
        <v>5.0513797320254952</v>
      </c>
      <c r="O88" s="6">
        <f t="shared" ca="1" si="15"/>
        <v>0.44463186578755232</v>
      </c>
      <c r="P88" s="6">
        <f t="shared" si="22"/>
        <v>-0.20642478552399876</v>
      </c>
      <c r="Q88" s="6"/>
    </row>
    <row r="89" spans="4:17" x14ac:dyDescent="0.15">
      <c r="D89" s="16">
        <v>1933</v>
      </c>
      <c r="E89" s="19">
        <v>10.798999999999999</v>
      </c>
      <c r="F89" s="23">
        <f t="shared" si="16"/>
        <v>0.46208349999999998</v>
      </c>
      <c r="G89" s="6">
        <f t="shared" si="17"/>
        <v>-2.153666059228442</v>
      </c>
      <c r="H89" s="6"/>
      <c r="I89" s="23">
        <f t="shared" ca="1" si="18"/>
        <v>360.70148756684193</v>
      </c>
      <c r="J89" s="6"/>
      <c r="K89" s="6">
        <f t="shared" si="19"/>
        <v>-1.2580241606064337</v>
      </c>
      <c r="M89" s="30">
        <f t="shared" si="20"/>
        <v>-0.1497978702464427</v>
      </c>
      <c r="N89" s="6">
        <f t="shared" ca="1" si="21"/>
        <v>1.2212212720167788</v>
      </c>
      <c r="O89" s="6">
        <f t="shared" ca="1" si="15"/>
        <v>0.46046640427380697</v>
      </c>
      <c r="P89" s="6">
        <f t="shared" si="22"/>
        <v>-0.16311884624909637</v>
      </c>
      <c r="Q89" s="6"/>
    </row>
    <row r="90" spans="4:17" x14ac:dyDescent="0.15">
      <c r="D90" s="16">
        <v>1934</v>
      </c>
      <c r="E90" s="19">
        <v>12.529</v>
      </c>
      <c r="F90" s="23">
        <f t="shared" si="16"/>
        <v>0.47461249999999999</v>
      </c>
      <c r="G90" s="6">
        <f t="shared" si="17"/>
        <v>-2.1237612156422809</v>
      </c>
      <c r="H90" s="6"/>
      <c r="I90" s="23">
        <f t="shared" ca="1" si="18"/>
        <v>354.22162725606358</v>
      </c>
      <c r="J90" s="6"/>
      <c r="K90" s="6">
        <f t="shared" si="19"/>
        <v>-1.2425515138233454</v>
      </c>
      <c r="M90" s="30">
        <f t="shared" si="20"/>
        <v>-0.11958791296138073</v>
      </c>
      <c r="N90" s="6">
        <f t="shared" ca="1" si="21"/>
        <v>-1.339693939262192</v>
      </c>
      <c r="O90" s="6">
        <f t="shared" ca="1" si="15"/>
        <v>0.47639468338197982</v>
      </c>
      <c r="P90" s="6">
        <f t="shared" si="22"/>
        <v>-0.11306316324502028</v>
      </c>
      <c r="Q90" s="6"/>
    </row>
    <row r="91" spans="4:17" x14ac:dyDescent="0.15">
      <c r="D91" s="16">
        <v>1935</v>
      </c>
      <c r="E91" s="19">
        <v>12.599</v>
      </c>
      <c r="F91" s="23">
        <f t="shared" si="16"/>
        <v>0.48721150000000002</v>
      </c>
      <c r="G91" s="6">
        <f t="shared" si="17"/>
        <v>-2.0943821462878294</v>
      </c>
      <c r="H91" s="6"/>
      <c r="I91" s="23">
        <f t="shared" ca="1" si="18"/>
        <v>347.64471419877555</v>
      </c>
      <c r="J91" s="6"/>
      <c r="K91" s="6">
        <f t="shared" si="19"/>
        <v>-1.2272867289883143</v>
      </c>
      <c r="M91" s="30">
        <f t="shared" si="20"/>
        <v>-8.9318804887643488E-2</v>
      </c>
      <c r="N91" s="6">
        <f t="shared" ca="1" si="21"/>
        <v>-3.8821275186620632</v>
      </c>
      <c r="O91" s="6">
        <f t="shared" ca="1" si="15"/>
        <v>0.49239364448809764</v>
      </c>
      <c r="P91" s="6">
        <f t="shared" si="22"/>
        <v>-6.2870007905674055E-2</v>
      </c>
      <c r="Q91" s="6"/>
    </row>
    <row r="92" spans="4:17" x14ac:dyDescent="0.15">
      <c r="D92" s="16">
        <v>1936</v>
      </c>
      <c r="E92" s="19">
        <v>13.816000000000001</v>
      </c>
      <c r="F92" s="23">
        <f t="shared" si="16"/>
        <v>0.50102750000000007</v>
      </c>
      <c r="G92" s="6">
        <f t="shared" si="17"/>
        <v>-2.0629212691920333</v>
      </c>
      <c r="H92" s="6"/>
      <c r="I92" s="23">
        <f t="shared" ca="1" si="18"/>
        <v>341.45208235349764</v>
      </c>
      <c r="J92" s="6"/>
      <c r="K92" s="6">
        <f t="shared" si="19"/>
        <v>-1.2108696651649025</v>
      </c>
      <c r="M92" s="30">
        <f t="shared" si="20"/>
        <v>-5.6218662180199767E-2</v>
      </c>
      <c r="N92" s="6">
        <f t="shared" ca="1" si="21"/>
        <v>-5.5400058603564322</v>
      </c>
      <c r="O92" s="6">
        <f t="shared" ca="1" si="15"/>
        <v>0.50843991784508291</v>
      </c>
      <c r="P92" s="6">
        <f t="shared" si="22"/>
        <v>-7.9169961894110623E-3</v>
      </c>
      <c r="Q92" s="6"/>
    </row>
    <row r="93" spans="4:17" x14ac:dyDescent="0.15">
      <c r="D93" s="16">
        <v>1937</v>
      </c>
      <c r="E93" s="19">
        <v>14.366</v>
      </c>
      <c r="F93" s="23">
        <f t="shared" si="16"/>
        <v>0.51539350000000006</v>
      </c>
      <c r="G93" s="6">
        <f t="shared" si="17"/>
        <v>-2.0310010801907383</v>
      </c>
      <c r="H93" s="6"/>
      <c r="I93" s="23">
        <f t="shared" ca="1" si="18"/>
        <v>335.34423496368709</v>
      </c>
      <c r="J93" s="6"/>
      <c r="K93" s="6">
        <f t="shared" si="19"/>
        <v>-1.1941382094222444</v>
      </c>
      <c r="M93" s="30">
        <f t="shared" si="20"/>
        <v>-2.1865545643449377E-2</v>
      </c>
      <c r="N93" s="6">
        <f t="shared" ca="1" si="21"/>
        <v>-6.8063932078307481</v>
      </c>
      <c r="O93" s="6">
        <f t="shared" ca="1" si="15"/>
        <v>0.52450992493583459</v>
      </c>
      <c r="P93" s="6">
        <f t="shared" si="22"/>
        <v>4.9212124921179157E-2</v>
      </c>
      <c r="Q93" s="6"/>
    </row>
    <row r="94" spans="4:17" x14ac:dyDescent="0.15">
      <c r="D94" s="16">
        <v>1938</v>
      </c>
      <c r="E94" s="19">
        <v>12.968</v>
      </c>
      <c r="F94" s="23">
        <f t="shared" si="16"/>
        <v>0.52836150000000004</v>
      </c>
      <c r="G94" s="6">
        <f t="shared" si="17"/>
        <v>-2.0028443235360043</v>
      </c>
      <c r="H94" s="6"/>
      <c r="I94" s="23">
        <f t="shared" ca="1" si="18"/>
        <v>328.54169501666365</v>
      </c>
      <c r="J94" s="6"/>
      <c r="K94" s="6">
        <f t="shared" si="19"/>
        <v>-1.1793169031614825</v>
      </c>
      <c r="M94" s="30">
        <f t="shared" si="20"/>
        <v>9.1212848749418485E-3</v>
      </c>
      <c r="N94" s="6">
        <f t="shared" ca="1" si="21"/>
        <v>-9.1245747981949776</v>
      </c>
      <c r="O94" s="6">
        <f t="shared" ca="1" si="15"/>
        <v>0.54057998236091798</v>
      </c>
      <c r="P94" s="6">
        <f t="shared" si="22"/>
        <v>0.10084828922392747</v>
      </c>
      <c r="Q94" s="6"/>
    </row>
    <row r="95" spans="4:17" x14ac:dyDescent="0.15">
      <c r="D95" s="16">
        <v>1939</v>
      </c>
      <c r="E95" s="19">
        <v>14.236000000000001</v>
      </c>
      <c r="F95" s="23">
        <f t="shared" si="16"/>
        <v>0.54259750000000007</v>
      </c>
      <c r="G95" s="6">
        <f t="shared" si="17"/>
        <v>-1.972614539851707</v>
      </c>
      <c r="H95" s="6"/>
      <c r="I95" s="23">
        <f t="shared" ca="1" si="18"/>
        <v>322.12181544870964</v>
      </c>
      <c r="J95" s="6"/>
      <c r="K95" s="6">
        <f t="shared" si="19"/>
        <v>-1.1633391354294389</v>
      </c>
      <c r="M95" s="30">
        <f t="shared" si="20"/>
        <v>4.3149189260177565E-2</v>
      </c>
      <c r="N95" s="6">
        <f t="shared" ca="1" si="21"/>
        <v>-10.492574506239803</v>
      </c>
      <c r="O95" s="6">
        <f t="shared" ca="1" si="15"/>
        <v>0.55662640649835471</v>
      </c>
      <c r="P95" s="6">
        <f t="shared" si="22"/>
        <v>0.15769113303496171</v>
      </c>
      <c r="Q95" s="6"/>
    </row>
    <row r="96" spans="4:17" x14ac:dyDescent="0.15">
      <c r="D96" s="16">
        <v>1940</v>
      </c>
      <c r="E96" s="19">
        <v>15.936</v>
      </c>
      <c r="F96" s="23">
        <f t="shared" si="16"/>
        <v>0.55853350000000002</v>
      </c>
      <c r="G96" s="6">
        <f t="shared" si="17"/>
        <v>-1.9395742364846165</v>
      </c>
      <c r="H96" s="6"/>
      <c r="I96" s="23">
        <f t="shared" ca="1" si="18"/>
        <v>316.22073014241505</v>
      </c>
      <c r="J96" s="6"/>
      <c r="K96" s="6">
        <f t="shared" si="19"/>
        <v>-1.145798597945421</v>
      </c>
      <c r="M96" s="30">
        <f t="shared" si="20"/>
        <v>8.1301805080620307E-2</v>
      </c>
      <c r="N96" s="6">
        <f t="shared" ca="1" si="21"/>
        <v>-10.571810360746252</v>
      </c>
      <c r="O96" s="6">
        <f t="shared" ca="1" si="15"/>
        <v>0.57262561816505242</v>
      </c>
      <c r="P96" s="6">
        <f t="shared" si="22"/>
        <v>0.22162939914764526</v>
      </c>
      <c r="Q96" s="6"/>
    </row>
    <row r="97" spans="4:17" x14ac:dyDescent="0.15">
      <c r="D97" s="16">
        <v>1941</v>
      </c>
      <c r="E97" s="19">
        <v>16.533999999999999</v>
      </c>
      <c r="F97" s="23">
        <f t="shared" si="16"/>
        <v>0.57506750000000006</v>
      </c>
      <c r="G97" s="6">
        <f t="shared" si="17"/>
        <v>-1.9061365174779512</v>
      </c>
      <c r="H97" s="6"/>
      <c r="I97" s="23">
        <f t="shared" ca="1" si="18"/>
        <v>310.39300385031675</v>
      </c>
      <c r="J97" s="6"/>
      <c r="K97" s="6">
        <f t="shared" si="19"/>
        <v>-1.1279649211850789</v>
      </c>
      <c r="M97" s="30">
        <f t="shared" si="20"/>
        <v>0.12101237818081871</v>
      </c>
      <c r="N97" s="6">
        <f t="shared" ca="1" si="21"/>
        <v>-10.164263307152044</v>
      </c>
      <c r="O97" s="6">
        <f t="shared" ref="O97:O125" ca="1" si="23">F$6*NORMDIST(D97,AVERAGE(E$7:F$7),(F$7-E$7)/(NORMSINV(0.9)-NORMSINV(0.1)),1)</f>
        <v>0.5885542465093947</v>
      </c>
      <c r="P97" s="6">
        <f t="shared" si="22"/>
        <v>0.28844923027425501</v>
      </c>
      <c r="Q97" s="6"/>
    </row>
    <row r="98" spans="4:17" x14ac:dyDescent="0.15">
      <c r="D98" s="16">
        <v>1942</v>
      </c>
      <c r="E98" s="19">
        <v>17.114999999999998</v>
      </c>
      <c r="F98" s="23">
        <f t="shared" si="16"/>
        <v>0.59218250000000006</v>
      </c>
      <c r="G98" s="6">
        <f t="shared" si="17"/>
        <v>-1.8723750752739172</v>
      </c>
      <c r="H98" s="6"/>
      <c r="I98" s="23">
        <f t="shared" ca="1" si="18"/>
        <v>304.62503367314002</v>
      </c>
      <c r="J98" s="6"/>
      <c r="K98" s="6">
        <f t="shared" si="19"/>
        <v>-1.1098747958951831</v>
      </c>
      <c r="M98" s="30">
        <f t="shared" si="20"/>
        <v>0.16232123328529524</v>
      </c>
      <c r="N98" s="6">
        <f t="shared" ca="1" si="21"/>
        <v>-9.2573339071243979</v>
      </c>
      <c r="O98" s="6">
        <f t="shared" ca="1" si="23"/>
        <v>0.60438923137243294</v>
      </c>
      <c r="P98" s="6">
        <f t="shared" si="22"/>
        <v>0.35829949252415355</v>
      </c>
      <c r="Q98" s="6"/>
    </row>
    <row r="99" spans="4:17" x14ac:dyDescent="0.15">
      <c r="D99" s="16">
        <v>1943</v>
      </c>
      <c r="E99" s="19">
        <v>16.201000000000001</v>
      </c>
      <c r="F99" s="23">
        <f t="shared" si="16"/>
        <v>0.60838350000000008</v>
      </c>
      <c r="G99" s="6">
        <f t="shared" si="17"/>
        <v>-1.8411690966742147</v>
      </c>
      <c r="H99" s="6"/>
      <c r="I99" s="23">
        <f t="shared" ca="1" si="18"/>
        <v>298.38535007516111</v>
      </c>
      <c r="J99" s="6"/>
      <c r="K99" s="6">
        <f t="shared" si="19"/>
        <v>-1.0930791482110256</v>
      </c>
      <c r="M99" s="30">
        <f t="shared" si="20"/>
        <v>0.20167983999943731</v>
      </c>
      <c r="N99" s="6">
        <f t="shared" ca="1" si="21"/>
        <v>-8.9597585601902487</v>
      </c>
      <c r="O99" s="6">
        <f t="shared" ca="1" si="23"/>
        <v>0.62010792337087284</v>
      </c>
      <c r="P99" s="6">
        <f t="shared" si="22"/>
        <v>0.42522347048707421</v>
      </c>
      <c r="Q99" s="6"/>
    </row>
    <row r="100" spans="4:17" x14ac:dyDescent="0.15">
      <c r="D100" s="16">
        <v>1944</v>
      </c>
      <c r="E100" s="19">
        <v>15.446</v>
      </c>
      <c r="F100" s="23">
        <f t="shared" si="16"/>
        <v>0.62382950000000004</v>
      </c>
      <c r="G100" s="6">
        <f t="shared" si="17"/>
        <v>-1.8120618710522871</v>
      </c>
      <c r="H100" s="6"/>
      <c r="I100" s="23">
        <f t="shared" ca="1" si="18"/>
        <v>291.7582573413647</v>
      </c>
      <c r="J100" s="6"/>
      <c r="K100" s="6">
        <f t="shared" si="19"/>
        <v>-1.0773484157811739</v>
      </c>
      <c r="M100" s="30">
        <f t="shared" si="20"/>
        <v>0.23949664361392151</v>
      </c>
      <c r="N100" s="6">
        <f t="shared" ca="1" si="21"/>
        <v>-9.1439187565360491</v>
      </c>
      <c r="O100" s="6">
        <f t="shared" ca="1" si="23"/>
        <v>0.63568818097842561</v>
      </c>
      <c r="P100" s="6">
        <f t="shared" si="22"/>
        <v>0.48991245463007699</v>
      </c>
      <c r="Q100" s="6"/>
    </row>
    <row r="101" spans="4:17" x14ac:dyDescent="0.15">
      <c r="D101" s="16">
        <v>1945</v>
      </c>
      <c r="E101" s="19">
        <v>14.975</v>
      </c>
      <c r="F101" s="23">
        <f t="shared" si="16"/>
        <v>0.6388045</v>
      </c>
      <c r="G101" s="6">
        <f t="shared" si="17"/>
        <v>-1.7844123804508141</v>
      </c>
      <c r="H101" s="6"/>
      <c r="I101" s="23">
        <f t="shared" ca="1" si="18"/>
        <v>284.86208107534367</v>
      </c>
      <c r="J101" s="6"/>
      <c r="K101" s="6">
        <f t="shared" si="19"/>
        <v>-1.0623477912596231</v>
      </c>
      <c r="M101" s="30">
        <f t="shared" si="20"/>
        <v>0.27648979579069433</v>
      </c>
      <c r="N101" s="6">
        <f t="shared" ca="1" si="21"/>
        <v>-9.5854283984156226</v>
      </c>
      <c r="O101" s="6">
        <f t="shared" ca="1" si="23"/>
        <v>0.65110846391278332</v>
      </c>
      <c r="P101" s="6">
        <f t="shared" si="22"/>
        <v>0.55360227380227478</v>
      </c>
      <c r="Q101" s="6"/>
    </row>
    <row r="102" spans="4:17" x14ac:dyDescent="0.15">
      <c r="D102" s="16">
        <v>1946</v>
      </c>
      <c r="E102" s="19">
        <v>16.158000000000001</v>
      </c>
      <c r="F102" s="23">
        <f t="shared" si="16"/>
        <v>0.6549625</v>
      </c>
      <c r="G102" s="6">
        <f t="shared" si="17"/>
        <v>-1.7551770416184755</v>
      </c>
      <c r="H102" s="6"/>
      <c r="I102" s="23">
        <f t="shared" ca="1" si="18"/>
        <v>278.25863677881171</v>
      </c>
      <c r="J102" s="6"/>
      <c r="K102" s="6">
        <f t="shared" si="19"/>
        <v>-1.0464257656935201</v>
      </c>
      <c r="M102" s="30">
        <f t="shared" si="20"/>
        <v>0.31683605915366486</v>
      </c>
      <c r="N102" s="6">
        <f t="shared" ca="1" si="21"/>
        <v>-8.9792602665772137</v>
      </c>
      <c r="O102" s="6">
        <f t="shared" ca="1" si="23"/>
        <v>0.66634792217308458</v>
      </c>
      <c r="P102" s="6">
        <f t="shared" si="22"/>
        <v>0.62357845876191076</v>
      </c>
      <c r="Q102" s="6"/>
    </row>
    <row r="103" spans="4:17" x14ac:dyDescent="0.15">
      <c r="D103" s="16">
        <v>1947</v>
      </c>
      <c r="E103" s="19">
        <v>14.396000000000001</v>
      </c>
      <c r="F103" s="23">
        <f t="shared" si="16"/>
        <v>0.66935849999999997</v>
      </c>
      <c r="G103" s="6">
        <f t="shared" si="17"/>
        <v>-1.729628186651871</v>
      </c>
      <c r="H103" s="6"/>
      <c r="I103" s="23">
        <f t="shared" ca="1" si="18"/>
        <v>270.97470385700854</v>
      </c>
      <c r="J103" s="6"/>
      <c r="K103" s="6">
        <f t="shared" si="19"/>
        <v>-1.0324602076055496</v>
      </c>
      <c r="M103" s="30">
        <f t="shared" si="20"/>
        <v>0.35322040107349051</v>
      </c>
      <c r="N103" s="6">
        <f t="shared" ca="1" si="21"/>
        <v>-9.6109923434421063</v>
      </c>
      <c r="O103" s="6">
        <f t="shared" ca="1" si="23"/>
        <v>0.68138648011675595</v>
      </c>
      <c r="P103" s="6">
        <f t="shared" si="22"/>
        <v>0.68719020448064205</v>
      </c>
      <c r="Q103" s="6"/>
    </row>
    <row r="104" spans="4:17" x14ac:dyDescent="0.15">
      <c r="D104" s="16">
        <v>1948</v>
      </c>
      <c r="E104" s="19">
        <v>16.738</v>
      </c>
      <c r="F104" s="23">
        <f t="shared" si="16"/>
        <v>0.6860965</v>
      </c>
      <c r="G104" s="6">
        <f t="shared" si="17"/>
        <v>-1.7004849980494485</v>
      </c>
      <c r="H104" s="6"/>
      <c r="I104" s="23">
        <f t="shared" ca="1" si="18"/>
        <v>264.35424953532674</v>
      </c>
      <c r="J104" s="6"/>
      <c r="K104" s="6">
        <f t="shared" si="19"/>
        <v>-1.0164717051381664</v>
      </c>
      <c r="M104" s="30">
        <f t="shared" si="20"/>
        <v>0.39612394064231216</v>
      </c>
      <c r="N104" s="6">
        <f t="shared" ca="1" si="21"/>
        <v>-8.2058046463842729</v>
      </c>
      <c r="O104" s="6">
        <f t="shared" ca="1" si="23"/>
        <v>0.69620491501449222</v>
      </c>
      <c r="P104" s="6">
        <f t="shared" si="22"/>
        <v>0.7628820714254142</v>
      </c>
      <c r="Q104" s="6"/>
    </row>
    <row r="105" spans="4:17" x14ac:dyDescent="0.15">
      <c r="D105" s="16">
        <v>1949</v>
      </c>
      <c r="E105" s="19">
        <v>17.346</v>
      </c>
      <c r="F105" s="23">
        <f t="shared" si="16"/>
        <v>0.70344249999999997</v>
      </c>
      <c r="G105" s="6">
        <f t="shared" si="17"/>
        <v>-1.6708900647501985</v>
      </c>
      <c r="H105" s="6"/>
      <c r="I105" s="23">
        <f t="shared" ca="1" si="18"/>
        <v>257.81718283689679</v>
      </c>
      <c r="J105" s="6"/>
      <c r="K105" s="6">
        <f t="shared" si="19"/>
        <v>-1.0001720845090825</v>
      </c>
      <c r="M105" s="30">
        <f t="shared" si="20"/>
        <v>0.4413703840305318</v>
      </c>
      <c r="N105" s="6">
        <f t="shared" ca="1" si="21"/>
        <v>-6.0685779201269199</v>
      </c>
      <c r="O105" s="6">
        <f t="shared" ca="1" si="23"/>
        <v>0.71078492957721173</v>
      </c>
      <c r="P105" s="6">
        <f t="shared" si="22"/>
        <v>0.84359127028166569</v>
      </c>
      <c r="Q105" s="6"/>
    </row>
    <row r="106" spans="4:17" x14ac:dyDescent="0.15">
      <c r="D106" s="16">
        <v>1950</v>
      </c>
      <c r="E106" s="19">
        <v>17.363</v>
      </c>
      <c r="F106" s="23">
        <f t="shared" si="16"/>
        <v>0.72080549999999999</v>
      </c>
      <c r="G106" s="6">
        <f t="shared" si="17"/>
        <v>-1.6418537085028673</v>
      </c>
      <c r="H106" s="6"/>
      <c r="I106" s="23">
        <f t="shared" ca="1" si="18"/>
        <v>251.17700831431466</v>
      </c>
      <c r="J106" s="6"/>
      <c r="K106" s="6">
        <f t="shared" si="19"/>
        <v>-0.98411835316220753</v>
      </c>
      <c r="M106" s="30">
        <f t="shared" si="20"/>
        <v>0.48758510038476022</v>
      </c>
      <c r="N106" s="6">
        <f t="shared" ca="1" si="21"/>
        <v>-3.6288148301619998</v>
      </c>
      <c r="O106" s="6">
        <f t="shared" ca="1" si="23"/>
        <v>0.72510921800839534</v>
      </c>
      <c r="P106" s="6">
        <f t="shared" si="22"/>
        <v>0.9270668863721141</v>
      </c>
      <c r="Q106" s="6"/>
    </row>
    <row r="107" spans="4:17" x14ac:dyDescent="0.15">
      <c r="D107" s="16">
        <v>1951</v>
      </c>
      <c r="E107" s="19">
        <v>16.861999999999998</v>
      </c>
      <c r="F107" s="23">
        <f t="shared" si="16"/>
        <v>0.73766750000000003</v>
      </c>
      <c r="G107" s="6">
        <f t="shared" si="17"/>
        <v>-1.614190151076635</v>
      </c>
      <c r="H107" s="6"/>
      <c r="I107" s="23">
        <f t="shared" ca="1" si="18"/>
        <v>244.28342864564365</v>
      </c>
      <c r="J107" s="6"/>
      <c r="K107" s="6">
        <f t="shared" si="19"/>
        <v>-0.96876695250322098</v>
      </c>
      <c r="M107" s="30">
        <f t="shared" si="20"/>
        <v>0.53348522111244812</v>
      </c>
      <c r="N107" s="6">
        <f t="shared" ca="1" si="21"/>
        <v>-1.2873469732904681</v>
      </c>
      <c r="O107" s="6">
        <f t="shared" ca="1" si="23"/>
        <v>0.73916152519853662</v>
      </c>
      <c r="P107" s="6">
        <f t="shared" si="22"/>
        <v>1.0111270168613018</v>
      </c>
      <c r="Q107" s="6"/>
    </row>
    <row r="108" spans="4:17" x14ac:dyDescent="0.15">
      <c r="D108" s="16">
        <v>1952</v>
      </c>
      <c r="E108" s="19">
        <v>15.948</v>
      </c>
      <c r="F108" s="23">
        <f t="shared" si="16"/>
        <v>0.75361549999999999</v>
      </c>
      <c r="G108" s="6">
        <f t="shared" si="17"/>
        <v>-1.5884883550153912</v>
      </c>
      <c r="H108" s="6"/>
      <c r="I108" s="23">
        <f t="shared" ca="1" si="18"/>
        <v>237.02772714408638</v>
      </c>
      <c r="J108" s="6"/>
      <c r="K108" s="6">
        <f t="shared" si="19"/>
        <v>-0.95445485155107712</v>
      </c>
      <c r="M108" s="30">
        <f t="shared" si="20"/>
        <v>0.57795545792582947</v>
      </c>
      <c r="N108" s="6">
        <f t="shared" ca="1" si="21"/>
        <v>0.60735442913649962</v>
      </c>
      <c r="O108" s="6">
        <f t="shared" ca="1" si="23"/>
        <v>0.7529266987446932</v>
      </c>
      <c r="P108" s="6">
        <f t="shared" si="22"/>
        <v>1.0937804911950413</v>
      </c>
      <c r="Q108" s="6"/>
    </row>
    <row r="109" spans="4:17" x14ac:dyDescent="0.15">
      <c r="D109" s="16">
        <v>1953</v>
      </c>
      <c r="E109" s="19">
        <v>14.425000000000001</v>
      </c>
      <c r="F109" s="23">
        <f t="shared" si="16"/>
        <v>0.76804050000000001</v>
      </c>
      <c r="G109" s="6">
        <f t="shared" si="17"/>
        <v>-1.565611261305117</v>
      </c>
      <c r="H109" s="6"/>
      <c r="I109" s="23">
        <f t="shared" ca="1" si="18"/>
        <v>229.25061339996137</v>
      </c>
      <c r="J109" s="6"/>
      <c r="K109" s="6">
        <f t="shared" si="19"/>
        <v>-0.94167587921952933</v>
      </c>
      <c r="M109" s="30">
        <f t="shared" si="20"/>
        <v>0.61918556708043571</v>
      </c>
      <c r="N109" s="6">
        <f t="shared" ca="1" si="21"/>
        <v>1.4896796997845598</v>
      </c>
      <c r="O109" s="6">
        <f t="shared" ca="1" si="23"/>
        <v>0.76639073354651677</v>
      </c>
      <c r="P109" s="6">
        <f t="shared" si="22"/>
        <v>1.1715849176050523</v>
      </c>
      <c r="Q109" s="6"/>
    </row>
    <row r="110" spans="4:17" x14ac:dyDescent="0.15">
      <c r="D110" s="16">
        <v>1954</v>
      </c>
      <c r="E110" s="19">
        <v>13.53</v>
      </c>
      <c r="F110" s="23">
        <f t="shared" si="16"/>
        <v>0.78157050000000006</v>
      </c>
      <c r="G110" s="6">
        <f t="shared" ref="G110:G141" si="24" xml:space="preserve"> - LN(F$1/F110 - 1)</f>
        <v>-1.5444604809065881</v>
      </c>
      <c r="H110" s="6"/>
      <c r="I110" s="23">
        <f t="shared" ref="I110:I141" ca="1" si="25" xml:space="preserve"> (G110*(F$2-E$2)/LN(81) + AVERAGE(E$2:F$2) - D110)*12</f>
        <v>221.15483921540817</v>
      </c>
      <c r="J110" s="6"/>
      <c r="K110" s="6">
        <f t="shared" ref="K110:K141" si="26">NORMSINV(F110/F$5)</f>
        <v>-0.92982799178472963</v>
      </c>
      <c r="M110" s="30">
        <f t="shared" ref="M110:M128" si="27">NORMSINV(F110/F$6)</f>
        <v>0.65883724201935878</v>
      </c>
      <c r="N110" s="6">
        <f t="shared" ref="N110:N128" ca="1" si="28">(M110*(F$7-E$7)/(NORMSINV(0.9)-NORMSINV(0.1))-(D110-AVERAGE(E$7:F$7)))*12</f>
        <v>1.8788240547939097</v>
      </c>
      <c r="O110" s="6">
        <f t="shared" ca="1" si="23"/>
        <v>0.77954080879982313</v>
      </c>
      <c r="P110" s="6">
        <f t="shared" ref="P110:P128" si="29" xml:space="preserve"> - LN(F$10/F110 - 1)</f>
        <v>1.2475772052337109</v>
      </c>
      <c r="Q110" s="6"/>
    </row>
    <row r="111" spans="4:17" x14ac:dyDescent="0.15">
      <c r="D111" s="16">
        <v>1955</v>
      </c>
      <c r="E111" s="19">
        <v>13.443</v>
      </c>
      <c r="F111" s="23">
        <f t="shared" si="16"/>
        <v>0.79501350000000004</v>
      </c>
      <c r="G111" s="6">
        <f t="shared" si="24"/>
        <v>-1.5237290469967697</v>
      </c>
      <c r="H111" s="6"/>
      <c r="I111" s="23">
        <f t="shared" ca="1" si="25"/>
        <v>212.98165779783358</v>
      </c>
      <c r="J111" s="6"/>
      <c r="K111" s="6">
        <f t="shared" si="26"/>
        <v>-0.91818416058512287</v>
      </c>
      <c r="M111" s="30">
        <f t="shared" si="27"/>
        <v>0.69928759408407215</v>
      </c>
      <c r="N111" s="6">
        <f t="shared" ca="1" si="28"/>
        <v>2.5175146451061323</v>
      </c>
      <c r="O111" s="6">
        <f t="shared" ca="1" si="23"/>
        <v>0.79236531727889081</v>
      </c>
      <c r="P111" s="6">
        <f t="shared" si="29"/>
        <v>1.3263878110506204</v>
      </c>
      <c r="Q111" s="6"/>
    </row>
    <row r="112" spans="4:17" x14ac:dyDescent="0.15">
      <c r="D112" s="16">
        <v>1956</v>
      </c>
      <c r="E112" s="18">
        <v>13.532</v>
      </c>
      <c r="F112" s="23">
        <f t="shared" si="16"/>
        <v>0.80854550000000003</v>
      </c>
      <c r="G112" s="6">
        <f t="shared" si="24"/>
        <v>-1.5031354338868592</v>
      </c>
      <c r="H112" s="6"/>
      <c r="I112" s="23">
        <f t="shared" ca="1" si="25"/>
        <v>204.78303601755215</v>
      </c>
      <c r="J112" s="6"/>
      <c r="K112" s="6">
        <f t="shared" si="26"/>
        <v>-0.90658763231875428</v>
      </c>
      <c r="M112" s="30">
        <f t="shared" si="27"/>
        <v>0.74119588797153524</v>
      </c>
      <c r="N112" s="6">
        <f t="shared" ca="1" si="28"/>
        <v>3.6117383681567077</v>
      </c>
      <c r="O112" s="6">
        <f t="shared" ca="1" si="23"/>
        <v>0.80485388686844528</v>
      </c>
      <c r="P112" s="6">
        <f t="shared" si="29"/>
        <v>1.4095395039761935</v>
      </c>
      <c r="Q112" s="6"/>
    </row>
    <row r="113" spans="4:17" x14ac:dyDescent="0.15">
      <c r="D113" s="16">
        <v>1957</v>
      </c>
      <c r="E113" s="18">
        <v>11.965999999999999</v>
      </c>
      <c r="F113" s="23">
        <f t="shared" si="16"/>
        <v>0.82051150000000006</v>
      </c>
      <c r="G113" s="6">
        <f t="shared" si="24"/>
        <v>-1.4851471738889923</v>
      </c>
      <c r="H113" s="6"/>
      <c r="I113" s="23">
        <f t="shared" ca="1" si="25"/>
        <v>196.10349170454447</v>
      </c>
      <c r="J113" s="6"/>
      <c r="K113" s="6">
        <f t="shared" si="26"/>
        <v>-0.89643376718335688</v>
      </c>
      <c r="M113" s="30">
        <f t="shared" si="27"/>
        <v>0.77936882256048301</v>
      </c>
      <c r="N113" s="6">
        <f t="shared" ca="1" si="28"/>
        <v>3.5388511018628179</v>
      </c>
      <c r="O113" s="6">
        <f t="shared" ca="1" si="23"/>
        <v>0.81699739437485985</v>
      </c>
      <c r="P113" s="6">
        <f t="shared" si="29"/>
        <v>1.4867335594223066</v>
      </c>
      <c r="Q113" s="6"/>
    </row>
    <row r="114" spans="4:17" x14ac:dyDescent="0.15">
      <c r="D114" s="16">
        <v>1958</v>
      </c>
      <c r="E114" s="18">
        <v>10.602</v>
      </c>
      <c r="F114" s="23">
        <f t="shared" si="16"/>
        <v>0.83111350000000006</v>
      </c>
      <c r="G114" s="6">
        <f t="shared" si="24"/>
        <v>-1.4693781891319506</v>
      </c>
      <c r="H114" s="6"/>
      <c r="I114" s="23">
        <f t="shared" ca="1" si="25"/>
        <v>187.01429103259397</v>
      </c>
      <c r="J114" s="6"/>
      <c r="K114" s="6">
        <f t="shared" si="26"/>
        <v>-0.88751394879861012</v>
      </c>
      <c r="M114" s="30">
        <f t="shared" si="27"/>
        <v>0.81416462963012448</v>
      </c>
      <c r="N114" s="6">
        <f t="shared" ca="1" si="28"/>
        <v>2.4107821715809905</v>
      </c>
      <c r="O114" s="6">
        <f t="shared" ca="1" si="23"/>
        <v>0.82878797171275032</v>
      </c>
      <c r="P114" s="6">
        <f t="shared" si="29"/>
        <v>1.5584154816092797</v>
      </c>
      <c r="Q114" s="6"/>
    </row>
    <row r="115" spans="4:17" x14ac:dyDescent="0.15">
      <c r="D115" s="16">
        <v>1959</v>
      </c>
      <c r="E115" s="18">
        <v>9.641</v>
      </c>
      <c r="F115" s="23">
        <f t="shared" si="16"/>
        <v>0.84075450000000007</v>
      </c>
      <c r="G115" s="6">
        <f t="shared" si="24"/>
        <v>-1.4551724687941661</v>
      </c>
      <c r="H115" s="6"/>
      <c r="I115" s="23">
        <f t="shared" ca="1" si="25"/>
        <v>177.63652714042382</v>
      </c>
      <c r="J115" s="6"/>
      <c r="K115" s="6">
        <f t="shared" si="26"/>
        <v>-0.87946352152897223</v>
      </c>
      <c r="M115" s="30">
        <f t="shared" si="27"/>
        <v>0.84668472734311295</v>
      </c>
      <c r="N115" s="6">
        <f t="shared" ca="1" si="28"/>
        <v>0.57166908558453144</v>
      </c>
      <c r="O115" s="6">
        <f t="shared" ca="1" si="23"/>
        <v>0.84021900462708743</v>
      </c>
      <c r="P115" s="6">
        <f t="shared" si="29"/>
        <v>1.6266412955467799</v>
      </c>
      <c r="Q115" s="6"/>
    </row>
    <row r="116" spans="4:17" x14ac:dyDescent="0.15">
      <c r="D116" s="16">
        <v>1960</v>
      </c>
      <c r="E116" s="18">
        <v>9.9890000000000008</v>
      </c>
      <c r="F116" s="23">
        <f t="shared" si="16"/>
        <v>0.8507435000000001</v>
      </c>
      <c r="G116" s="6">
        <f t="shared" si="24"/>
        <v>-1.4405850977591288</v>
      </c>
      <c r="H116" s="6"/>
      <c r="I116" s="23">
        <f t="shared" ca="1" si="25"/>
        <v>168.32921220931257</v>
      </c>
      <c r="J116" s="6"/>
      <c r="K116" s="6">
        <f t="shared" si="26"/>
        <v>-0.87118218997878993</v>
      </c>
      <c r="M116" s="30">
        <f t="shared" si="27"/>
        <v>0.88135137202177605</v>
      </c>
      <c r="N116" s="6">
        <f t="shared" ca="1" si="28"/>
        <v>-0.59675656379013731</v>
      </c>
      <c r="O116" s="6">
        <f t="shared" ca="1" si="23"/>
        <v>0.8512851241715782</v>
      </c>
      <c r="P116" s="6">
        <f t="shared" si="29"/>
        <v>1.7007913754913684</v>
      </c>
      <c r="Q116" s="6"/>
    </row>
    <row r="117" spans="4:17" x14ac:dyDescent="0.15">
      <c r="D117" s="16">
        <v>1961</v>
      </c>
      <c r="E117" s="18">
        <v>9.4329999999999998</v>
      </c>
      <c r="F117" s="23">
        <f t="shared" si="16"/>
        <v>0.86017650000000012</v>
      </c>
      <c r="G117" s="6">
        <f t="shared" si="24"/>
        <v>-1.4269292112320202</v>
      </c>
      <c r="H117" s="6"/>
      <c r="I117" s="23">
        <f t="shared" ca="1" si="25"/>
        <v>158.8499544092374</v>
      </c>
      <c r="J117" s="6"/>
      <c r="K117" s="6">
        <f t="shared" si="26"/>
        <v>-0.86341628999638076</v>
      </c>
      <c r="M117" s="30">
        <f t="shared" si="27"/>
        <v>0.91508990862649975</v>
      </c>
      <c r="N117" s="6">
        <f t="shared" ca="1" si="28"/>
        <v>-2.055169078102864</v>
      </c>
      <c r="O117" s="6">
        <f t="shared" ca="1" si="23"/>
        <v>0.86198219122071007</v>
      </c>
      <c r="P117" s="6">
        <f t="shared" si="29"/>
        <v>1.7744843358322606</v>
      </c>
      <c r="Q117" s="6"/>
    </row>
    <row r="118" spans="4:17" x14ac:dyDescent="0.15">
      <c r="D118" s="16">
        <v>1962</v>
      </c>
      <c r="E118" s="18">
        <v>9.33</v>
      </c>
      <c r="F118" s="23">
        <f t="shared" si="16"/>
        <v>0.86950650000000007</v>
      </c>
      <c r="G118" s="6">
        <f t="shared" si="24"/>
        <v>-1.4135339333104291</v>
      </c>
      <c r="H118" s="6"/>
      <c r="I118" s="23">
        <f t="shared" ca="1" si="25"/>
        <v>149.32259082648125</v>
      </c>
      <c r="J118" s="6"/>
      <c r="K118" s="6">
        <f t="shared" si="26"/>
        <v>-0.85578607282369801</v>
      </c>
      <c r="M118" s="30">
        <f t="shared" si="27"/>
        <v>0.94951734105429708</v>
      </c>
      <c r="N118" s="6">
        <f t="shared" ca="1" si="28"/>
        <v>-3.2983364656771244</v>
      </c>
      <c r="O118" s="6">
        <f t="shared" ca="1" si="23"/>
        <v>0.87230727434501076</v>
      </c>
      <c r="P118" s="6">
        <f t="shared" si="29"/>
        <v>1.8513750207489581</v>
      </c>
      <c r="Q118" s="6"/>
    </row>
    <row r="119" spans="4:17" x14ac:dyDescent="0.15">
      <c r="D119" s="16">
        <v>1963</v>
      </c>
      <c r="E119" s="18">
        <v>9.5939999999999994</v>
      </c>
      <c r="F119" s="23">
        <f t="shared" si="16"/>
        <v>0.87910050000000006</v>
      </c>
      <c r="G119" s="6">
        <f t="shared" si="24"/>
        <v>-1.3998725716139817</v>
      </c>
      <c r="H119" s="6"/>
      <c r="I119" s="23">
        <f t="shared" ca="1" si="25"/>
        <v>139.84434368876009</v>
      </c>
      <c r="J119" s="6"/>
      <c r="K119" s="6">
        <f t="shared" si="26"/>
        <v>-0.84799156437127876</v>
      </c>
      <c r="M119" s="30">
        <f t="shared" si="27"/>
        <v>0.98613394807750776</v>
      </c>
      <c r="N119" s="6">
        <f t="shared" ca="1" si="28"/>
        <v>-3.8574974368094104</v>
      </c>
      <c r="O119" s="6">
        <f t="shared" ca="1" si="23"/>
        <v>0.882258621426254</v>
      </c>
      <c r="P119" s="6">
        <f t="shared" si="29"/>
        <v>1.9352093002364856</v>
      </c>
      <c r="Q119" s="6"/>
    </row>
    <row r="120" spans="4:17" x14ac:dyDescent="0.15">
      <c r="D120" s="16">
        <v>1964</v>
      </c>
      <c r="E120" s="18">
        <v>10.269</v>
      </c>
      <c r="F120" s="23">
        <f t="shared" si="16"/>
        <v>0.88936950000000004</v>
      </c>
      <c r="G120" s="6">
        <f t="shared" si="24"/>
        <v>-1.3853739247440844</v>
      </c>
      <c r="H120" s="6"/>
      <c r="I120" s="23">
        <f t="shared" ca="1" si="25"/>
        <v>130.52065115032383</v>
      </c>
      <c r="J120" s="6"/>
      <c r="K120" s="6">
        <f t="shared" si="26"/>
        <v>-0.83970534231583061</v>
      </c>
      <c r="M120" s="30">
        <f t="shared" si="27"/>
        <v>1.0268515208975173</v>
      </c>
      <c r="N120" s="6">
        <f t="shared" ca="1" si="28"/>
        <v>-3.1353138662607307</v>
      </c>
      <c r="O120" s="6">
        <f t="shared" ca="1" si="23"/>
        <v>0.89183562543117578</v>
      </c>
      <c r="P120" s="6">
        <f t="shared" si="29"/>
        <v>2.0311815512067697</v>
      </c>
      <c r="Q120" s="6"/>
    </row>
    <row r="121" spans="4:17" x14ac:dyDescent="0.15">
      <c r="D121" s="16">
        <v>1965</v>
      </c>
      <c r="E121" s="18">
        <v>10.513</v>
      </c>
      <c r="F121" s="23">
        <f t="shared" si="16"/>
        <v>0.89988250000000003</v>
      </c>
      <c r="G121" s="6">
        <f t="shared" si="24"/>
        <v>-1.3706602222297848</v>
      </c>
      <c r="H121" s="6"/>
      <c r="I121" s="23">
        <f t="shared" ca="1" si="25"/>
        <v>121.2366557664518</v>
      </c>
      <c r="J121" s="6"/>
      <c r="K121" s="6">
        <f t="shared" si="26"/>
        <v>-0.83128153680312833</v>
      </c>
      <c r="M121" s="30">
        <f t="shared" si="27"/>
        <v>1.070380179041152</v>
      </c>
      <c r="N121" s="6">
        <f t="shared" ca="1" si="28"/>
        <v>-1.5348082091347521</v>
      </c>
      <c r="O121" s="6">
        <f t="shared" ca="1" si="23"/>
        <v>0.90103878479841693</v>
      </c>
      <c r="P121" s="6">
        <f t="shared" si="29"/>
        <v>2.1373650749289821</v>
      </c>
      <c r="Q121" s="6"/>
    </row>
    <row r="122" spans="4:17" x14ac:dyDescent="0.15">
      <c r="D122" s="16">
        <v>1966</v>
      </c>
      <c r="E122" s="18">
        <v>10.334</v>
      </c>
      <c r="F122" s="23">
        <f t="shared" si="16"/>
        <v>0.91021649999999998</v>
      </c>
      <c r="G122" s="6">
        <f t="shared" si="24"/>
        <v>-1.356321510275222</v>
      </c>
      <c r="H122" s="6"/>
      <c r="I122" s="23">
        <f t="shared" ca="1" si="25"/>
        <v>111.88344081732976</v>
      </c>
      <c r="J122" s="6"/>
      <c r="K122" s="6">
        <f t="shared" si="26"/>
        <v>-0.82305825887969952</v>
      </c>
      <c r="M122" s="30">
        <f t="shared" si="27"/>
        <v>1.1152406786348266</v>
      </c>
      <c r="N122" s="6">
        <f t="shared" ca="1" si="28"/>
        <v>0.48183058758610287</v>
      </c>
      <c r="O122" s="6">
        <f t="shared" ca="1" si="23"/>
        <v>0.90986965892369986</v>
      </c>
      <c r="P122" s="6">
        <f t="shared" si="29"/>
        <v>2.2512019072828569</v>
      </c>
      <c r="Q122" s="6"/>
    </row>
    <row r="123" spans="4:17" x14ac:dyDescent="0.15">
      <c r="D123" s="16">
        <v>1967</v>
      </c>
      <c r="E123" s="18">
        <v>10.108000000000001</v>
      </c>
      <c r="F123" s="23">
        <f t="shared" si="16"/>
        <v>0.92032449999999999</v>
      </c>
      <c r="G123" s="6">
        <f t="shared" si="24"/>
        <v>-1.3424128339254224</v>
      </c>
      <c r="H123" s="6"/>
      <c r="I123" s="23">
        <f t="shared" ca="1" si="25"/>
        <v>102.45084552960816</v>
      </c>
      <c r="J123" s="6"/>
      <c r="K123" s="6">
        <f t="shared" si="26"/>
        <v>-0.81506831319042228</v>
      </c>
      <c r="M123" s="30">
        <f t="shared" si="27"/>
        <v>1.161405016186881</v>
      </c>
      <c r="N123" s="6">
        <f t="shared" ca="1" si="28"/>
        <v>2.9058528481024553</v>
      </c>
      <c r="O123" s="6">
        <f t="shared" ca="1" si="23"/>
        <v>0.91833081925249249</v>
      </c>
      <c r="P123" s="6">
        <f t="shared" si="29"/>
        <v>2.373723263130008</v>
      </c>
      <c r="Q123" s="6"/>
    </row>
    <row r="124" spans="4:17" x14ac:dyDescent="0.15">
      <c r="D124" s="16">
        <v>1968</v>
      </c>
      <c r="E124" s="18">
        <v>9.9689999999999994</v>
      </c>
      <c r="F124" s="23">
        <f t="shared" si="16"/>
        <v>0.9302935</v>
      </c>
      <c r="G124" s="6">
        <f t="shared" si="24"/>
        <v>-1.3288055310818707</v>
      </c>
      <c r="H124" s="6"/>
      <c r="I124" s="23">
        <f t="shared" ca="1" si="25"/>
        <v>92.962619659894699</v>
      </c>
      <c r="J124" s="6"/>
      <c r="K124" s="6">
        <f t="shared" si="26"/>
        <v>-0.80723888252476883</v>
      </c>
      <c r="M124" s="30">
        <f t="shared" si="27"/>
        <v>1.209496503583362</v>
      </c>
      <c r="N124" s="6">
        <f t="shared" ca="1" si="28"/>
        <v>5.9320120335559778</v>
      </c>
      <c r="O124" s="6">
        <f t="shared" ca="1" si="23"/>
        <v>0.92642579650760004</v>
      </c>
      <c r="P124" s="6">
        <f t="shared" si="29"/>
        <v>2.5081425284018461</v>
      </c>
      <c r="Q124" s="6"/>
    </row>
    <row r="125" spans="4:17" x14ac:dyDescent="0.15">
      <c r="D125" s="16">
        <v>1969</v>
      </c>
      <c r="E125" s="18">
        <v>9.6809999999999992</v>
      </c>
      <c r="F125" s="23">
        <f t="shared" si="16"/>
        <v>0.93997450000000005</v>
      </c>
      <c r="G125" s="6">
        <f t="shared" si="24"/>
        <v>-1.3156935642687857</v>
      </c>
      <c r="H125" s="6"/>
      <c r="I125" s="23">
        <f t="shared" ca="1" si="25"/>
        <v>83.382959635930092</v>
      </c>
      <c r="J125" s="6"/>
      <c r="K125" s="6">
        <f t="shared" si="26"/>
        <v>-0.79968271412465175</v>
      </c>
      <c r="M125" s="30">
        <f t="shared" si="27"/>
        <v>1.2590393328083989</v>
      </c>
      <c r="N125" s="6">
        <f t="shared" ca="1" si="28"/>
        <v>9.4116421871373461</v>
      </c>
      <c r="O125" s="6">
        <f t="shared" ca="1" si="23"/>
        <v>0.9341590245912561</v>
      </c>
      <c r="P125" s="6">
        <f t="shared" si="29"/>
        <v>2.6552457884674543</v>
      </c>
      <c r="Q125" s="6"/>
    </row>
    <row r="126" spans="4:17" x14ac:dyDescent="0.15">
      <c r="D126" s="16">
        <v>1970</v>
      </c>
      <c r="E126" s="18">
        <v>15.063000000000001</v>
      </c>
      <c r="F126" s="23">
        <f t="shared" si="16"/>
        <v>0.95503750000000009</v>
      </c>
      <c r="G126" s="6">
        <f t="shared" si="24"/>
        <v>-1.2954871441832811</v>
      </c>
      <c r="H126" s="6"/>
      <c r="I126" s="23">
        <f t="shared" ca="1" si="25"/>
        <v>75.112865835561934</v>
      </c>
      <c r="J126" s="6"/>
      <c r="K126" s="6">
        <f t="shared" si="26"/>
        <v>-0.78801570238608798</v>
      </c>
      <c r="M126" s="30">
        <f t="shared" si="27"/>
        <v>1.342914199821434</v>
      </c>
      <c r="N126" s="6">
        <f t="shared" ca="1" si="28"/>
        <v>23.618298949615252</v>
      </c>
      <c r="O126" s="6"/>
      <c r="P126" s="6">
        <f t="shared" si="29"/>
        <v>2.9299274007459855</v>
      </c>
      <c r="Q126" s="6"/>
    </row>
    <row r="127" spans="4:17" x14ac:dyDescent="0.15">
      <c r="D127" s="16">
        <v>1971</v>
      </c>
      <c r="E127" s="18">
        <v>16.722000000000001</v>
      </c>
      <c r="F127" s="23">
        <f t="shared" si="16"/>
        <v>0.97175950000000011</v>
      </c>
      <c r="G127" s="6">
        <f t="shared" si="24"/>
        <v>-1.2733244664995491</v>
      </c>
      <c r="H127" s="6"/>
      <c r="I127" s="23">
        <f t="shared" ca="1" si="25"/>
        <v>67.203877926930545</v>
      </c>
      <c r="J127" s="6"/>
      <c r="K127" s="6">
        <f t="shared" si="26"/>
        <v>-0.77518806260243855</v>
      </c>
      <c r="M127" s="30">
        <f t="shared" si="27"/>
        <v>1.4487026367758034</v>
      </c>
      <c r="N127" s="6">
        <f t="shared" ca="1" si="28"/>
        <v>44.6718387694917</v>
      </c>
      <c r="O127" s="6"/>
      <c r="P127" s="6">
        <f t="shared" si="29"/>
        <v>3.3446082074885775</v>
      </c>
      <c r="Q127" s="6"/>
    </row>
    <row r="128" spans="4:17" x14ac:dyDescent="0.15">
      <c r="D128" s="16">
        <v>1972</v>
      </c>
      <c r="E128" s="18">
        <v>18.788</v>
      </c>
      <c r="F128" s="23">
        <f t="shared" si="16"/>
        <v>0.99054750000000014</v>
      </c>
      <c r="G128" s="6">
        <f t="shared" si="24"/>
        <v>-1.2487487176073331</v>
      </c>
      <c r="H128" s="6"/>
      <c r="I128" s="23">
        <f t="shared" ca="1" si="25"/>
        <v>59.740319204792286</v>
      </c>
      <c r="J128" s="6"/>
      <c r="K128" s="6">
        <f t="shared" si="26"/>
        <v>-0.76092602606349768</v>
      </c>
      <c r="M128" s="30">
        <f t="shared" si="27"/>
        <v>1.5910297928355146</v>
      </c>
      <c r="N128" s="6">
        <f t="shared" ca="1" si="28"/>
        <v>77.14188158049032</v>
      </c>
      <c r="O128" s="6"/>
      <c r="P128" s="6">
        <f t="shared" si="29"/>
        <v>4.1580711560882273</v>
      </c>
      <c r="Q128" s="6"/>
    </row>
    <row r="129" spans="4:17" x14ac:dyDescent="0.15">
      <c r="D129" s="16">
        <v>1973</v>
      </c>
      <c r="E129" s="18">
        <v>16.617999999999999</v>
      </c>
      <c r="F129" s="23">
        <f t="shared" si="16"/>
        <v>1.0071655000000002</v>
      </c>
      <c r="G129" s="6">
        <f t="shared" si="24"/>
        <v>-1.2272871026437959</v>
      </c>
      <c r="H129" s="6"/>
      <c r="I129" s="23">
        <f t="shared" ca="1" si="25"/>
        <v>51.701922020525672</v>
      </c>
      <c r="J129" s="6"/>
      <c r="K129" s="6">
        <f t="shared" si="26"/>
        <v>-0.74843905638362662</v>
      </c>
      <c r="M129" s="30"/>
      <c r="N129" s="6"/>
      <c r="O129" s="6"/>
      <c r="P129" s="6"/>
      <c r="Q129" s="6"/>
    </row>
    <row r="130" spans="4:17" x14ac:dyDescent="0.15">
      <c r="D130" s="16">
        <v>1974</v>
      </c>
      <c r="E130" s="18">
        <v>17.783999999999999</v>
      </c>
      <c r="F130" s="23">
        <f t="shared" si="16"/>
        <v>1.0249495000000002</v>
      </c>
      <c r="G130" s="6">
        <f t="shared" si="24"/>
        <v>-1.2045951021081738</v>
      </c>
      <c r="H130" s="6"/>
      <c r="I130" s="23">
        <f t="shared" ca="1" si="25"/>
        <v>43.8906418987508</v>
      </c>
      <c r="J130" s="6"/>
      <c r="K130" s="6">
        <f t="shared" si="26"/>
        <v>-0.7352039141679203</v>
      </c>
      <c r="M130" s="30"/>
      <c r="N130" s="6"/>
      <c r="O130" s="6"/>
      <c r="P130" s="6"/>
      <c r="Q130" s="6"/>
    </row>
    <row r="131" spans="4:17" x14ac:dyDescent="0.15">
      <c r="D131" s="16">
        <v>1975</v>
      </c>
      <c r="E131" s="18">
        <v>25.257999999999999</v>
      </c>
      <c r="F131" s="23">
        <f t="shared" si="16"/>
        <v>1.0502075000000002</v>
      </c>
      <c r="G131" s="6">
        <f t="shared" si="24"/>
        <v>-1.1728349020321844</v>
      </c>
      <c r="H131" s="6"/>
      <c r="I131" s="23">
        <f t="shared" ca="1" si="25"/>
        <v>37.75326212854543</v>
      </c>
      <c r="J131" s="6"/>
      <c r="K131" s="6">
        <f t="shared" si="26"/>
        <v>-0.71662459558538072</v>
      </c>
      <c r="M131" s="30"/>
      <c r="N131" s="6"/>
      <c r="O131" s="6"/>
      <c r="P131" s="6"/>
      <c r="Q131" s="6"/>
    </row>
    <row r="132" spans="4:17" x14ac:dyDescent="0.15">
      <c r="D132" s="16">
        <v>1976</v>
      </c>
      <c r="E132" s="18">
        <v>25.475000000000001</v>
      </c>
      <c r="F132" s="23">
        <f t="shared" si="16"/>
        <v>1.0756825000000001</v>
      </c>
      <c r="G132" s="6">
        <f t="shared" si="24"/>
        <v>-1.1413317075817477</v>
      </c>
      <c r="H132" s="6"/>
      <c r="I132" s="23">
        <f t="shared" ca="1" si="25"/>
        <v>31.568441650287241</v>
      </c>
      <c r="J132" s="6"/>
      <c r="K132" s="6">
        <f t="shared" si="26"/>
        <v>-0.6981329208709236</v>
      </c>
      <c r="M132" s="30"/>
      <c r="N132" s="6"/>
      <c r="O132" s="6"/>
      <c r="P132" s="6"/>
      <c r="Q132" s="6"/>
    </row>
    <row r="133" spans="4:17" x14ac:dyDescent="0.15">
      <c r="D133" s="16">
        <v>1977</v>
      </c>
      <c r="E133" s="18">
        <v>28.52</v>
      </c>
      <c r="F133" s="23">
        <f t="shared" si="16"/>
        <v>1.1042025000000002</v>
      </c>
      <c r="G133" s="6">
        <f t="shared" si="24"/>
        <v>-1.1066594326697272</v>
      </c>
      <c r="H133" s="6"/>
      <c r="I133" s="23">
        <f t="shared" ca="1" si="25"/>
        <v>25.968602223139897</v>
      </c>
      <c r="J133" s="6"/>
      <c r="K133" s="6">
        <f t="shared" si="26"/>
        <v>-0.67771003163889854</v>
      </c>
      <c r="M133" s="30"/>
      <c r="N133" s="6"/>
      <c r="O133" s="6"/>
      <c r="P133" s="6"/>
      <c r="Q133" s="6"/>
    </row>
    <row r="134" spans="4:17" x14ac:dyDescent="0.15">
      <c r="D134" s="16">
        <v>1978</v>
      </c>
      <c r="E134" s="18">
        <v>30.484000000000002</v>
      </c>
      <c r="F134" s="23">
        <f t="shared" si="16"/>
        <v>1.1346865000000002</v>
      </c>
      <c r="G134" s="6">
        <f t="shared" si="24"/>
        <v>-1.0702558024215716</v>
      </c>
      <c r="H134" s="6"/>
      <c r="I134" s="23">
        <f t="shared" ca="1" si="25"/>
        <v>20.688353944482515</v>
      </c>
      <c r="J134" s="6"/>
      <c r="K134" s="6">
        <f t="shared" si="26"/>
        <v>-0.65618864978602787</v>
      </c>
      <c r="M134" s="30"/>
      <c r="N134" s="6"/>
      <c r="O134" s="6"/>
      <c r="P134" s="6"/>
      <c r="Q134" s="6"/>
    </row>
    <row r="135" spans="4:17" x14ac:dyDescent="0.15">
      <c r="D135" s="16">
        <v>1979</v>
      </c>
      <c r="E135" s="18">
        <v>33.197000000000003</v>
      </c>
      <c r="F135" s="23">
        <f t="shared" si="16"/>
        <v>1.1678835000000001</v>
      </c>
      <c r="G135" s="6">
        <f t="shared" si="24"/>
        <v>-1.0313357256097089</v>
      </c>
      <c r="H135" s="6"/>
      <c r="I135" s="23">
        <f t="shared" ca="1" si="25"/>
        <v>15.872616925083094</v>
      </c>
      <c r="J135" s="6"/>
      <c r="K135" s="6">
        <f t="shared" si="26"/>
        <v>-0.63309225074319309</v>
      </c>
      <c r="M135" s="30"/>
      <c r="N135" s="6"/>
      <c r="O135" s="6"/>
      <c r="P135" s="6"/>
      <c r="Q135" s="6"/>
    </row>
    <row r="136" spans="4:17" x14ac:dyDescent="0.15">
      <c r="D136" s="16">
        <v>1980</v>
      </c>
      <c r="E136" s="18">
        <v>36.686999999999998</v>
      </c>
      <c r="F136" s="23">
        <f t="shared" si="16"/>
        <v>1.2045705</v>
      </c>
      <c r="G136" s="6">
        <f t="shared" si="24"/>
        <v>-0.98914282621649874</v>
      </c>
      <c r="H136" s="6"/>
      <c r="I136" s="23">
        <f t="shared" ca="1" si="25"/>
        <v>11.661010730682392</v>
      </c>
      <c r="J136" s="6"/>
      <c r="K136" s="6">
        <f t="shared" si="26"/>
        <v>-0.60795409779808762</v>
      </c>
      <c r="M136" s="30"/>
      <c r="N136" s="6"/>
      <c r="O136" s="6"/>
      <c r="P136" s="6"/>
      <c r="Q136" s="6"/>
    </row>
    <row r="137" spans="4:17" x14ac:dyDescent="0.15">
      <c r="D137" s="16">
        <v>1981</v>
      </c>
      <c r="E137" s="18">
        <v>40.1</v>
      </c>
      <c r="F137" s="23">
        <f t="shared" si="16"/>
        <v>1.2446705</v>
      </c>
      <c r="G137" s="6">
        <f t="shared" si="24"/>
        <v>-0.94393743812253061</v>
      </c>
      <c r="H137" s="6"/>
      <c r="I137" s="23">
        <f t="shared" ca="1" si="25"/>
        <v>8.0054802901095172</v>
      </c>
      <c r="J137" s="6"/>
      <c r="K137" s="6">
        <f t="shared" si="26"/>
        <v>-0.5809093145111115</v>
      </c>
      <c r="M137" s="30"/>
      <c r="N137" s="6"/>
      <c r="O137" s="6"/>
      <c r="P137" s="6"/>
      <c r="Q137" s="6"/>
    </row>
    <row r="138" spans="4:17" x14ac:dyDescent="0.15">
      <c r="D138" s="16">
        <v>1982</v>
      </c>
      <c r="E138" s="18">
        <v>42.8</v>
      </c>
      <c r="F138" s="23">
        <f t="shared" si="16"/>
        <v>1.2874705</v>
      </c>
      <c r="G138" s="6">
        <f t="shared" si="24"/>
        <v>-0.89665893842633304</v>
      </c>
      <c r="H138" s="6"/>
      <c r="I138" s="23">
        <f t="shared" ca="1" si="25"/>
        <v>4.7326258398898062</v>
      </c>
      <c r="J138" s="6"/>
      <c r="K138" s="6">
        <f t="shared" si="26"/>
        <v>-0.55250438188595519</v>
      </c>
      <c r="M138" s="30"/>
      <c r="N138" s="6"/>
      <c r="O138" s="6"/>
      <c r="P138" s="6"/>
      <c r="Q138" s="6"/>
    </row>
    <row r="139" spans="4:17" x14ac:dyDescent="0.15">
      <c r="D139" s="16">
        <v>1983</v>
      </c>
      <c r="E139" s="18">
        <v>44.78</v>
      </c>
      <c r="F139" s="23">
        <f t="shared" si="16"/>
        <v>1.3322505</v>
      </c>
      <c r="G139" s="6">
        <f t="shared" si="24"/>
        <v>-0.84817876546099213</v>
      </c>
      <c r="H139" s="6"/>
      <c r="I139" s="23">
        <f t="shared" ca="1" si="25"/>
        <v>1.681588443734654</v>
      </c>
      <c r="J139" s="23">
        <f t="shared" ref="J139:J170" ca="1" si="30">F$1/(1+EXP((AVERAGE(E$2:F$2)-D139)*LN(81)/(F$2-E$2)))</f>
        <v>1.3237681620825508</v>
      </c>
      <c r="K139" s="6">
        <f t="shared" si="26"/>
        <v>-0.52325472868179579</v>
      </c>
      <c r="M139" s="30"/>
      <c r="N139" s="6"/>
      <c r="O139" s="6"/>
      <c r="P139" s="6"/>
      <c r="Q139" s="6"/>
    </row>
    <row r="140" spans="4:17" x14ac:dyDescent="0.15">
      <c r="D140" s="16">
        <v>1984</v>
      </c>
      <c r="E140" s="18">
        <v>57.4</v>
      </c>
      <c r="F140" s="23">
        <f t="shared" si="16"/>
        <v>1.3896504999999999</v>
      </c>
      <c r="G140" s="6">
        <f t="shared" si="24"/>
        <v>-0.78737506875333574</v>
      </c>
      <c r="H140" s="6"/>
      <c r="I140" s="23">
        <f t="shared" ca="1" si="25"/>
        <v>0.90535219559205871</v>
      </c>
      <c r="J140" s="23">
        <f t="shared" ca="1" si="30"/>
        <v>1.3849705544734408</v>
      </c>
      <c r="K140" s="6">
        <f t="shared" si="26"/>
        <v>-0.48640177330096512</v>
      </c>
      <c r="M140" s="30"/>
      <c r="N140" s="6"/>
      <c r="O140" s="6"/>
      <c r="P140" s="6"/>
      <c r="Q140" s="6"/>
    </row>
    <row r="141" spans="4:17" x14ac:dyDescent="0.15">
      <c r="D141" s="16">
        <v>1985</v>
      </c>
      <c r="E141" s="18">
        <v>60.74</v>
      </c>
      <c r="F141" s="23">
        <f t="shared" si="16"/>
        <v>1.4503904999999999</v>
      </c>
      <c r="G141" s="6">
        <f t="shared" si="24"/>
        <v>-0.7245048980746136</v>
      </c>
      <c r="H141" s="6"/>
      <c r="I141" s="23">
        <f t="shared" ca="1" si="25"/>
        <v>0.51056669644367503</v>
      </c>
      <c r="J141" s="23">
        <f t="shared" ca="1" si="30"/>
        <v>1.4476895217287333</v>
      </c>
      <c r="K141" s="6">
        <f t="shared" si="26"/>
        <v>-0.44810989624555336</v>
      </c>
      <c r="M141" s="30"/>
      <c r="N141" s="6"/>
      <c r="O141" s="6"/>
      <c r="P141" s="6"/>
      <c r="Q141" s="6"/>
    </row>
    <row r="142" spans="4:17" x14ac:dyDescent="0.15">
      <c r="D142" s="16">
        <v>1986</v>
      </c>
      <c r="E142" s="18">
        <v>57.81</v>
      </c>
      <c r="F142" s="23">
        <f t="shared" ref="F142:F165" si="31">F141+E142/1000</f>
        <v>1.5082004999999998</v>
      </c>
      <c r="G142" s="6">
        <f t="shared" ref="G142:G165" si="32" xml:space="preserve"> - LN(F$1/F142 - 1)</f>
        <v>-0.66591767977583816</v>
      </c>
      <c r="H142" s="6"/>
      <c r="I142" s="23">
        <f t="shared" ref="I142:I165" ca="1" si="33" xml:space="preserve"> (G142*(F$2-E$2)/LN(81) + AVERAGE(E$2:F$2) - D142)*12</f>
        <v>-0.67480964299920743</v>
      </c>
      <c r="J142" s="23">
        <f t="shared" ca="1" si="30"/>
        <v>1.5118448271740066</v>
      </c>
      <c r="K142" s="6">
        <f t="shared" ref="K142:K165" si="34">NORMSINV(F142/F$5)</f>
        <v>-0.41226648018193718</v>
      </c>
      <c r="M142" s="30"/>
      <c r="N142" s="6"/>
      <c r="O142" s="6"/>
      <c r="P142" s="6"/>
      <c r="Q142" s="6"/>
    </row>
    <row r="143" spans="4:17" x14ac:dyDescent="0.15">
      <c r="D143" s="16">
        <v>1987</v>
      </c>
      <c r="E143" s="18">
        <v>61.21</v>
      </c>
      <c r="F143" s="23">
        <f t="shared" si="31"/>
        <v>1.5694104999999998</v>
      </c>
      <c r="G143" s="6">
        <f t="shared" si="32"/>
        <v>-0.60506180407405774</v>
      </c>
      <c r="H143" s="6"/>
      <c r="I143" s="23">
        <f t="shared" ca="1" si="33"/>
        <v>-1.4414141625684351</v>
      </c>
      <c r="J143" s="23">
        <f t="shared" ca="1" si="30"/>
        <v>1.5773463208058993</v>
      </c>
      <c r="K143" s="6">
        <f t="shared" si="34"/>
        <v>-0.37488281495236486</v>
      </c>
      <c r="M143" s="30"/>
      <c r="N143" s="6"/>
      <c r="O143" s="6"/>
      <c r="P143" s="6"/>
      <c r="Q143" s="6"/>
    </row>
    <row r="144" spans="4:17" x14ac:dyDescent="0.15">
      <c r="D144" s="16">
        <v>1988</v>
      </c>
      <c r="E144" s="18">
        <v>70.650000000000006</v>
      </c>
      <c r="F144" s="23">
        <f t="shared" si="31"/>
        <v>1.6400604999999999</v>
      </c>
      <c r="G144" s="6">
        <f t="shared" si="32"/>
        <v>-0.53614052544180191</v>
      </c>
      <c r="H144" s="6"/>
      <c r="I144" s="23">
        <f t="shared" ca="1" si="33"/>
        <v>-0.71922471142897848</v>
      </c>
      <c r="J144" s="23">
        <f t="shared" ca="1" si="30"/>
        <v>1.6440942338401761</v>
      </c>
      <c r="K144" s="6">
        <f t="shared" si="34"/>
        <v>-0.33237220202163431</v>
      </c>
      <c r="M144" s="30"/>
      <c r="N144" s="6"/>
      <c r="O144" s="6"/>
      <c r="P144" s="6"/>
      <c r="Q144" s="6"/>
    </row>
    <row r="145" spans="4:17" x14ac:dyDescent="0.15">
      <c r="D145" s="16">
        <v>1989</v>
      </c>
      <c r="E145" s="18">
        <v>70.510000000000005</v>
      </c>
      <c r="F145" s="23">
        <f t="shared" si="31"/>
        <v>1.7105705</v>
      </c>
      <c r="G145" s="6">
        <f t="shared" si="32"/>
        <v>-0.46857445713162499</v>
      </c>
      <c r="H145" s="6"/>
      <c r="I145" s="23">
        <f t="shared" ca="1" si="33"/>
        <v>-0.24719374262895144</v>
      </c>
      <c r="J145" s="23">
        <f t="shared" ca="1" si="30"/>
        <v>1.711979608951693</v>
      </c>
      <c r="K145" s="6">
        <f t="shared" si="34"/>
        <v>-0.29053667566835989</v>
      </c>
      <c r="M145" s="30"/>
      <c r="N145" s="6"/>
      <c r="O145" s="6"/>
      <c r="P145" s="6"/>
      <c r="Q145" s="6"/>
    </row>
    <row r="146" spans="4:17" x14ac:dyDescent="0.15">
      <c r="D146" s="16">
        <v>1990</v>
      </c>
      <c r="E146" s="18">
        <v>68.36</v>
      </c>
      <c r="F146" s="23">
        <f t="shared" si="31"/>
        <v>1.7789305</v>
      </c>
      <c r="G146" s="6">
        <f t="shared" si="32"/>
        <v>-0.40405815207228324</v>
      </c>
      <c r="H146" s="137"/>
      <c r="I146" s="23">
        <f t="shared" ca="1" si="33"/>
        <v>-0.33811904260801384</v>
      </c>
      <c r="J146" s="23">
        <f t="shared" ca="1" si="30"/>
        <v>1.7808848663714665</v>
      </c>
      <c r="K146" s="6">
        <f t="shared" si="34"/>
        <v>-0.2504574640263067</v>
      </c>
      <c r="M146" s="30"/>
      <c r="N146" s="6"/>
      <c r="O146" s="6"/>
      <c r="P146" s="6"/>
      <c r="Q146" s="6"/>
    </row>
    <row r="147" spans="4:17" x14ac:dyDescent="0.15">
      <c r="D147" s="16">
        <v>1991</v>
      </c>
      <c r="E147" s="18">
        <v>71.134199999999993</v>
      </c>
      <c r="F147" s="23">
        <f t="shared" si="31"/>
        <v>1.8500646999999999</v>
      </c>
      <c r="G147" s="6">
        <f t="shared" si="32"/>
        <v>-0.33779151068938895</v>
      </c>
      <c r="H147" s="137">
        <v>15.753551362568988</v>
      </c>
      <c r="I147" s="23">
        <f t="shared" ca="1" si="33"/>
        <v>-0.10594949070309667</v>
      </c>
      <c r="J147" s="23">
        <f t="shared" ca="1" si="30"/>
        <v>1.8506845027965171</v>
      </c>
      <c r="K147" s="6">
        <f t="shared" si="34"/>
        <v>-0.20917380844391634</v>
      </c>
      <c r="M147" s="30"/>
      <c r="N147" s="6"/>
      <c r="O147" s="6"/>
      <c r="P147" s="6"/>
      <c r="Q147" s="6"/>
    </row>
    <row r="148" spans="4:17" x14ac:dyDescent="0.15">
      <c r="D148" s="16">
        <v>1992</v>
      </c>
      <c r="E148" s="18">
        <v>65.613399999999999</v>
      </c>
      <c r="F148" s="23">
        <f t="shared" si="31"/>
        <v>1.9156780999999998</v>
      </c>
      <c r="G148" s="6">
        <f t="shared" si="32"/>
        <v>-0.27731586466656188</v>
      </c>
      <c r="H148" s="137">
        <v>7.0431574202169429</v>
      </c>
      <c r="I148" s="23">
        <f t="shared" ca="1" si="33"/>
        <v>-0.94274066534671874</v>
      </c>
      <c r="J148" s="23">
        <f t="shared" ca="1" si="30"/>
        <v>1.9212459167384253</v>
      </c>
      <c r="K148" s="6">
        <f t="shared" si="34"/>
        <v>-0.17140943231955061</v>
      </c>
      <c r="M148" s="30"/>
      <c r="N148" s="6"/>
      <c r="O148" s="6"/>
      <c r="P148" s="6"/>
      <c r="Q148" s="6"/>
    </row>
    <row r="149" spans="4:17" x14ac:dyDescent="0.15">
      <c r="D149" s="16">
        <v>1993</v>
      </c>
      <c r="E149" s="18">
        <v>69.029399999999995</v>
      </c>
      <c r="F149" s="23">
        <f t="shared" si="31"/>
        <v>1.9847074999999998</v>
      </c>
      <c r="G149" s="6">
        <f t="shared" si="32"/>
        <v>-0.21422915685732291</v>
      </c>
      <c r="H149" s="137">
        <v>5.4788350407039319</v>
      </c>
      <c r="I149" s="23">
        <f t="shared" ca="1" si="33"/>
        <v>-1.2975555421817262</v>
      </c>
      <c r="J149" s="23">
        <f t="shared" ca="1" si="30"/>
        <v>1.9924303506059493</v>
      </c>
      <c r="K149" s="6">
        <f t="shared" si="34"/>
        <v>-0.1319401738506607</v>
      </c>
      <c r="M149" s="30"/>
      <c r="N149" s="6"/>
      <c r="O149" s="6"/>
      <c r="P149" s="6"/>
      <c r="Q149" s="6"/>
    </row>
    <row r="150" spans="4:17" x14ac:dyDescent="0.15">
      <c r="D150" s="16">
        <v>1994</v>
      </c>
      <c r="E150" s="18">
        <v>72.823300000000003</v>
      </c>
      <c r="F150" s="23">
        <f t="shared" si="31"/>
        <v>2.0575307999999999</v>
      </c>
      <c r="G150" s="6">
        <f t="shared" si="32"/>
        <v>-0.1481300467529848</v>
      </c>
      <c r="H150" s="137">
        <v>5.1220313131625383</v>
      </c>
      <c r="I150" s="23">
        <f t="shared" ca="1" si="33"/>
        <v>-1.0963106148183215</v>
      </c>
      <c r="J150" s="23">
        <f t="shared" ca="1" si="30"/>
        <v>2.0640939366136251</v>
      </c>
      <c r="K150" s="6">
        <f t="shared" si="34"/>
        <v>-9.0522143601195981E-2</v>
      </c>
      <c r="M150" s="30"/>
      <c r="N150" s="6"/>
      <c r="O150" s="6"/>
      <c r="P150" s="6"/>
      <c r="Q150" s="6"/>
    </row>
    <row r="151" spans="4:17" x14ac:dyDescent="0.15">
      <c r="D151" s="16">
        <v>1995</v>
      </c>
      <c r="E151" s="18">
        <v>74.980199999999996</v>
      </c>
      <c r="F151" s="23">
        <f t="shared" si="31"/>
        <v>2.132511</v>
      </c>
      <c r="G151" s="6">
        <f t="shared" si="32"/>
        <v>-8.0407681726235122E-2</v>
      </c>
      <c r="H151" s="137">
        <v>5.1128680800162023</v>
      </c>
      <c r="I151" s="23">
        <f t="shared" ca="1" si="33"/>
        <v>-0.59542881100514933</v>
      </c>
      <c r="J151" s="23">
        <f t="shared" ca="1" si="30"/>
        <v>2.1360888306621679</v>
      </c>
      <c r="K151" s="6">
        <f t="shared" si="34"/>
        <v>-4.8038363459178397E-2</v>
      </c>
      <c r="M151" s="30"/>
      <c r="N151" s="6"/>
      <c r="O151" s="6"/>
      <c r="P151" s="6"/>
      <c r="Q151" s="6"/>
    </row>
    <row r="152" spans="4:17" x14ac:dyDescent="0.15">
      <c r="D152" s="16">
        <v>1996</v>
      </c>
      <c r="E152" s="18">
        <v>75.853300000000004</v>
      </c>
      <c r="F152" s="23">
        <f t="shared" si="31"/>
        <v>2.2083642999999999</v>
      </c>
      <c r="G152" s="6">
        <f t="shared" si="32"/>
        <v>-1.2083200368594052E-2</v>
      </c>
      <c r="H152" s="137">
        <v>5.1928981037722091</v>
      </c>
      <c r="I152" s="23">
        <f t="shared" ca="1" si="33"/>
        <v>1.6597739182543592E-2</v>
      </c>
      <c r="J152" s="23">
        <f t="shared" ca="1" si="30"/>
        <v>2.2082644157726214</v>
      </c>
      <c r="K152" s="6">
        <f t="shared" si="34"/>
        <v>-5.1476658247048314E-3</v>
      </c>
      <c r="M152" s="30"/>
      <c r="N152" s="6"/>
      <c r="O152" s="6"/>
      <c r="P152" s="6"/>
      <c r="Q152" s="6"/>
    </row>
    <row r="153" spans="4:17" x14ac:dyDescent="0.15">
      <c r="D153" s="16">
        <v>1997</v>
      </c>
      <c r="E153" s="18">
        <v>78.673400000000001</v>
      </c>
      <c r="F153" s="23">
        <f t="shared" si="31"/>
        <v>2.2870377</v>
      </c>
      <c r="G153" s="6">
        <f t="shared" si="32"/>
        <v>5.8753763264950104E-2</v>
      </c>
      <c r="H153" s="137">
        <v>5.3646663492711806</v>
      </c>
      <c r="I153" s="23">
        <f t="shared" ca="1" si="33"/>
        <v>1.0924037801296436</v>
      </c>
      <c r="J153" s="23">
        <f t="shared" ca="1" si="30"/>
        <v>2.2804685545870806</v>
      </c>
      <c r="K153" s="6">
        <f t="shared" si="34"/>
        <v>3.9328662882991146E-2</v>
      </c>
      <c r="M153" s="30"/>
      <c r="N153" s="6"/>
      <c r="O153" s="6"/>
      <c r="P153" s="6"/>
      <c r="Q153" s="6"/>
    </row>
    <row r="154" spans="4:17" x14ac:dyDescent="0.15">
      <c r="D154" s="16">
        <v>1998</v>
      </c>
      <c r="E154" s="18">
        <v>75.138000000000005</v>
      </c>
      <c r="F154" s="23">
        <f t="shared" si="31"/>
        <v>2.3621756999999999</v>
      </c>
      <c r="G154" s="6">
        <f t="shared" si="32"/>
        <v>0.12654289772237493</v>
      </c>
      <c r="H154" s="137">
        <v>5.4005967461807165</v>
      </c>
      <c r="I154" s="23">
        <f t="shared" ca="1" si="33"/>
        <v>1.6056105634470441</v>
      </c>
      <c r="J154" s="23">
        <f t="shared" ca="1" si="30"/>
        <v>2.3525488689675145</v>
      </c>
      <c r="K154" s="6">
        <f t="shared" si="34"/>
        <v>8.1877882769498075E-2</v>
      </c>
      <c r="M154" s="30"/>
      <c r="N154" s="6"/>
      <c r="O154" s="6"/>
      <c r="P154" s="6"/>
      <c r="Q154" s="6"/>
    </row>
    <row r="155" spans="4:17" x14ac:dyDescent="0.15">
      <c r="D155" s="16">
        <v>1999</v>
      </c>
      <c r="E155" s="18">
        <v>72.479300000000009</v>
      </c>
      <c r="F155" s="23">
        <f t="shared" si="31"/>
        <v>2.4346549999999998</v>
      </c>
      <c r="G155" s="6">
        <f t="shared" si="32"/>
        <v>0.19220801037283994</v>
      </c>
      <c r="H155" s="137">
        <v>5.3044553123098925</v>
      </c>
      <c r="I155" s="23">
        <f t="shared" ca="1" si="33"/>
        <v>1.7267438338740249</v>
      </c>
      <c r="J155" s="23">
        <f t="shared" ca="1" si="30"/>
        <v>2.4243540238986752</v>
      </c>
      <c r="K155" s="6">
        <f t="shared" si="34"/>
        <v>0.12306166411585465</v>
      </c>
      <c r="M155" s="30"/>
      <c r="N155" s="6"/>
      <c r="O155" s="6"/>
      <c r="P155" s="6"/>
      <c r="Q155" s="6"/>
    </row>
    <row r="156" spans="4:17" x14ac:dyDescent="0.15">
      <c r="D156" s="16">
        <v>2000</v>
      </c>
      <c r="E156" s="18">
        <v>69.163100000000014</v>
      </c>
      <c r="F156" s="23">
        <f t="shared" si="31"/>
        <v>2.5038180999999997</v>
      </c>
      <c r="G156" s="6">
        <f t="shared" si="32"/>
        <v>0.25525437032733739</v>
      </c>
      <c r="H156" s="137">
        <v>5.1191164884277978</v>
      </c>
      <c r="I156" s="23">
        <f t="shared" ca="1" si="33"/>
        <v>1.3644811403082713</v>
      </c>
      <c r="J156" s="23">
        <f t="shared" ca="1" si="30"/>
        <v>2.4957349927694379</v>
      </c>
      <c r="K156" s="6">
        <f t="shared" si="34"/>
        <v>0.16255578717826499</v>
      </c>
      <c r="M156" s="30"/>
      <c r="N156" s="6"/>
      <c r="O156" s="6"/>
      <c r="P156" s="6"/>
      <c r="Q156" s="6"/>
    </row>
    <row r="157" spans="4:17" x14ac:dyDescent="0.15">
      <c r="D157" s="16">
        <v>2001</v>
      </c>
      <c r="E157" s="18">
        <v>70.355500000000006</v>
      </c>
      <c r="F157" s="23">
        <f t="shared" si="31"/>
        <v>2.5741735999999995</v>
      </c>
      <c r="G157" s="6">
        <f t="shared" si="32"/>
        <v>0.31991050559967421</v>
      </c>
      <c r="H157" s="137">
        <v>4.9582216128302736</v>
      </c>
      <c r="I157" s="23">
        <f t="shared" ca="1" si="33"/>
        <v>1.2993671209087552</v>
      </c>
      <c r="J157" s="23">
        <f t="shared" ca="1" si="30"/>
        <v>2.5665462816753997</v>
      </c>
      <c r="K157" s="6">
        <f t="shared" si="34"/>
        <v>0.20299312780228121</v>
      </c>
      <c r="M157" s="30"/>
      <c r="N157" s="6"/>
      <c r="O157" s="6"/>
      <c r="P157" s="6"/>
      <c r="Q157" s="6"/>
    </row>
    <row r="158" spans="4:17" x14ac:dyDescent="0.15">
      <c r="D158" s="16">
        <v>2002</v>
      </c>
      <c r="E158" s="18">
        <v>66.607699999999994</v>
      </c>
      <c r="F158" s="23">
        <f t="shared" si="31"/>
        <v>2.6407812999999996</v>
      </c>
      <c r="G158" s="6">
        <f t="shared" si="32"/>
        <v>0.38173753919488213</v>
      </c>
      <c r="H158" s="137">
        <v>4.7965201983127335</v>
      </c>
      <c r="I158" s="23">
        <f t="shared" ca="1" si="33"/>
        <v>0.71202878665098979</v>
      </c>
      <c r="J158" s="23">
        <f t="shared" ca="1" si="30"/>
        <v>2.6366470916277169</v>
      </c>
      <c r="K158" s="6">
        <f t="shared" si="34"/>
        <v>0.2415837310441783</v>
      </c>
      <c r="M158" s="30"/>
      <c r="N158" s="6"/>
      <c r="O158" s="6"/>
      <c r="P158" s="6"/>
      <c r="Q158" s="6"/>
    </row>
    <row r="159" spans="4:17" x14ac:dyDescent="0.15">
      <c r="D159" s="16">
        <v>2003</v>
      </c>
      <c r="E159" s="18">
        <v>62.125800000000005</v>
      </c>
      <c r="F159" s="23">
        <f t="shared" si="31"/>
        <v>2.7029070999999996</v>
      </c>
      <c r="G159" s="6">
        <f t="shared" si="32"/>
        <v>0.44005925187691503</v>
      </c>
      <c r="H159" s="137">
        <v>4.6294970710939642</v>
      </c>
      <c r="I159" s="23">
        <f t="shared" ca="1" si="33"/>
        <v>-0.5223572755285204</v>
      </c>
      <c r="J159" s="23">
        <f t="shared" ca="1" si="30"/>
        <v>2.7059023994117815</v>
      </c>
      <c r="K159" s="6">
        <f t="shared" si="34"/>
        <v>0.2779037686301663</v>
      </c>
      <c r="M159" s="30"/>
      <c r="N159" s="6"/>
      <c r="O159" s="6"/>
      <c r="P159" s="6"/>
      <c r="Q159" s="6"/>
    </row>
    <row r="160" spans="4:17" x14ac:dyDescent="0.15">
      <c r="D160" s="16">
        <v>2004</v>
      </c>
      <c r="E160" s="18">
        <v>65.99730000000001</v>
      </c>
      <c r="F160" s="23">
        <f t="shared" si="31"/>
        <v>2.7689043999999994</v>
      </c>
      <c r="G160" s="6">
        <f t="shared" si="32"/>
        <v>0.50283548345153894</v>
      </c>
      <c r="H160" s="137">
        <v>4.5167674667150628</v>
      </c>
      <c r="I160" s="23">
        <f t="shared" ca="1" si="33"/>
        <v>-0.93448300839190779</v>
      </c>
      <c r="J160" s="23">
        <f t="shared" ca="1" si="30"/>
        <v>2.7741839402302322</v>
      </c>
      <c r="K160" s="6">
        <f t="shared" si="34"/>
        <v>0.31689427639346995</v>
      </c>
      <c r="M160" s="30"/>
      <c r="N160" s="6"/>
      <c r="O160" s="6"/>
      <c r="P160" s="6"/>
      <c r="Q160" s="6"/>
    </row>
    <row r="161" spans="4:17" x14ac:dyDescent="0.15">
      <c r="D161" s="16">
        <v>2005</v>
      </c>
      <c r="E161" s="18">
        <v>65.345100000000002</v>
      </c>
      <c r="F161" s="23">
        <f t="shared" si="31"/>
        <v>2.8342494999999994</v>
      </c>
      <c r="G161" s="6">
        <f t="shared" si="32"/>
        <v>0.56596229288652389</v>
      </c>
      <c r="H161" s="137">
        <v>4.4432048638506378</v>
      </c>
      <c r="I161" s="23">
        <f t="shared" ca="1" si="33"/>
        <v>-1.2818955199445554</v>
      </c>
      <c r="J161" s="23">
        <f t="shared" ca="1" si="30"/>
        <v>2.8413710780818411</v>
      </c>
      <c r="K161" s="6">
        <f t="shared" si="34"/>
        <v>0.35598000657201806</v>
      </c>
      <c r="M161" s="30"/>
      <c r="N161" s="6"/>
      <c r="O161" s="6"/>
      <c r="P161" s="6"/>
      <c r="Q161" s="6"/>
    </row>
    <row r="162" spans="4:17" x14ac:dyDescent="0.15">
      <c r="D162" s="16">
        <v>2006</v>
      </c>
      <c r="E162" s="18">
        <v>66.003600000000006</v>
      </c>
      <c r="F162" s="23">
        <f t="shared" si="31"/>
        <v>2.9002530999999996</v>
      </c>
      <c r="G162" s="6">
        <f t="shared" si="32"/>
        <v>0.63086111366273778</v>
      </c>
      <c r="H162" s="137">
        <v>4.4043726754201451</v>
      </c>
      <c r="I162" s="23">
        <f t="shared" ca="1" si="33"/>
        <v>-1.3022121847579911</v>
      </c>
      <c r="J162" s="23">
        <f t="shared" ca="1" si="30"/>
        <v>2.9073515529500291</v>
      </c>
      <c r="K162" s="6">
        <f t="shared" si="34"/>
        <v>0.39601997643309195</v>
      </c>
      <c r="M162" s="30"/>
      <c r="N162" s="6"/>
      <c r="O162" s="6"/>
      <c r="P162" s="6"/>
      <c r="Q162" s="6"/>
    </row>
    <row r="163" spans="4:17" x14ac:dyDescent="0.15">
      <c r="D163" s="16">
        <v>2007</v>
      </c>
      <c r="E163" s="18">
        <v>69.364999999999995</v>
      </c>
      <c r="F163" s="23">
        <f t="shared" si="31"/>
        <v>2.9696180999999995</v>
      </c>
      <c r="G163" s="6">
        <f t="shared" si="32"/>
        <v>0.70048309430295241</v>
      </c>
      <c r="H163" s="137">
        <v>4.406062610988938</v>
      </c>
      <c r="I163" s="23">
        <f t="shared" ca="1" si="33"/>
        <v>-0.45068004191489308</v>
      </c>
      <c r="J163" s="23">
        <f t="shared" ca="1" si="30"/>
        <v>2.9720220971729603</v>
      </c>
      <c r="K163" s="6">
        <f t="shared" si="34"/>
        <v>0.43879625484171336</v>
      </c>
      <c r="M163" s="30"/>
      <c r="N163" s="6"/>
      <c r="O163" s="6"/>
      <c r="P163" s="6"/>
      <c r="Q163" s="6"/>
    </row>
    <row r="164" spans="4:17" x14ac:dyDescent="0.15">
      <c r="D164" s="16">
        <v>2008</v>
      </c>
      <c r="E164" s="18">
        <v>67.749399999999994</v>
      </c>
      <c r="F164" s="23">
        <f t="shared" si="31"/>
        <v>3.0373674999999993</v>
      </c>
      <c r="G164" s="6">
        <f t="shared" si="32"/>
        <v>0.77009512472963748</v>
      </c>
      <c r="H164" s="137">
        <v>4.4268343145542799</v>
      </c>
      <c r="I164" s="23">
        <f t="shared" ca="1" si="33"/>
        <v>0.39901538948197413</v>
      </c>
      <c r="J164" s="23">
        <f t="shared" ca="1" si="30"/>
        <v>3.0352889167118291</v>
      </c>
      <c r="K164" s="6">
        <f t="shared" si="34"/>
        <v>0.48136566547573129</v>
      </c>
      <c r="M164" s="30"/>
      <c r="N164" s="6"/>
      <c r="O164" s="6"/>
      <c r="P164" s="6"/>
      <c r="Q164" s="6"/>
    </row>
    <row r="165" spans="4:17" x14ac:dyDescent="0.15">
      <c r="D165" s="16">
        <v>2009</v>
      </c>
      <c r="E165" s="18">
        <v>62.935000000000002</v>
      </c>
      <c r="F165" s="23">
        <f t="shared" si="31"/>
        <v>3.1003024999999993</v>
      </c>
      <c r="G165" s="6">
        <f t="shared" si="32"/>
        <v>0.83639120335792028</v>
      </c>
      <c r="H165" s="6">
        <v>4.4435745743336579</v>
      </c>
      <c r="I165" s="23">
        <f t="shared" ca="1" si="33"/>
        <v>0.63661876705373288</v>
      </c>
      <c r="J165" s="23">
        <f t="shared" ca="1" si="30"/>
        <v>3.0970680363016627</v>
      </c>
      <c r="K165" s="6">
        <f t="shared" si="34"/>
        <v>0.52170575675774433</v>
      </c>
      <c r="M165" s="30"/>
      <c r="N165" s="6"/>
      <c r="O165" s="6"/>
      <c r="P165" s="6"/>
      <c r="Q165" s="6"/>
    </row>
    <row r="166" spans="4:17" x14ac:dyDescent="0.15">
      <c r="D166" s="16">
        <v>2010</v>
      </c>
      <c r="E166" s="18"/>
      <c r="F166" s="23"/>
      <c r="G166" s="6"/>
      <c r="H166" s="30"/>
      <c r="I166" s="23"/>
      <c r="J166" s="23">
        <f t="shared" ca="1" si="30"/>
        <v>3.1572855105487392</v>
      </c>
      <c r="K166" s="6"/>
      <c r="M166" s="30"/>
      <c r="N166" s="6"/>
      <c r="O166" s="23"/>
      <c r="P166" s="6"/>
      <c r="Q166" s="6"/>
    </row>
    <row r="167" spans="4:17" x14ac:dyDescent="0.15">
      <c r="D167" s="16">
        <v>2011</v>
      </c>
      <c r="E167" s="18"/>
      <c r="F167" s="23"/>
      <c r="G167" s="6"/>
      <c r="H167" s="30"/>
      <c r="I167" s="23"/>
      <c r="J167" s="23">
        <f t="shared" ca="1" si="30"/>
        <v>3.2158775058364704</v>
      </c>
      <c r="K167" s="6"/>
      <c r="M167" s="30"/>
      <c r="N167" s="6"/>
      <c r="O167" s="23"/>
      <c r="P167" s="6"/>
      <c r="Q167" s="6"/>
    </row>
    <row r="168" spans="4:17" x14ac:dyDescent="0.15">
      <c r="D168" s="16">
        <v>2012</v>
      </c>
      <c r="E168" s="18"/>
      <c r="F168" s="23"/>
      <c r="G168" s="6"/>
      <c r="H168" s="30"/>
      <c r="I168" s="23"/>
      <c r="J168" s="23">
        <f t="shared" ca="1" si="30"/>
        <v>3.2727902603435521</v>
      </c>
      <c r="K168" s="6"/>
      <c r="M168" s="30"/>
      <c r="N168" s="6"/>
      <c r="O168" s="23"/>
      <c r="P168" s="6"/>
      <c r="Q168" s="6"/>
    </row>
    <row r="169" spans="4:17" x14ac:dyDescent="0.15">
      <c r="D169" s="16">
        <v>2013</v>
      </c>
      <c r="E169" s="18"/>
      <c r="F169" s="23"/>
      <c r="G169" s="6"/>
      <c r="H169" s="30"/>
      <c r="I169" s="23"/>
      <c r="J169" s="23">
        <f t="shared" ca="1" si="30"/>
        <v>3.3279799315124534</v>
      </c>
      <c r="K169" s="6"/>
      <c r="M169" s="30"/>
      <c r="N169" s="6"/>
      <c r="O169" s="23"/>
      <c r="P169" s="23"/>
      <c r="Q169" s="6"/>
    </row>
    <row r="170" spans="4:17" x14ac:dyDescent="0.15">
      <c r="D170" s="16">
        <v>2014</v>
      </c>
      <c r="E170" s="18"/>
      <c r="F170" s="23"/>
      <c r="G170" s="6"/>
      <c r="H170" s="30"/>
      <c r="I170" s="23"/>
      <c r="J170" s="23">
        <f t="shared" ca="1" si="30"/>
        <v>3.3814123419033715</v>
      </c>
      <c r="K170" s="6"/>
      <c r="M170" s="30"/>
      <c r="N170" s="6"/>
      <c r="O170" s="23"/>
      <c r="P170" s="23"/>
      <c r="Q170" s="6"/>
    </row>
    <row r="171" spans="4:17" x14ac:dyDescent="0.15">
      <c r="D171" s="16">
        <v>2015</v>
      </c>
      <c r="E171" s="18"/>
      <c r="F171" s="23"/>
      <c r="G171" s="6"/>
      <c r="H171" s="30"/>
      <c r="I171" s="23"/>
      <c r="J171" s="23">
        <f t="shared" ref="J171:J202" ca="1" si="35">F$1/(1+EXP((AVERAGE(E$2:F$2)-D171)*LN(81)/(F$2-E$2)))</f>
        <v>3.4330626355199563</v>
      </c>
      <c r="K171" s="6"/>
      <c r="M171" s="30"/>
      <c r="N171" s="6"/>
      <c r="O171" s="23"/>
      <c r="P171" s="23"/>
      <c r="Q171" s="6"/>
    </row>
    <row r="172" spans="4:17" x14ac:dyDescent="0.15">
      <c r="D172" s="16">
        <v>2016</v>
      </c>
      <c r="E172" s="18"/>
      <c r="F172" s="23"/>
      <c r="G172" s="6"/>
      <c r="H172" s="30"/>
      <c r="I172" s="23"/>
      <c r="J172" s="23">
        <f t="shared" ca="1" si="35"/>
        <v>3.4829148574089821</v>
      </c>
      <c r="K172" s="6"/>
      <c r="M172" s="30"/>
      <c r="N172" s="6"/>
      <c r="O172" s="23"/>
      <c r="P172" s="23"/>
      <c r="Q172" s="6"/>
    </row>
    <row r="173" spans="4:17" x14ac:dyDescent="0.15">
      <c r="D173" s="16">
        <v>2017</v>
      </c>
      <c r="E173" s="18"/>
      <c r="F173" s="23"/>
      <c r="G173" s="6"/>
      <c r="H173" s="30"/>
      <c r="I173" s="23"/>
      <c r="J173" s="23">
        <f t="shared" ca="1" si="35"/>
        <v>3.5309614696430893</v>
      </c>
      <c r="K173" s="6"/>
      <c r="M173" s="30"/>
      <c r="N173" s="6"/>
      <c r="O173" s="23"/>
      <c r="P173" s="23"/>
      <c r="Q173" s="6"/>
    </row>
    <row r="174" spans="4:17" x14ac:dyDescent="0.15">
      <c r="D174" s="16">
        <v>2018</v>
      </c>
      <c r="E174" s="18"/>
      <c r="F174" s="23"/>
      <c r="G174" s="6"/>
      <c r="H174" s="30"/>
      <c r="I174" s="23"/>
      <c r="J174" s="23">
        <f t="shared" ca="1" si="35"/>
        <v>3.5772028167328505</v>
      </c>
      <c r="K174" s="6"/>
      <c r="M174" s="30"/>
      <c r="N174" s="6"/>
      <c r="O174" s="23"/>
      <c r="P174" s="23"/>
      <c r="Q174" s="6"/>
    </row>
    <row r="175" spans="4:17" x14ac:dyDescent="0.15">
      <c r="D175" s="16">
        <v>2019</v>
      </c>
      <c r="E175" s="18"/>
      <c r="F175" s="23"/>
      <c r="G175" s="6"/>
      <c r="H175" s="30"/>
      <c r="I175" s="23"/>
      <c r="J175" s="23">
        <f t="shared" ca="1" si="35"/>
        <v>3.6216465531298883</v>
      </c>
      <c r="K175" s="6"/>
      <c r="M175" s="30"/>
      <c r="N175" s="6"/>
      <c r="O175" s="23"/>
      <c r="P175" s="23"/>
      <c r="Q175" s="6"/>
    </row>
    <row r="176" spans="4:17" x14ac:dyDescent="0.15">
      <c r="D176" s="16">
        <v>2020</v>
      </c>
      <c r="E176" s="18"/>
      <c r="F176" s="23"/>
      <c r="G176" s="6"/>
      <c r="H176" s="30"/>
      <c r="I176" s="23"/>
      <c r="J176" s="23">
        <f t="shared" ca="1" si="35"/>
        <v>3.6643070448301471</v>
      </c>
      <c r="K176" s="6"/>
      <c r="M176" s="30"/>
      <c r="N176" s="6"/>
      <c r="O176" s="23"/>
      <c r="P176" s="23"/>
      <c r="Q176" s="6"/>
    </row>
    <row r="177" spans="4:17" x14ac:dyDescent="0.15">
      <c r="D177" s="16">
        <v>2021</v>
      </c>
      <c r="E177" s="18"/>
      <c r="F177" s="23"/>
      <c r="G177" s="6"/>
      <c r="H177" s="30"/>
      <c r="I177" s="23"/>
      <c r="J177" s="23">
        <f t="shared" ca="1" si="35"/>
        <v>3.7052047562216597</v>
      </c>
      <c r="K177" s="6"/>
      <c r="M177" s="30"/>
      <c r="N177" s="6"/>
      <c r="O177" s="23"/>
      <c r="P177" s="23"/>
      <c r="Q177" s="6"/>
    </row>
    <row r="178" spans="4:17" x14ac:dyDescent="0.15">
      <c r="D178" s="16">
        <v>2022</v>
      </c>
      <c r="E178" s="18"/>
      <c r="F178" s="23"/>
      <c r="G178" s="6"/>
      <c r="H178" s="30"/>
      <c r="I178" s="23"/>
      <c r="J178" s="23">
        <f t="shared" ca="1" si="35"/>
        <v>3.7443656322995973</v>
      </c>
      <c r="K178" s="6"/>
      <c r="M178" s="30"/>
      <c r="N178" s="6"/>
      <c r="O178" s="23"/>
      <c r="P178" s="23"/>
      <c r="Q178" s="6"/>
    </row>
    <row r="179" spans="4:17" x14ac:dyDescent="0.15">
      <c r="D179" s="16">
        <v>2023</v>
      </c>
      <c r="E179" s="18"/>
      <c r="F179" s="23"/>
      <c r="G179" s="6"/>
      <c r="H179" s="30"/>
      <c r="I179" s="23"/>
      <c r="J179" s="23">
        <f t="shared" ca="1" si="35"/>
        <v>3.7818204852454973</v>
      </c>
      <c r="K179" s="6"/>
      <c r="M179" s="30"/>
      <c r="N179" s="6"/>
      <c r="O179" s="23"/>
      <c r="P179" s="23"/>
      <c r="Q179" s="6"/>
    </row>
    <row r="180" spans="4:17" x14ac:dyDescent="0.15">
      <c r="D180" s="16">
        <v>2024</v>
      </c>
      <c r="E180" s="18"/>
      <c r="F180" s="23"/>
      <c r="G180" s="6"/>
      <c r="H180" s="128"/>
      <c r="I180" s="23"/>
      <c r="J180" s="23">
        <f t="shared" ca="1" si="35"/>
        <v>3.8176043931853352</v>
      </c>
      <c r="K180" s="6"/>
      <c r="M180" s="30"/>
      <c r="N180" s="6"/>
      <c r="O180" s="23"/>
      <c r="P180" s="23"/>
      <c r="Q180" s="6"/>
    </row>
    <row r="181" spans="4:17" x14ac:dyDescent="0.15">
      <c r="D181" s="16">
        <v>2025</v>
      </c>
      <c r="E181" s="18"/>
      <c r="F181" s="23"/>
      <c r="G181" s="6"/>
      <c r="H181" s="128"/>
      <c r="I181" s="23"/>
      <c r="J181" s="23">
        <f t="shared" ca="1" si="35"/>
        <v>3.8517561177445154</v>
      </c>
      <c r="K181" s="6"/>
      <c r="M181" s="30"/>
      <c r="N181" s="6"/>
      <c r="O181" s="23"/>
      <c r="P181" s="23"/>
      <c r="Q181" s="6"/>
    </row>
    <row r="182" spans="4:17" x14ac:dyDescent="0.15">
      <c r="D182" s="16">
        <v>2026</v>
      </c>
      <c r="E182" s="18"/>
      <c r="F182" s="23"/>
      <c r="G182" s="6"/>
      <c r="H182" s="128"/>
      <c r="I182" s="23"/>
      <c r="J182" s="23">
        <f t="shared" ca="1" si="35"/>
        <v>3.8843175458426473</v>
      </c>
      <c r="K182" s="6"/>
      <c r="M182" s="30"/>
      <c r="N182" s="6"/>
      <c r="O182" s="23"/>
      <c r="P182" s="23"/>
      <c r="Q182" s="6"/>
    </row>
    <row r="183" spans="4:17" x14ac:dyDescent="0.15">
      <c r="D183" s="16">
        <v>2027</v>
      </c>
      <c r="E183" s="18"/>
      <c r="F183" s="23"/>
      <c r="G183" s="6"/>
      <c r="H183" s="113"/>
      <c r="I183" s="23"/>
      <c r="J183" s="23">
        <f t="shared" ca="1" si="35"/>
        <v>3.9153331600458618</v>
      </c>
      <c r="K183" s="6"/>
      <c r="M183" s="30"/>
      <c r="N183" s="6"/>
      <c r="O183" s="23"/>
      <c r="P183" s="23"/>
      <c r="Q183" s="6"/>
    </row>
    <row r="184" spans="4:17" x14ac:dyDescent="0.15">
      <c r="D184" s="16">
        <v>2028</v>
      </c>
      <c r="E184" s="18"/>
      <c r="F184" s="23"/>
      <c r="G184" s="6"/>
      <c r="H184" s="113"/>
      <c r="I184" s="23"/>
      <c r="J184" s="23">
        <f t="shared" ca="1" si="35"/>
        <v>3.9448495407417532</v>
      </c>
      <c r="K184" s="6"/>
      <c r="M184" s="30"/>
      <c r="N184" s="6"/>
      <c r="O184" s="23"/>
      <c r="P184" s="23"/>
      <c r="Q184" s="6"/>
    </row>
    <row r="185" spans="4:17" x14ac:dyDescent="0.15">
      <c r="D185" s="16">
        <v>2029</v>
      </c>
      <c r="E185" s="18"/>
      <c r="F185" s="23"/>
      <c r="G185" s="6"/>
      <c r="H185" s="113"/>
      <c r="I185" s="23"/>
      <c r="J185" s="23">
        <f t="shared" ca="1" si="35"/>
        <v>3.9729149024376804</v>
      </c>
      <c r="K185" s="6"/>
      <c r="M185" s="30"/>
      <c r="N185" s="6"/>
      <c r="O185" s="23"/>
      <c r="P185" s="23"/>
      <c r="Q185" s="6"/>
    </row>
    <row r="186" spans="4:17" x14ac:dyDescent="0.15">
      <c r="D186" s="16">
        <v>2030</v>
      </c>
      <c r="E186" s="18"/>
      <c r="F186" s="23"/>
      <c r="G186" s="6"/>
      <c r="H186" s="113"/>
      <c r="I186" s="23"/>
      <c r="J186" s="23">
        <f t="shared" ca="1" si="35"/>
        <v>3.9995786656174817</v>
      </c>
      <c r="K186" s="6"/>
      <c r="M186" s="30"/>
      <c r="N186" s="6"/>
      <c r="O186" s="23"/>
      <c r="P186" s="23"/>
      <c r="Q186" s="6"/>
    </row>
    <row r="187" spans="4:17" x14ac:dyDescent="0.15">
      <c r="D187" s="16">
        <v>2031</v>
      </c>
      <c r="E187" s="18"/>
      <c r="F187" s="23"/>
      <c r="G187" s="6"/>
      <c r="H187" s="113"/>
      <c r="I187" s="23"/>
      <c r="J187" s="23">
        <f t="shared" ca="1" si="35"/>
        <v>4.0248910648300349</v>
      </c>
      <c r="K187" s="6"/>
      <c r="M187" s="30"/>
      <c r="N187" s="6"/>
      <c r="O187" s="23"/>
      <c r="P187" s="23"/>
      <c r="Q187" s="6"/>
    </row>
    <row r="188" spans="4:17" x14ac:dyDescent="0.15">
      <c r="D188" s="16">
        <v>2032</v>
      </c>
      <c r="E188" s="18"/>
      <c r="F188" s="23"/>
      <c r="G188" s="6"/>
      <c r="H188" s="113"/>
      <c r="I188" s="23"/>
      <c r="J188" s="23">
        <f t="shared" ca="1" si="35"/>
        <v>4.048902793026774</v>
      </c>
      <c r="K188" s="6"/>
      <c r="M188" s="30"/>
      <c r="N188" s="6"/>
      <c r="O188" s="23"/>
      <c r="P188" s="23"/>
      <c r="Q188" s="6"/>
    </row>
    <row r="189" spans="4:17" x14ac:dyDescent="0.15">
      <c r="D189" s="16">
        <v>2033</v>
      </c>
      <c r="E189" s="18"/>
      <c r="F189" s="23"/>
      <c r="G189" s="6"/>
      <c r="H189" s="111"/>
      <c r="I189" s="23"/>
      <c r="J189" s="23">
        <f t="shared" ca="1" si="35"/>
        <v>4.0716646816120088</v>
      </c>
      <c r="K189" s="6"/>
      <c r="M189" s="30"/>
      <c r="N189" s="6"/>
      <c r="O189" s="39"/>
      <c r="P189" s="39"/>
      <c r="Q189" s="6"/>
    </row>
    <row r="190" spans="4:17" x14ac:dyDescent="0.15">
      <c r="D190" s="16">
        <v>2034</v>
      </c>
      <c r="E190" s="18"/>
      <c r="F190" s="23"/>
      <c r="G190" s="6"/>
      <c r="H190" s="111"/>
      <c r="I190" s="23"/>
      <c r="J190" s="23">
        <f t="shared" ca="1" si="35"/>
        <v>4.0932274152151171</v>
      </c>
      <c r="K190" s="6"/>
      <c r="M190" s="30"/>
      <c r="N190" s="6"/>
      <c r="O190" s="23"/>
      <c r="P190" s="23"/>
      <c r="Q190" s="6"/>
    </row>
    <row r="191" spans="4:17" x14ac:dyDescent="0.15">
      <c r="D191" s="16">
        <v>2035</v>
      </c>
      <c r="E191" s="18"/>
      <c r="F191" s="23"/>
      <c r="G191" s="6"/>
      <c r="H191" s="111"/>
      <c r="I191" s="23"/>
      <c r="J191" s="23">
        <f t="shared" ca="1" si="35"/>
        <v>4.1136412798305493</v>
      </c>
      <c r="K191" s="6"/>
      <c r="M191" s="30"/>
      <c r="N191" s="6"/>
      <c r="O191" s="23"/>
      <c r="P191" s="23"/>
      <c r="Q191" s="6"/>
    </row>
    <row r="192" spans="4:17" x14ac:dyDescent="0.15">
      <c r="D192" s="16">
        <v>2036</v>
      </c>
      <c r="E192" s="18"/>
      <c r="F192" s="23"/>
      <c r="G192" s="6"/>
      <c r="H192" s="111"/>
      <c r="I192" s="23"/>
      <c r="J192" s="23">
        <f t="shared" ca="1" si="35"/>
        <v>4.1329559426922442</v>
      </c>
      <c r="K192" s="6"/>
      <c r="M192" s="30"/>
      <c r="N192" s="6"/>
      <c r="O192" s="23"/>
      <c r="P192" s="23"/>
      <c r="Q192" s="6"/>
    </row>
    <row r="193" spans="4:17" x14ac:dyDescent="0.15">
      <c r="D193" s="16">
        <v>2037</v>
      </c>
      <c r="E193" s="18"/>
      <c r="F193" s="23"/>
      <c r="G193" s="6"/>
      <c r="H193" s="111"/>
      <c r="I193" s="23"/>
      <c r="J193" s="23">
        <f t="shared" ca="1" si="35"/>
        <v>4.1512202620448013</v>
      </c>
      <c r="K193" s="6"/>
      <c r="M193" s="30"/>
      <c r="N193" s="6"/>
      <c r="O193" s="23"/>
      <c r="P193" s="23"/>
      <c r="Q193" s="6"/>
    </row>
    <row r="194" spans="4:17" x14ac:dyDescent="0.15">
      <c r="D194" s="16">
        <v>2038</v>
      </c>
      <c r="E194" s="18"/>
      <c r="F194" s="23"/>
      <c r="G194" s="6"/>
      <c r="H194" s="111"/>
      <c r="I194" s="23"/>
      <c r="J194" s="23">
        <f t="shared" ca="1" si="35"/>
        <v>4.1684821248354824</v>
      </c>
      <c r="K194" s="6"/>
      <c r="M194" s="30"/>
      <c r="N194" s="6"/>
      <c r="O194" s="23"/>
      <c r="P194" s="23"/>
      <c r="Q194" s="6"/>
    </row>
    <row r="195" spans="4:17" x14ac:dyDescent="0.15">
      <c r="D195" s="16">
        <v>2039</v>
      </c>
      <c r="E195" s="18"/>
      <c r="F195" s="23"/>
      <c r="G195" s="6"/>
      <c r="H195" s="111"/>
      <c r="I195" s="23"/>
      <c r="J195" s="23">
        <f t="shared" ca="1" si="35"/>
        <v>4.1847883102699273</v>
      </c>
      <c r="K195" s="6"/>
      <c r="M195" s="30"/>
      <c r="N195" s="6"/>
      <c r="O195" s="23"/>
      <c r="P195" s="23"/>
      <c r="Q195" s="6"/>
    </row>
    <row r="196" spans="4:17" x14ac:dyDescent="0.15">
      <c r="D196" s="16">
        <v>2040</v>
      </c>
      <c r="E196" s="18"/>
      <c r="F196" s="23"/>
      <c r="G196" s="6"/>
      <c r="H196" s="111"/>
      <c r="I196" s="23"/>
      <c r="J196" s="23">
        <f t="shared" ca="1" si="35"/>
        <v>4.2001843771415857</v>
      </c>
      <c r="K196" s="6"/>
      <c r="M196" s="30"/>
      <c r="N196" s="6"/>
      <c r="O196" s="23"/>
      <c r="P196" s="23"/>
      <c r="Q196" s="6"/>
    </row>
    <row r="197" spans="4:17" x14ac:dyDescent="0.15">
      <c r="D197" s="16">
        <v>2041</v>
      </c>
      <c r="E197" s="18"/>
      <c r="F197" s="23"/>
      <c r="G197" s="6"/>
      <c r="H197" s="111"/>
      <c r="I197" s="23"/>
      <c r="J197" s="23">
        <f t="shared" ca="1" si="35"/>
        <v>4.2147145728521984</v>
      </c>
      <c r="K197" s="6"/>
      <c r="M197" s="30"/>
      <c r="N197" s="6"/>
      <c r="O197" s="23"/>
      <c r="P197" s="23"/>
      <c r="Q197" s="6"/>
    </row>
    <row r="198" spans="4:17" x14ac:dyDescent="0.15">
      <c r="D198" s="16">
        <v>2042</v>
      </c>
      <c r="E198" s="18"/>
      <c r="F198" s="23"/>
      <c r="G198" s="6"/>
      <c r="H198" s="111"/>
      <c r="I198" s="23"/>
      <c r="J198" s="23">
        <f t="shared" ca="1" si="35"/>
        <v>4.2284217620805515</v>
      </c>
      <c r="K198" s="6"/>
      <c r="M198" s="30"/>
      <c r="N198" s="6"/>
      <c r="O198" s="23"/>
      <c r="P198" s="23"/>
      <c r="Q198" s="6"/>
    </row>
    <row r="199" spans="4:17" x14ac:dyDescent="0.15">
      <c r="D199" s="16">
        <v>2043</v>
      </c>
      <c r="E199" s="18"/>
      <c r="F199" s="23"/>
      <c r="G199" s="6"/>
      <c r="H199" s="111"/>
      <c r="I199" s="23"/>
      <c r="J199" s="23">
        <f t="shared" ca="1" si="35"/>
        <v>4.2413473731225082</v>
      </c>
      <c r="K199" s="6"/>
      <c r="M199" s="30"/>
      <c r="N199" s="6"/>
      <c r="O199" s="23"/>
      <c r="P199" s="23"/>
      <c r="Q199" s="6"/>
    </row>
    <row r="200" spans="4:17" x14ac:dyDescent="0.15">
      <c r="D200" s="16">
        <v>2044</v>
      </c>
      <c r="E200" s="18"/>
      <c r="F200" s="23"/>
      <c r="G200" s="6"/>
      <c r="H200" s="111"/>
      <c r="I200" s="23"/>
      <c r="J200" s="23">
        <f t="shared" ca="1" si="35"/>
        <v>4.2535313600107481</v>
      </c>
      <c r="K200" s="6"/>
      <c r="M200" s="30"/>
      <c r="N200" s="6"/>
      <c r="O200" s="23"/>
      <c r="P200" s="23"/>
      <c r="Q200" s="6"/>
    </row>
    <row r="201" spans="4:17" x14ac:dyDescent="0.15">
      <c r="D201" s="16">
        <v>2045</v>
      </c>
      <c r="E201" s="18"/>
      <c r="F201" s="23"/>
      <c r="G201" s="6"/>
      <c r="H201" s="111"/>
      <c r="I201" s="23"/>
      <c r="J201" s="23">
        <f t="shared" ca="1" si="35"/>
        <v>4.2650121786226229</v>
      </c>
      <c r="K201" s="6"/>
      <c r="M201" s="30"/>
      <c r="N201" s="6"/>
      <c r="O201" s="23"/>
      <c r="P201" s="23"/>
      <c r="Q201" s="6"/>
    </row>
    <row r="202" spans="4:17" x14ac:dyDescent="0.15">
      <c r="D202" s="16">
        <v>2046</v>
      </c>
      <c r="E202" s="18"/>
      <c r="F202" s="23"/>
      <c r="G202" s="6"/>
      <c r="H202" s="111"/>
      <c r="I202" s="23"/>
      <c r="J202" s="23">
        <f t="shared" ca="1" si="35"/>
        <v>4.2758267750942887</v>
      </c>
      <c r="K202" s="6"/>
      <c r="M202" s="30"/>
      <c r="N202" s="6"/>
      <c r="O202" s="23"/>
      <c r="P202" s="23"/>
      <c r="Q202" s="6"/>
    </row>
    <row r="203" spans="4:17" x14ac:dyDescent="0.15">
      <c r="D203" s="16">
        <v>2047</v>
      </c>
      <c r="E203" s="18"/>
      <c r="F203" s="23"/>
      <c r="G203" s="6"/>
      <c r="H203" s="111"/>
      <c r="I203" s="23"/>
      <c r="J203" s="23">
        <f t="shared" ref="J203:J234" ca="1" si="36">F$1/(1+EXP((AVERAGE(E$2:F$2)-D203)*LN(81)/(F$2-E$2)))</f>
        <v>4.2860105849751795</v>
      </c>
      <c r="K203" s="6"/>
      <c r="M203" s="30"/>
      <c r="N203" s="6"/>
      <c r="O203" s="23"/>
      <c r="P203" s="23"/>
      <c r="Q203" s="6"/>
    </row>
    <row r="204" spans="4:17" x14ac:dyDescent="0.15">
      <c r="D204" s="16">
        <v>2048</v>
      </c>
      <c r="E204" s="18"/>
      <c r="J204" s="23">
        <f t="shared" ca="1" si="36"/>
        <v>4.2955975416755434</v>
      </c>
      <c r="N204" s="23"/>
      <c r="O204" s="23"/>
      <c r="P204" s="23"/>
    </row>
    <row r="205" spans="4:17" x14ac:dyDescent="0.15">
      <c r="D205" s="16">
        <v>2049</v>
      </c>
      <c r="E205" s="18"/>
      <c r="J205" s="23">
        <f t="shared" ca="1" si="36"/>
        <v>4.304620092878654</v>
      </c>
      <c r="N205" s="23"/>
      <c r="O205" s="23"/>
      <c r="P205" s="23"/>
    </row>
    <row r="206" spans="4:17" x14ac:dyDescent="0.15">
      <c r="D206" s="16">
        <v>2050</v>
      </c>
      <c r="E206" s="18"/>
      <c r="J206" s="23">
        <f t="shared" ca="1" si="36"/>
        <v>4.3131092237063831</v>
      </c>
      <c r="N206" s="23"/>
      <c r="O206" s="23"/>
      <c r="P206" s="23"/>
    </row>
    <row r="207" spans="4:17" x14ac:dyDescent="0.15">
      <c r="D207" s="16">
        <v>2051</v>
      </c>
      <c r="E207" s="18"/>
      <c r="J207" s="23">
        <f t="shared" ca="1" si="36"/>
        <v>4.321094485540331</v>
      </c>
      <c r="N207" s="23"/>
      <c r="O207" s="23"/>
      <c r="P207" s="23"/>
    </row>
    <row r="208" spans="4:17" x14ac:dyDescent="0.15">
      <c r="D208" s="16">
        <v>2052</v>
      </c>
      <c r="E208" s="18"/>
      <c r="J208" s="23">
        <f t="shared" ca="1" si="36"/>
        <v>4.3286040295095534</v>
      </c>
      <c r="N208" s="23"/>
      <c r="O208" s="23"/>
      <c r="P208" s="23"/>
    </row>
    <row r="209" spans="4:16" x14ac:dyDescent="0.15">
      <c r="D209" s="16">
        <v>2053</v>
      </c>
      <c r="E209" s="18"/>
      <c r="J209" s="23">
        <f t="shared" ca="1" si="36"/>
        <v>4.3356646437591424</v>
      </c>
      <c r="N209" s="23"/>
      <c r="O209" s="23"/>
      <c r="P209" s="23"/>
    </row>
    <row r="210" spans="4:16" x14ac:dyDescent="0.15">
      <c r="D210" s="16">
        <v>2054</v>
      </c>
      <c r="E210" s="18"/>
      <c r="J210" s="23">
        <f t="shared" ca="1" si="36"/>
        <v>4.3423017937109689</v>
      </c>
      <c r="N210" s="23"/>
      <c r="O210" s="23"/>
      <c r="P210" s="23"/>
    </row>
    <row r="211" spans="4:16" x14ac:dyDescent="0.15">
      <c r="D211" s="16">
        <v>2055</v>
      </c>
      <c r="E211" s="18"/>
      <c r="J211" s="23">
        <f t="shared" ca="1" si="36"/>
        <v>4.3485396646183467</v>
      </c>
      <c r="N211" s="23"/>
      <c r="O211" s="23"/>
      <c r="P211" s="23"/>
    </row>
    <row r="212" spans="4:16" x14ac:dyDescent="0.15">
      <c r="D212" s="16">
        <v>2056</v>
      </c>
      <c r="E212" s="18"/>
      <c r="J212" s="23">
        <f t="shared" ca="1" si="36"/>
        <v>4.3544012058001647</v>
      </c>
      <c r="N212" s="23"/>
      <c r="O212" s="23"/>
      <c r="P212" s="23"/>
    </row>
    <row r="213" spans="4:16" x14ac:dyDescent="0.15">
      <c r="D213" s="16">
        <v>2057</v>
      </c>
      <c r="E213" s="18"/>
      <c r="J213" s="23">
        <f t="shared" ca="1" si="36"/>
        <v>4.3599081760170639</v>
      </c>
      <c r="N213" s="23"/>
      <c r="O213" s="23"/>
      <c r="P213" s="23"/>
    </row>
    <row r="214" spans="4:16" x14ac:dyDescent="0.15">
      <c r="D214" s="16">
        <v>2058</v>
      </c>
      <c r="E214" s="18"/>
      <c r="J214" s="23">
        <f t="shared" ca="1" si="36"/>
        <v>4.3650811895226687</v>
      </c>
      <c r="N214" s="23"/>
      <c r="O214" s="23"/>
      <c r="P214" s="23"/>
    </row>
    <row r="215" spans="4:16" x14ac:dyDescent="0.15">
      <c r="D215" s="16">
        <v>2059</v>
      </c>
      <c r="E215" s="18"/>
      <c r="J215" s="23">
        <f t="shared" ca="1" si="36"/>
        <v>4.3699397623869087</v>
      </c>
      <c r="N215" s="23"/>
      <c r="O215" s="23"/>
      <c r="P215" s="23"/>
    </row>
    <row r="216" spans="4:16" x14ac:dyDescent="0.15">
      <c r="D216" s="16">
        <v>2060</v>
      </c>
      <c r="E216" s="18"/>
      <c r="J216" s="23">
        <f t="shared" ca="1" si="36"/>
        <v>4.3745023587463621</v>
      </c>
      <c r="N216" s="23"/>
      <c r="O216" s="23"/>
      <c r="P216" s="23"/>
    </row>
    <row r="217" spans="4:16" x14ac:dyDescent="0.15">
      <c r="D217" s="16">
        <v>2061</v>
      </c>
      <c r="E217" s="18"/>
      <c r="J217" s="23">
        <f t="shared" ca="1" si="36"/>
        <v>4.3787864366886593</v>
      </c>
      <c r="N217" s="23"/>
      <c r="O217" s="23"/>
      <c r="P217" s="23"/>
    </row>
    <row r="218" spans="4:16" x14ac:dyDescent="0.15">
      <c r="D218" s="16">
        <v>2062</v>
      </c>
      <c r="E218" s="18"/>
      <c r="J218" s="23">
        <f t="shared" ca="1" si="36"/>
        <v>4.3828084935246094</v>
      </c>
      <c r="N218" s="23"/>
      <c r="O218" s="23"/>
      <c r="P218" s="23"/>
    </row>
    <row r="219" spans="4:16" x14ac:dyDescent="0.15">
      <c r="D219" s="16">
        <v>2063</v>
      </c>
      <c r="E219" s="18"/>
      <c r="J219" s="23">
        <f t="shared" ca="1" si="36"/>
        <v>4.386584110243299</v>
      </c>
      <c r="N219" s="23"/>
      <c r="O219" s="23"/>
      <c r="P219" s="23"/>
    </row>
    <row r="220" spans="4:16" x14ac:dyDescent="0.15">
      <c r="D220" s="16">
        <v>2064</v>
      </c>
      <c r="E220" s="18"/>
      <c r="J220" s="23">
        <f t="shared" ca="1" si="36"/>
        <v>4.3901279949822811</v>
      </c>
      <c r="N220" s="23"/>
      <c r="O220" s="23"/>
      <c r="P220" s="23"/>
    </row>
    <row r="221" spans="4:16" x14ac:dyDescent="0.15">
      <c r="D221" s="16">
        <v>2065</v>
      </c>
      <c r="E221" s="18"/>
      <c r="J221" s="23">
        <f t="shared" ca="1" si="36"/>
        <v>4.393454025377495</v>
      </c>
      <c r="N221" s="23"/>
      <c r="O221" s="23"/>
      <c r="P221" s="23"/>
    </row>
    <row r="222" spans="4:16" x14ac:dyDescent="0.15">
      <c r="D222" s="16">
        <v>2066</v>
      </c>
      <c r="E222" s="18"/>
      <c r="J222" s="23">
        <f t="shared" ca="1" si="36"/>
        <v>4.3965752896862034</v>
      </c>
      <c r="N222" s="23"/>
      <c r="O222" s="23"/>
      <c r="P222" s="23"/>
    </row>
    <row r="223" spans="4:16" x14ac:dyDescent="0.15">
      <c r="D223" s="16">
        <v>2067</v>
      </c>
      <c r="E223" s="18"/>
      <c r="J223" s="23">
        <f t="shared" ca="1" si="36"/>
        <v>4.3995041266011983</v>
      </c>
      <c r="N223" s="23"/>
      <c r="O223" s="23"/>
      <c r="P223" s="23"/>
    </row>
    <row r="224" spans="4:16" x14ac:dyDescent="0.15">
      <c r="D224" s="16">
        <v>2068</v>
      </c>
      <c r="E224" s="18"/>
      <c r="J224" s="23">
        <f t="shared" ca="1" si="36"/>
        <v>4.4022521636962981</v>
      </c>
      <c r="N224" s="23"/>
      <c r="O224" s="23"/>
      <c r="P224" s="23"/>
    </row>
    <row r="225" spans="4:16" x14ac:dyDescent="0.15">
      <c r="D225" s="16">
        <v>2069</v>
      </c>
      <c r="E225" s="18"/>
      <c r="J225" s="23">
        <f t="shared" ca="1" si="36"/>
        <v>4.4048303544619767</v>
      </c>
      <c r="N225" s="23"/>
      <c r="O225" s="23"/>
      <c r="P225" s="23"/>
    </row>
    <row r="226" spans="4:16" x14ac:dyDescent="0.15">
      <c r="D226" s="16">
        <v>2070</v>
      </c>
      <c r="E226" s="18"/>
      <c r="J226" s="23">
        <f t="shared" ca="1" si="36"/>
        <v>4.4072490139061467</v>
      </c>
      <c r="N226" s="23"/>
      <c r="O226" s="23"/>
      <c r="P226" s="23"/>
    </row>
    <row r="227" spans="4:16" x14ac:dyDescent="0.15">
      <c r="D227" s="16">
        <v>2071</v>
      </c>
      <c r="E227" s="18"/>
      <c r="J227" s="23">
        <f t="shared" ca="1" si="36"/>
        <v>4.4095178527089507</v>
      </c>
      <c r="N227" s="23"/>
      <c r="O227" s="23"/>
      <c r="P227" s="23"/>
    </row>
    <row r="228" spans="4:16" x14ac:dyDescent="0.15">
      <c r="D228" s="16">
        <v>2072</v>
      </c>
      <c r="E228" s="18"/>
      <c r="J228" s="23">
        <f t="shared" ca="1" si="36"/>
        <v>4.4116460099321655</v>
      </c>
      <c r="N228" s="23"/>
      <c r="O228" s="23"/>
      <c r="P228" s="23"/>
    </row>
    <row r="229" spans="4:16" x14ac:dyDescent="0.15">
      <c r="D229" s="16">
        <v>2073</v>
      </c>
      <c r="E229" s="18"/>
      <c r="J229" s="23">
        <f t="shared" ca="1" si="36"/>
        <v>4.4136420842936772</v>
      </c>
      <c r="N229" s="23"/>
      <c r="O229" s="23"/>
      <c r="P229" s="23"/>
    </row>
    <row r="230" spans="4:16" x14ac:dyDescent="0.15">
      <c r="D230" s="16">
        <v>2074</v>
      </c>
      <c r="E230" s="18"/>
      <c r="J230" s="23">
        <f t="shared" ca="1" si="36"/>
        <v>4.4155141640257316</v>
      </c>
      <c r="N230" s="23"/>
      <c r="O230" s="23"/>
      <c r="P230" s="23"/>
    </row>
    <row r="231" spans="4:16" x14ac:dyDescent="0.15">
      <c r="D231" s="16">
        <v>2075</v>
      </c>
      <c r="E231" s="18"/>
      <c r="J231" s="23">
        <f t="shared" ca="1" si="36"/>
        <v>4.4172698553424743</v>
      </c>
      <c r="N231" s="23"/>
      <c r="O231" s="23"/>
      <c r="P231" s="23"/>
    </row>
    <row r="232" spans="4:16" x14ac:dyDescent="0.15">
      <c r="D232" s="16">
        <v>2076</v>
      </c>
      <c r="E232" s="18"/>
      <c r="J232" s="23">
        <f t="shared" ca="1" si="36"/>
        <v>4.4189163095477708</v>
      </c>
      <c r="N232" s="23"/>
      <c r="O232" s="23"/>
      <c r="P232" s="23"/>
    </row>
    <row r="233" spans="4:16" x14ac:dyDescent="0.15">
      <c r="D233" s="16">
        <v>2077</v>
      </c>
      <c r="E233" s="18"/>
      <c r="J233" s="23">
        <f t="shared" ca="1" si="36"/>
        <v>4.420460248818757</v>
      </c>
      <c r="N233" s="23"/>
      <c r="O233" s="23"/>
      <c r="P233" s="23"/>
    </row>
    <row r="234" spans="4:16" x14ac:dyDescent="0.15">
      <c r="D234" s="16">
        <v>2078</v>
      </c>
      <c r="E234" s="18"/>
      <c r="J234" s="23">
        <f t="shared" ca="1" si="36"/>
        <v>4.4219079907039669</v>
      </c>
      <c r="N234" s="23"/>
      <c r="O234" s="23"/>
      <c r="P234" s="23"/>
    </row>
    <row r="235" spans="4:16" x14ac:dyDescent="0.15">
      <c r="D235" s="16">
        <v>2079</v>
      </c>
      <c r="E235" s="18"/>
      <c r="J235" s="23">
        <f t="shared" ref="J235:J266" ca="1" si="37">F$1/(1+EXP((AVERAGE(E$2:F$2)-D235)*LN(81)/(F$2-E$2)))</f>
        <v>4.4232654713775714</v>
      </c>
      <c r="N235" s="23"/>
      <c r="O235" s="23"/>
      <c r="P235" s="23"/>
    </row>
    <row r="236" spans="4:16" x14ac:dyDescent="0.15">
      <c r="D236" s="16">
        <v>2080</v>
      </c>
      <c r="E236" s="18"/>
      <c r="J236" s="23">
        <f t="shared" ca="1" si="37"/>
        <v>4.4245382676930625</v>
      </c>
      <c r="N236" s="23"/>
      <c r="O236" s="23"/>
      <c r="P236" s="23"/>
    </row>
    <row r="237" spans="4:16" x14ac:dyDescent="0.15">
      <c r="D237" s="16">
        <v>2081</v>
      </c>
      <c r="E237" s="18"/>
      <c r="J237" s="23">
        <f t="shared" ca="1" si="37"/>
        <v>4.4257316180810822</v>
      </c>
      <c r="N237" s="23"/>
      <c r="O237" s="23"/>
      <c r="P237" s="23"/>
    </row>
    <row r="238" spans="4:16" x14ac:dyDescent="0.15">
      <c r="D238" s="16">
        <v>2082</v>
      </c>
      <c r="E238" s="18"/>
      <c r="J238" s="23">
        <f t="shared" ca="1" si="37"/>
        <v>4.4268504423368054</v>
      </c>
      <c r="N238" s="23"/>
      <c r="O238" s="23"/>
      <c r="P238" s="23"/>
    </row>
    <row r="239" spans="4:16" x14ac:dyDescent="0.15">
      <c r="D239" s="16">
        <v>2083</v>
      </c>
      <c r="E239" s="18"/>
      <c r="J239" s="23">
        <f t="shared" ca="1" si="37"/>
        <v>4.4278993603425763</v>
      </c>
      <c r="N239" s="23"/>
      <c r="O239" s="23"/>
      <c r="P239" s="23"/>
    </row>
    <row r="240" spans="4:16" x14ac:dyDescent="0.15">
      <c r="D240" s="16">
        <v>2084</v>
      </c>
      <c r="E240" s="18"/>
      <c r="J240" s="23">
        <f t="shared" ca="1" si="37"/>
        <v>4.4288827097714671</v>
      </c>
      <c r="N240" s="23"/>
      <c r="O240" s="23"/>
      <c r="P240" s="23"/>
    </row>
    <row r="241" spans="4:16" x14ac:dyDescent="0.15">
      <c r="D241" s="16">
        <v>2085</v>
      </c>
      <c r="E241" s="18"/>
      <c r="J241" s="23">
        <f t="shared" ca="1" si="37"/>
        <v>4.4298045628170115</v>
      </c>
      <c r="N241" s="23"/>
      <c r="O241" s="23"/>
      <c r="P241" s="23"/>
    </row>
    <row r="242" spans="4:16" x14ac:dyDescent="0.15">
      <c r="D242" s="16">
        <v>2086</v>
      </c>
      <c r="E242" s="18"/>
      <c r="J242" s="23">
        <f t="shared" ca="1" si="37"/>
        <v>4.4306687419937472</v>
      </c>
      <c r="N242" s="23"/>
      <c r="O242" s="23"/>
      <c r="P242" s="23"/>
    </row>
    <row r="243" spans="4:16" x14ac:dyDescent="0.15">
      <c r="D243" s="16">
        <v>2087</v>
      </c>
      <c r="E243" s="18"/>
      <c r="J243" s="23">
        <f t="shared" ca="1" si="37"/>
        <v>4.4314788350523164</v>
      </c>
      <c r="N243" s="23"/>
      <c r="O243" s="23"/>
      <c r="P243" s="23"/>
    </row>
    <row r="244" spans="4:16" x14ac:dyDescent="0.15">
      <c r="D244" s="16">
        <v>2088</v>
      </c>
      <c r="E244" s="18"/>
      <c r="J244" s="23">
        <f t="shared" ca="1" si="37"/>
        <v>4.4322382090518753</v>
      </c>
      <c r="N244" s="23"/>
      <c r="O244" s="23"/>
      <c r="P244" s="23"/>
    </row>
    <row r="245" spans="4:16" x14ac:dyDescent="0.15">
      <c r="D245" s="16">
        <v>2089</v>
      </c>
      <c r="E245" s="18"/>
      <c r="J245" s="23">
        <f t="shared" ca="1" si="37"/>
        <v>4.4329500236314017</v>
      </c>
      <c r="N245" s="23"/>
      <c r="O245" s="23"/>
      <c r="P245" s="23"/>
    </row>
    <row r="246" spans="4:16" x14ac:dyDescent="0.15">
      <c r="D246" s="16">
        <v>2090</v>
      </c>
      <c r="E246" s="18"/>
      <c r="J246" s="23">
        <f t="shared" ca="1" si="37"/>
        <v>4.4336172435201888</v>
      </c>
      <c r="N246" s="23"/>
      <c r="O246" s="23"/>
      <c r="P246" s="23"/>
    </row>
    <row r="247" spans="4:16" x14ac:dyDescent="0.15">
      <c r="D247" s="16">
        <v>2091</v>
      </c>
      <c r="E247" s="18"/>
      <c r="J247" s="23">
        <f t="shared" ca="1" si="37"/>
        <v>4.4342426503265342</v>
      </c>
      <c r="N247" s="23"/>
      <c r="O247" s="23"/>
      <c r="P247" s="23"/>
    </row>
    <row r="248" spans="4:16" x14ac:dyDescent="0.15">
      <c r="D248" s="16">
        <v>2092</v>
      </c>
      <c r="E248" s="18"/>
      <c r="J248" s="23">
        <f t="shared" ca="1" si="37"/>
        <v>4.4348288536421707</v>
      </c>
      <c r="N248" s="23"/>
      <c r="O248" s="23"/>
      <c r="P248" s="23"/>
    </row>
    <row r="249" spans="4:16" x14ac:dyDescent="0.15">
      <c r="D249" s="16">
        <v>2093</v>
      </c>
      <c r="E249" s="18"/>
      <c r="J249" s="23">
        <f t="shared" ca="1" si="37"/>
        <v>4.4353783014986057</v>
      </c>
      <c r="N249" s="23"/>
      <c r="O249" s="23"/>
      <c r="P249" s="23"/>
    </row>
    <row r="250" spans="4:16" x14ac:dyDescent="0.15">
      <c r="D250" s="16">
        <v>2094</v>
      </c>
      <c r="E250" s="18"/>
      <c r="J250" s="23">
        <f t="shared" ca="1" si="37"/>
        <v>4.4358932902100419</v>
      </c>
      <c r="O250" s="23"/>
      <c r="P250" s="23"/>
    </row>
    <row r="251" spans="4:16" x14ac:dyDescent="0.15">
      <c r="D251" s="16">
        <v>2095</v>
      </c>
      <c r="E251" s="18"/>
      <c r="J251" s="23">
        <f t="shared" ca="1" si="37"/>
        <v>4.4363759736361335</v>
      </c>
      <c r="O251" s="23"/>
      <c r="P251" s="23"/>
    </row>
    <row r="252" spans="4:16" x14ac:dyDescent="0.15">
      <c r="D252" s="16">
        <v>2096</v>
      </c>
      <c r="E252" s="18"/>
      <c r="J252" s="23">
        <f t="shared" ca="1" si="37"/>
        <v>4.4368283718963522</v>
      </c>
      <c r="O252" s="23"/>
      <c r="P252" s="23"/>
    </row>
    <row r="253" spans="4:16" x14ac:dyDescent="0.15">
      <c r="D253" s="16">
        <v>2097</v>
      </c>
      <c r="E253" s="18"/>
      <c r="J253" s="23">
        <f t="shared" ca="1" si="37"/>
        <v>4.4372523795663152</v>
      </c>
      <c r="O253" s="23"/>
      <c r="P253" s="23"/>
    </row>
    <row r="254" spans="4:16" x14ac:dyDescent="0.15">
      <c r="D254" s="16">
        <v>2098</v>
      </c>
      <c r="E254" s="18"/>
      <c r="J254" s="23">
        <f t="shared" ca="1" si="37"/>
        <v>4.4376497733850089</v>
      </c>
      <c r="O254" s="23"/>
      <c r="P254" s="23"/>
    </row>
    <row r="255" spans="4:16" x14ac:dyDescent="0.15">
      <c r="D255" s="16">
        <v>2099</v>
      </c>
      <c r="E255" s="18"/>
      <c r="J255" s="23">
        <f t="shared" ca="1" si="37"/>
        <v>4.4380222195004793</v>
      </c>
      <c r="O255" s="23"/>
      <c r="P255" s="23"/>
    </row>
    <row r="256" spans="4:16" x14ac:dyDescent="0.15">
      <c r="D256" s="16">
        <v>2100</v>
      </c>
      <c r="J256" s="23">
        <f t="shared" ca="1" si="37"/>
        <v>4.4383712802801698</v>
      </c>
      <c r="O256" s="23"/>
      <c r="P256" s="23"/>
    </row>
    <row r="257" spans="4:16" x14ac:dyDescent="0.15">
      <c r="D257" s="16">
        <v>2101</v>
      </c>
      <c r="J257" s="23">
        <f t="shared" ca="1" si="37"/>
        <v>4.4386984207108382</v>
      </c>
      <c r="O257" s="23"/>
      <c r="P257" s="23"/>
    </row>
    <row r="258" spans="4:16" x14ac:dyDescent="0.15">
      <c r="D258" s="16">
        <v>2102</v>
      </c>
      <c r="J258" s="23">
        <f t="shared" ca="1" si="37"/>
        <v>4.4390050144116637</v>
      </c>
      <c r="O258" s="23"/>
      <c r="P258" s="23"/>
    </row>
    <row r="259" spans="4:16" x14ac:dyDescent="0.15">
      <c r="D259" s="16">
        <v>2103</v>
      </c>
      <c r="J259" s="23">
        <f t="shared" ca="1" si="37"/>
        <v>4.4392923492829617</v>
      </c>
      <c r="O259" s="23"/>
      <c r="P259" s="23"/>
    </row>
    <row r="260" spans="4:16" x14ac:dyDescent="0.15">
      <c r="D260" s="16">
        <v>2104</v>
      </c>
      <c r="J260" s="23">
        <f t="shared" ca="1" si="37"/>
        <v>4.4395616328117384</v>
      </c>
      <c r="O260" s="23"/>
      <c r="P260" s="23"/>
    </row>
    <row r="261" spans="4:16" x14ac:dyDescent="0.15">
      <c r="D261" s="16">
        <v>2105</v>
      </c>
      <c r="J261" s="23">
        <f t="shared" ca="1" si="37"/>
        <v>4.4398139970541957</v>
      </c>
      <c r="O261" s="23"/>
      <c r="P261" s="23"/>
    </row>
    <row r="262" spans="4:16" x14ac:dyDescent="0.15">
      <c r="D262" s="16">
        <v>2106</v>
      </c>
      <c r="J262" s="23">
        <f t="shared" ca="1" si="37"/>
        <v>4.4400505033141782</v>
      </c>
      <c r="O262" s="23"/>
      <c r="P262" s="23"/>
    </row>
    <row r="263" spans="4:16" x14ac:dyDescent="0.15">
      <c r="D263" s="16">
        <v>2107</v>
      </c>
      <c r="J263" s="23">
        <f t="shared" ca="1" si="37"/>
        <v>4.4402721465355723</v>
      </c>
      <c r="O263" s="23"/>
      <c r="P263" s="23"/>
    </row>
    <row r="264" spans="4:16" x14ac:dyDescent="0.15">
      <c r="D264" s="16">
        <v>2108</v>
      </c>
      <c r="J264" s="23">
        <f t="shared" ca="1" si="37"/>
        <v>4.4404798594256274</v>
      </c>
      <c r="O264" s="23"/>
      <c r="P264" s="23"/>
    </row>
    <row r="265" spans="4:16" x14ac:dyDescent="0.15">
      <c r="D265" s="16">
        <v>2109</v>
      </c>
      <c r="J265" s="23">
        <f t="shared" ca="1" si="37"/>
        <v>4.440674516325231</v>
      </c>
      <c r="O265" s="23"/>
      <c r="P265" s="23"/>
    </row>
    <row r="266" spans="4:16" x14ac:dyDescent="0.15">
      <c r="D266" s="16">
        <v>2110</v>
      </c>
      <c r="J266" s="23">
        <f t="shared" ca="1" si="37"/>
        <v>4.4408569368413016</v>
      </c>
      <c r="O266" s="23"/>
      <c r="P266" s="23"/>
    </row>
    <row r="267" spans="4:16" x14ac:dyDescent="0.15">
      <c r="D267" s="16">
        <v>2111</v>
      </c>
      <c r="J267" s="23">
        <f t="shared" ref="J267:J298" ca="1" si="38">F$1/(1+EXP((AVERAGE(E$2:F$2)-D267)*LN(81)/(F$2-E$2)))</f>
        <v>4.4410278892555626</v>
      </c>
      <c r="O267" s="23"/>
      <c r="P267" s="23"/>
    </row>
    <row r="268" spans="4:16" x14ac:dyDescent="0.15">
      <c r="D268" s="16">
        <v>2112</v>
      </c>
      <c r="J268" s="23">
        <f t="shared" ca="1" si="38"/>
        <v>4.4411880937231629</v>
      </c>
      <c r="O268" s="23"/>
      <c r="P268" s="23"/>
    </row>
    <row r="269" spans="4:16" x14ac:dyDescent="0.15">
      <c r="D269" s="16">
        <v>2113</v>
      </c>
      <c r="J269" s="23">
        <f t="shared" ca="1" si="38"/>
        <v>4.4413382252738538</v>
      </c>
      <c r="O269" s="23"/>
      <c r="P269" s="23"/>
    </row>
    <row r="270" spans="4:16" x14ac:dyDescent="0.15">
      <c r="D270" s="16">
        <v>2114</v>
      </c>
      <c r="J270" s="23">
        <f t="shared" ca="1" si="38"/>
        <v>4.4414789166276538</v>
      </c>
      <c r="O270" s="23"/>
      <c r="P270" s="23"/>
    </row>
    <row r="271" spans="4:16" x14ac:dyDescent="0.15">
      <c r="D271" s="16">
        <v>2115</v>
      </c>
      <c r="J271" s="23">
        <f t="shared" ca="1" si="38"/>
        <v>4.4416107608362969</v>
      </c>
      <c r="O271" s="23"/>
      <c r="P271" s="23"/>
    </row>
    <row r="272" spans="4:16" x14ac:dyDescent="0.15">
      <c r="D272" s="16">
        <v>2116</v>
      </c>
      <c r="J272" s="23">
        <f t="shared" ca="1" si="38"/>
        <v>4.4417343137610343</v>
      </c>
      <c r="O272" s="23"/>
      <c r="P272" s="23"/>
    </row>
    <row r="273" spans="4:16" x14ac:dyDescent="0.15">
      <c r="D273" s="16">
        <v>2117</v>
      </c>
      <c r="J273" s="23">
        <f t="shared" ca="1" si="38"/>
        <v>4.441850096396796</v>
      </c>
      <c r="O273" s="23"/>
      <c r="P273" s="23"/>
    </row>
    <row r="274" spans="4:16" x14ac:dyDescent="0.15">
      <c r="D274" s="16">
        <v>2118</v>
      </c>
      <c r="J274" s="23">
        <f t="shared" ca="1" si="38"/>
        <v>4.4419585970520838</v>
      </c>
      <c r="O274" s="23"/>
      <c r="P274" s="23"/>
    </row>
    <row r="275" spans="4:16" x14ac:dyDescent="0.15">
      <c r="D275" s="16">
        <v>2119</v>
      </c>
      <c r="J275" s="23">
        <f t="shared" ca="1" si="38"/>
        <v>4.4420602733934498</v>
      </c>
      <c r="O275" s="23"/>
      <c r="P275" s="23"/>
    </row>
    <row r="276" spans="4:16" x14ac:dyDescent="0.15">
      <c r="D276" s="16">
        <v>2120</v>
      </c>
      <c r="J276" s="23">
        <f t="shared" ca="1" si="38"/>
        <v>4.4421555543628459</v>
      </c>
      <c r="O276" s="23"/>
      <c r="P276" s="23"/>
    </row>
    <row r="277" spans="4:16" x14ac:dyDescent="0.15">
      <c r="D277" s="16">
        <v>2121</v>
      </c>
      <c r="J277" s="23">
        <f t="shared" ca="1" si="38"/>
        <v>4.4422448419756728</v>
      </c>
      <c r="O277" s="23"/>
      <c r="P277" s="23"/>
    </row>
    <row r="278" spans="4:16" x14ac:dyDescent="0.15">
      <c r="D278" s="16">
        <v>2122</v>
      </c>
      <c r="J278" s="23">
        <f t="shared" ca="1" si="38"/>
        <v>4.4423285130068599</v>
      </c>
      <c r="O278" s="23"/>
      <c r="P278" s="23"/>
    </row>
    <row r="279" spans="4:16" x14ac:dyDescent="0.15">
      <c r="D279" s="16">
        <v>2123</v>
      </c>
      <c r="J279" s="23">
        <f t="shared" ca="1" si="38"/>
        <v>4.4424069205718837</v>
      </c>
      <c r="O279" s="23"/>
      <c r="P279" s="23"/>
    </row>
    <row r="280" spans="4:16" x14ac:dyDescent="0.15">
      <c r="D280" s="16">
        <v>2124</v>
      </c>
      <c r="J280" s="23">
        <f t="shared" ca="1" si="38"/>
        <v>4.4424803956092012</v>
      </c>
      <c r="O280" s="23"/>
      <c r="P280" s="23"/>
    </row>
    <row r="281" spans="4:16" x14ac:dyDescent="0.15">
      <c r="D281" s="16">
        <v>2125</v>
      </c>
      <c r="J281" s="23">
        <f t="shared" ca="1" si="38"/>
        <v>4.4425492482702031</v>
      </c>
      <c r="O281" s="23"/>
      <c r="P281" s="23"/>
    </row>
    <row r="282" spans="4:16" x14ac:dyDescent="0.15">
      <c r="D282" s="16">
        <v>2126</v>
      </c>
      <c r="J282" s="23">
        <f t="shared" ca="1" si="38"/>
        <v>4.4426137692223895</v>
      </c>
      <c r="O282" s="23"/>
      <c r="P282" s="23"/>
    </row>
    <row r="283" spans="4:16" x14ac:dyDescent="0.15">
      <c r="D283" s="16">
        <v>2127</v>
      </c>
      <c r="J283" s="23">
        <f t="shared" ca="1" si="38"/>
        <v>4.4426742308711598</v>
      </c>
      <c r="O283" s="23"/>
      <c r="P283" s="23"/>
    </row>
    <row r="284" spans="4:16" x14ac:dyDescent="0.15">
      <c r="D284" s="16">
        <v>2128</v>
      </c>
      <c r="J284" s="23">
        <f t="shared" ca="1" si="38"/>
        <v>4.4427308885052543</v>
      </c>
      <c r="O284" s="23"/>
      <c r="P284" s="23"/>
    </row>
    <row r="285" spans="4:16" x14ac:dyDescent="0.15">
      <c r="D285" s="16">
        <v>2129</v>
      </c>
      <c r="J285" s="23">
        <f t="shared" ca="1" si="38"/>
        <v>4.4427839813705852</v>
      </c>
      <c r="O285" s="23"/>
      <c r="P285" s="23"/>
    </row>
    <row r="286" spans="4:16" x14ac:dyDescent="0.15">
      <c r="D286" s="16">
        <v>2130</v>
      </c>
      <c r="J286" s="23">
        <f t="shared" ca="1" si="38"/>
        <v>4.4428337336769053</v>
      </c>
      <c r="O286" s="23"/>
      <c r="P286" s="23"/>
    </row>
    <row r="287" spans="4:16" x14ac:dyDescent="0.15">
      <c r="D287" s="16">
        <v>2131</v>
      </c>
      <c r="J287" s="23">
        <f t="shared" ca="1" si="38"/>
        <v>4.4428803555414991</v>
      </c>
      <c r="O287" s="23"/>
      <c r="P287" s="23"/>
    </row>
    <row r="288" spans="4:16" x14ac:dyDescent="0.15">
      <c r="D288" s="16">
        <v>2132</v>
      </c>
      <c r="J288" s="23">
        <f t="shared" ca="1" si="38"/>
        <v>4.4429240438737931</v>
      </c>
      <c r="O288" s="23"/>
      <c r="P288" s="23"/>
    </row>
    <row r="289" spans="4:16" x14ac:dyDescent="0.15">
      <c r="D289" s="16">
        <v>2133</v>
      </c>
      <c r="J289" s="23">
        <f t="shared" ca="1" si="38"/>
        <v>4.4429649832045932</v>
      </c>
      <c r="O289" s="23"/>
      <c r="P289" s="23"/>
    </row>
    <row r="290" spans="4:16" x14ac:dyDescent="0.15">
      <c r="D290" s="16">
        <v>2134</v>
      </c>
      <c r="J290" s="23">
        <f t="shared" ca="1" si="38"/>
        <v>4.4430033464633683</v>
      </c>
      <c r="O290" s="23"/>
      <c r="P290" s="23"/>
    </row>
    <row r="291" spans="4:16" x14ac:dyDescent="0.15">
      <c r="D291" s="16">
        <v>2135</v>
      </c>
      <c r="J291" s="23">
        <f t="shared" ca="1" si="38"/>
        <v>4.4430392957068445</v>
      </c>
      <c r="O291" s="23"/>
      <c r="P291" s="23"/>
    </row>
    <row r="292" spans="4:16" x14ac:dyDescent="0.15">
      <c r="D292" s="16">
        <v>2136</v>
      </c>
      <c r="J292" s="23">
        <f t="shared" ca="1" si="38"/>
        <v>4.4430729828019304</v>
      </c>
      <c r="O292" s="23"/>
      <c r="P292" s="23"/>
    </row>
    <row r="293" spans="4:16" x14ac:dyDescent="0.15">
      <c r="D293" s="16">
        <v>2137</v>
      </c>
      <c r="J293" s="23">
        <f t="shared" ca="1" si="38"/>
        <v>4.4431045500658346</v>
      </c>
      <c r="O293" s="23"/>
      <c r="P293" s="23"/>
    </row>
    <row r="294" spans="4:16" x14ac:dyDescent="0.15">
      <c r="D294" s="16">
        <v>2138</v>
      </c>
      <c r="J294" s="23">
        <f t="shared" ca="1" si="38"/>
        <v>4.443134130866043</v>
      </c>
      <c r="O294" s="23"/>
      <c r="P294" s="23"/>
    </row>
    <row r="295" spans="4:16" x14ac:dyDescent="0.15">
      <c r="D295" s="16">
        <v>2139</v>
      </c>
      <c r="J295" s="23">
        <f t="shared" ca="1" si="38"/>
        <v>4.4431618501826664</v>
      </c>
      <c r="O295" s="23"/>
      <c r="P295" s="23"/>
    </row>
    <row r="296" spans="4:16" x14ac:dyDescent="0.15">
      <c r="D296" s="16">
        <v>2140</v>
      </c>
      <c r="J296" s="23">
        <f t="shared" ca="1" si="38"/>
        <v>4.4431878251355093</v>
      </c>
      <c r="O296" s="23"/>
      <c r="P296" s="23"/>
    </row>
    <row r="297" spans="4:16" x14ac:dyDescent="0.15">
      <c r="D297" s="16">
        <v>2141</v>
      </c>
      <c r="J297" s="23">
        <f t="shared" ca="1" si="38"/>
        <v>4.4432121654780632</v>
      </c>
      <c r="O297" s="23"/>
      <c r="P297" s="23"/>
    </row>
    <row r="298" spans="4:16" x14ac:dyDescent="0.15">
      <c r="D298" s="16">
        <v>2142</v>
      </c>
      <c r="J298" s="23">
        <f t="shared" ca="1" si="38"/>
        <v>4.443234974060509</v>
      </c>
      <c r="O298" s="23"/>
      <c r="P298" s="23"/>
    </row>
    <row r="299" spans="4:16" x14ac:dyDescent="0.15">
      <c r="D299" s="16">
        <v>2143</v>
      </c>
      <c r="J299" s="23">
        <f t="shared" ref="J299:J306" ca="1" si="39">F$1/(1+EXP((AVERAGE(E$2:F$2)-D299)*LN(81)/(F$2-E$2)))</f>
        <v>4.4432563472636444</v>
      </c>
      <c r="O299" s="23"/>
      <c r="P299" s="23"/>
    </row>
    <row r="300" spans="4:16" x14ac:dyDescent="0.15">
      <c r="D300" s="16">
        <v>2144</v>
      </c>
      <c r="J300" s="23">
        <f t="shared" ca="1" si="39"/>
        <v>4.4432763754055697</v>
      </c>
      <c r="O300" s="23"/>
      <c r="P300" s="23"/>
    </row>
    <row r="301" spans="4:16" x14ac:dyDescent="0.15">
      <c r="D301" s="16">
        <v>2145</v>
      </c>
      <c r="J301" s="23">
        <f t="shared" ca="1" si="39"/>
        <v>4.4432951431228478</v>
      </c>
      <c r="O301" s="23"/>
      <c r="P301" s="23"/>
    </row>
    <row r="302" spans="4:16" x14ac:dyDescent="0.15">
      <c r="D302" s="16">
        <v>2146</v>
      </c>
      <c r="J302" s="23">
        <f t="shared" ca="1" si="39"/>
        <v>4.4433127297277144</v>
      </c>
      <c r="O302" s="23"/>
      <c r="P302" s="23"/>
    </row>
    <row r="303" spans="4:16" x14ac:dyDescent="0.15">
      <c r="D303" s="16">
        <v>2147</v>
      </c>
      <c r="J303" s="23">
        <f t="shared" ca="1" si="39"/>
        <v>4.4433292095428616</v>
      </c>
      <c r="O303" s="23"/>
      <c r="P303" s="23"/>
    </row>
    <row r="304" spans="4:16" x14ac:dyDescent="0.15">
      <c r="D304" s="16">
        <v>2148</v>
      </c>
      <c r="J304" s="23">
        <f t="shared" ca="1" si="39"/>
        <v>4.4433446522151856</v>
      </c>
      <c r="O304" s="23"/>
      <c r="P304" s="23"/>
    </row>
    <row r="305" spans="4:16" x14ac:dyDescent="0.15">
      <c r="D305" s="16">
        <v>2149</v>
      </c>
      <c r="J305" s="23">
        <f t="shared" ca="1" si="39"/>
        <v>4.4433591230098237</v>
      </c>
      <c r="O305" s="23"/>
      <c r="P305" s="23"/>
    </row>
    <row r="306" spans="4:16" x14ac:dyDescent="0.15">
      <c r="D306" s="16">
        <v>2150</v>
      </c>
      <c r="J306" s="23">
        <f t="shared" ca="1" si="39"/>
        <v>4.4433726830857179</v>
      </c>
      <c r="O306" s="23"/>
      <c r="P306" s="23"/>
    </row>
    <row r="307" spans="4:16" x14ac:dyDescent="0.15">
      <c r="D307" s="16"/>
      <c r="J307" s="30"/>
      <c r="O307" s="23"/>
      <c r="P307" s="23"/>
    </row>
    <row r="308" spans="4:16" x14ac:dyDescent="0.15">
      <c r="D308" s="16"/>
      <c r="J308" s="30"/>
      <c r="O308" s="23"/>
      <c r="P308" s="23"/>
    </row>
    <row r="309" spans="4:16" x14ac:dyDescent="0.15">
      <c r="D309" s="16"/>
      <c r="J309" s="30"/>
      <c r="O309" s="23"/>
      <c r="P309" s="23"/>
    </row>
    <row r="310" spans="4:16" x14ac:dyDescent="0.15">
      <c r="D310" s="16"/>
      <c r="J310" s="30"/>
      <c r="O310" s="23"/>
      <c r="P310" s="23"/>
    </row>
    <row r="311" spans="4:16" x14ac:dyDescent="0.15">
      <c r="D311" s="16"/>
      <c r="J311" s="30"/>
      <c r="O311" s="23"/>
      <c r="P311" s="23"/>
    </row>
    <row r="312" spans="4:16" x14ac:dyDescent="0.15">
      <c r="D312" s="16"/>
      <c r="J312" s="30"/>
      <c r="O312" s="23"/>
      <c r="P312" s="23"/>
    </row>
    <row r="313" spans="4:16" x14ac:dyDescent="0.15">
      <c r="D313" s="16"/>
      <c r="J313" s="30"/>
      <c r="O313" s="23"/>
      <c r="P313" s="23"/>
    </row>
    <row r="314" spans="4:16" x14ac:dyDescent="0.15">
      <c r="D314" s="16"/>
      <c r="J314" s="30"/>
      <c r="O314" s="23"/>
      <c r="P314" s="23"/>
    </row>
    <row r="315" spans="4:16" x14ac:dyDescent="0.15">
      <c r="D315" s="16"/>
      <c r="J315" s="30"/>
      <c r="O315" s="23"/>
      <c r="P315" s="23"/>
    </row>
    <row r="316" spans="4:16" x14ac:dyDescent="0.15">
      <c r="D316" s="16"/>
      <c r="J316" s="30"/>
      <c r="O316" s="23"/>
      <c r="P316" s="23"/>
    </row>
    <row r="317" spans="4:16" x14ac:dyDescent="0.15">
      <c r="D317" s="16"/>
      <c r="J317" s="30"/>
      <c r="O317" s="23"/>
      <c r="P317" s="23"/>
    </row>
    <row r="318" spans="4:16" x14ac:dyDescent="0.15">
      <c r="D318" s="16"/>
      <c r="J318" s="30"/>
      <c r="O318" s="23"/>
      <c r="P318" s="23"/>
    </row>
    <row r="319" spans="4:16" x14ac:dyDescent="0.15">
      <c r="D319" s="16"/>
      <c r="J319" s="30"/>
      <c r="O319" s="23"/>
      <c r="P319" s="23"/>
    </row>
    <row r="320" spans="4:16" x14ac:dyDescent="0.15">
      <c r="D320" s="16"/>
      <c r="J320" s="30"/>
      <c r="O320" s="23"/>
      <c r="P320" s="23"/>
    </row>
    <row r="321" spans="4:16" x14ac:dyDescent="0.15">
      <c r="D321" s="16"/>
      <c r="J321" s="30"/>
      <c r="O321" s="23"/>
      <c r="P321" s="23"/>
    </row>
    <row r="322" spans="4:16" x14ac:dyDescent="0.15">
      <c r="D322" s="16"/>
      <c r="J322" s="30"/>
      <c r="O322" s="23"/>
      <c r="P322" s="23"/>
    </row>
    <row r="323" spans="4:16" x14ac:dyDescent="0.15">
      <c r="D323" s="16"/>
      <c r="J323" s="30"/>
      <c r="O323" s="23"/>
      <c r="P323" s="23"/>
    </row>
    <row r="324" spans="4:16" x14ac:dyDescent="0.15">
      <c r="D324" s="16"/>
      <c r="J324" s="30"/>
      <c r="O324" s="23"/>
      <c r="P324" s="23"/>
    </row>
    <row r="325" spans="4:16" x14ac:dyDescent="0.15">
      <c r="D325" s="16"/>
      <c r="J325" s="30"/>
      <c r="O325" s="23"/>
      <c r="P325" s="23"/>
    </row>
    <row r="326" spans="4:16" x14ac:dyDescent="0.15">
      <c r="D326" s="16"/>
      <c r="J326" s="30"/>
      <c r="O326" s="23"/>
      <c r="P326" s="23"/>
    </row>
    <row r="327" spans="4:16" x14ac:dyDescent="0.15">
      <c r="D327" s="16"/>
      <c r="J327" s="30"/>
      <c r="O327" s="23"/>
      <c r="P327" s="23"/>
    </row>
    <row r="328" spans="4:16" x14ac:dyDescent="0.15">
      <c r="D328" s="16"/>
      <c r="J328" s="30"/>
      <c r="O328" s="23"/>
      <c r="P328" s="23"/>
    </row>
    <row r="329" spans="4:16" x14ac:dyDescent="0.15">
      <c r="D329" s="16"/>
      <c r="J329" s="30"/>
      <c r="O329" s="23"/>
      <c r="P329" s="23"/>
    </row>
    <row r="330" spans="4:16" x14ac:dyDescent="0.15">
      <c r="D330" s="16"/>
      <c r="J330" s="30"/>
      <c r="O330" s="23"/>
      <c r="P330" s="23"/>
    </row>
    <row r="331" spans="4:16" x14ac:dyDescent="0.15">
      <c r="D331" s="16"/>
      <c r="J331" s="30"/>
      <c r="O331" s="23"/>
      <c r="P331" s="23"/>
    </row>
    <row r="332" spans="4:16" x14ac:dyDescent="0.15">
      <c r="D332" s="16"/>
      <c r="J332" s="30"/>
      <c r="O332" s="23"/>
      <c r="P332" s="23"/>
    </row>
    <row r="333" spans="4:16" x14ac:dyDescent="0.15">
      <c r="D333" s="16"/>
      <c r="J333" s="30"/>
      <c r="O333" s="23"/>
      <c r="P333" s="23"/>
    </row>
    <row r="334" spans="4:16" x14ac:dyDescent="0.15">
      <c r="D334" s="16"/>
      <c r="J334" s="30"/>
      <c r="O334" s="23"/>
      <c r="P334" s="23"/>
    </row>
    <row r="335" spans="4:16" x14ac:dyDescent="0.15">
      <c r="D335" s="16"/>
      <c r="J335" s="30"/>
      <c r="O335" s="23"/>
      <c r="P335" s="23"/>
    </row>
    <row r="336" spans="4:16" x14ac:dyDescent="0.15">
      <c r="D336" s="16"/>
      <c r="J336" s="30"/>
      <c r="O336" s="23"/>
      <c r="P336" s="23"/>
    </row>
    <row r="337" spans="4:16" x14ac:dyDescent="0.15">
      <c r="D337" s="16"/>
      <c r="J337" s="30"/>
      <c r="O337" s="23"/>
      <c r="P337" s="23"/>
    </row>
    <row r="338" spans="4:16" x14ac:dyDescent="0.15">
      <c r="D338" s="16"/>
      <c r="J338" s="30"/>
      <c r="O338" s="23"/>
      <c r="P338" s="23"/>
    </row>
    <row r="339" spans="4:16" x14ac:dyDescent="0.15">
      <c r="D339" s="16"/>
      <c r="J339" s="30"/>
      <c r="O339" s="23"/>
      <c r="P339" s="23"/>
    </row>
    <row r="340" spans="4:16" x14ac:dyDescent="0.15">
      <c r="D340" s="16"/>
      <c r="J340" s="30"/>
      <c r="O340" s="23"/>
      <c r="P340" s="23"/>
    </row>
    <row r="341" spans="4:16" x14ac:dyDescent="0.15">
      <c r="D341" s="16"/>
      <c r="J341" s="30"/>
      <c r="O341" s="23"/>
      <c r="P341" s="23"/>
    </row>
    <row r="342" spans="4:16" x14ac:dyDescent="0.15">
      <c r="D342" s="16"/>
      <c r="J342" s="30"/>
      <c r="O342" s="23"/>
      <c r="P342" s="23"/>
    </row>
    <row r="343" spans="4:16" x14ac:dyDescent="0.15">
      <c r="D343" s="16"/>
      <c r="J343" s="30"/>
      <c r="O343" s="23"/>
      <c r="P343" s="23"/>
    </row>
    <row r="344" spans="4:16" x14ac:dyDescent="0.15">
      <c r="D344" s="16"/>
      <c r="J344" s="30"/>
      <c r="O344" s="23"/>
      <c r="P344" s="23"/>
    </row>
    <row r="345" spans="4:16" x14ac:dyDescent="0.15">
      <c r="D345" s="16"/>
      <c r="J345" s="30"/>
      <c r="O345" s="23"/>
      <c r="P345" s="23"/>
    </row>
  </sheetData>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008000"/>
  </sheetPr>
  <dimension ref="D1:AC362"/>
  <sheetViews>
    <sheetView topLeftCell="A66" zoomScaleNormal="100" workbookViewId="0">
      <selection activeCell="A73" sqref="A73"/>
    </sheetView>
  </sheetViews>
  <sheetFormatPr baseColWidth="10" defaultColWidth="9.1640625" defaultRowHeight="11.25" customHeight="1" x14ac:dyDescent="0.15"/>
  <cols>
    <col min="1" max="1" width="9.1640625" style="42"/>
    <col min="2" max="2" width="90.6640625" style="42" customWidth="1"/>
    <col min="3" max="3" width="9.1640625" style="42"/>
    <col min="4" max="4" width="4.5" style="42" bestFit="1" customWidth="1"/>
    <col min="5" max="5" width="6.5" style="42" bestFit="1" customWidth="1"/>
    <col min="6" max="6" width="7" style="42" bestFit="1" customWidth="1"/>
    <col min="7" max="7" width="13.6640625" style="42" bestFit="1" customWidth="1"/>
    <col min="8" max="8" width="8.5" style="42" bestFit="1" customWidth="1"/>
    <col min="9" max="9" width="5.33203125" style="42" bestFit="1" customWidth="1"/>
    <col min="10" max="10" width="4" style="42" bestFit="1" customWidth="1"/>
    <col min="11" max="11" width="5.1640625" style="42" customWidth="1"/>
    <col min="12" max="12" width="7" style="42" customWidth="1"/>
    <col min="13" max="13" width="6" style="42" customWidth="1"/>
    <col min="14" max="14" width="12" style="42" bestFit="1" customWidth="1"/>
    <col min="15" max="15" width="28.33203125" style="42" customWidth="1"/>
    <col min="16" max="16" width="4.83203125" style="42" bestFit="1" customWidth="1"/>
    <col min="17" max="17" width="12.33203125" style="42" bestFit="1" customWidth="1"/>
    <col min="18" max="18" width="8.83203125" style="42" customWidth="1"/>
    <col min="19" max="19" width="6.5" style="42" bestFit="1" customWidth="1"/>
    <col min="20" max="20" width="7.6640625" style="42" bestFit="1" customWidth="1"/>
    <col min="21" max="21" width="7.1640625" style="42" bestFit="1" customWidth="1"/>
    <col min="22" max="22" width="7.5" style="42" bestFit="1" customWidth="1"/>
    <col min="23" max="23" width="5" style="42" bestFit="1" customWidth="1"/>
    <col min="24" max="24" width="6.83203125" style="42" bestFit="1" customWidth="1"/>
    <col min="25" max="25" width="8.5" style="42" bestFit="1" customWidth="1"/>
    <col min="26" max="26" width="5.83203125" style="42" bestFit="1" customWidth="1"/>
    <col min="27" max="27" width="6.83203125" style="42" bestFit="1" customWidth="1"/>
    <col min="28" max="28" width="6.6640625" style="42" bestFit="1" customWidth="1"/>
    <col min="29" max="29" width="4.83203125" style="42" bestFit="1" customWidth="1"/>
    <col min="30" max="16384" width="9.1640625" style="42"/>
  </cols>
  <sheetData>
    <row r="1" spans="4:29" ht="11.25" customHeight="1" x14ac:dyDescent="0.15">
      <c r="E1" s="11">
        <f ca="1">RSQ(OFFSET(G11,E3-D11,0):OFFSET(G11,E4-D11,0),OFFSET(D11,E3-D11,0):OFFSET(D11,E4-D11,0))</f>
        <v>0.99768743176041852</v>
      </c>
      <c r="F1" s="150">
        <f ca="1">OFFSET(H113,COUNT(H114:H201),0)</f>
        <v>78.04514464006121</v>
      </c>
      <c r="G1" s="163" t="s">
        <v>84</v>
      </c>
      <c r="H1" s="56"/>
    </row>
    <row r="2" spans="4:29" ht="11.25" customHeight="1" x14ac:dyDescent="0.15">
      <c r="E2" s="12">
        <f ca="1" xml:space="preserve"> (- INTERCEPT(OFFSET(G11,E3-D11,0):OFFSET(G11,E4-D11,0),OFFSET(D11,E3-D11,0):OFFSET(D11,E4-D11,0)) - LN(9))/SLOPE(OFFSET(G11,E3-D11,0):OFFSET(G11,E4-D11,0),OFFSET(D11,E3-D11,0):OFFSET(D11,E4-D11,0))</f>
        <v>1996.5091370636344</v>
      </c>
      <c r="F2" s="12">
        <f ca="1" xml:space="preserve"> (- INTERCEPT(OFFSET(G11,E3-D11,0):OFFSET(G11,E4-D11,0),OFFSET(D11,E3-D11,0):OFFSET(D11,E4-D11,0)) + LN(9))/SLOPE(OFFSET(G11,E3-D11,0):OFFSET(G11,E4-D11,0),OFFSET(D11,E3-D11,0):OFFSET(D11,E4-D11,0))</f>
        <v>2072.4768614031404</v>
      </c>
      <c r="G2" s="163" t="s">
        <v>152</v>
      </c>
      <c r="H2" s="6"/>
      <c r="I2" s="100"/>
    </row>
    <row r="3" spans="4:29" ht="11.25" customHeight="1" x14ac:dyDescent="0.15">
      <c r="E3" s="3">
        <v>1985</v>
      </c>
      <c r="F3" s="8">
        <f ca="1">(E3-AVERAGE(E$2:F$2))/(F$2-E$2)*LN(81)</f>
        <v>-2.8629851760645315</v>
      </c>
      <c r="G3" s="116" t="s">
        <v>74</v>
      </c>
      <c r="H3" s="8"/>
      <c r="I3" s="6"/>
    </row>
    <row r="4" spans="4:29" ht="11.25" customHeight="1" x14ac:dyDescent="0.15">
      <c r="E4" s="3">
        <f ca="1">OFFSET(D12,COUNT(E13:E304),0)</f>
        <v>2009</v>
      </c>
      <c r="F4" s="8">
        <f ca="1">(E4-AVERAGE(E$2:F$2))/(F$2-E$2)*LN(81)</f>
        <v>-1.4746748030856234</v>
      </c>
      <c r="H4" s="12"/>
      <c r="I4" s="6"/>
    </row>
    <row r="5" spans="4:29" ht="11.25" customHeight="1" x14ac:dyDescent="0.15">
      <c r="E5" s="11">
        <f ca="1">RSQ(OFFSET(K11,E3-D11,0):OFFSET(K11,E4-D11,0),OFFSET(D11,E3-D11,0):OFFSET(D11,E4-D11,0))</f>
        <v>0.99452472440306738</v>
      </c>
      <c r="F5" s="151">
        <f ca="1">OFFSET(H113,COUNT(H114:H201),0)</f>
        <v>78.04514464006121</v>
      </c>
      <c r="G5" s="160" t="s">
        <v>85</v>
      </c>
      <c r="H5" s="3"/>
      <c r="I5" s="3"/>
    </row>
    <row r="6" spans="4:29" ht="11.25" customHeight="1" x14ac:dyDescent="0.15">
      <c r="E6" s="11">
        <v>0.99916978882062069</v>
      </c>
      <c r="F6" s="161">
        <v>10000</v>
      </c>
      <c r="G6" s="162" t="s">
        <v>72</v>
      </c>
      <c r="H6" s="3"/>
      <c r="I6" s="3"/>
      <c r="O6" s="56"/>
    </row>
    <row r="7" spans="4:29" ht="11.25" customHeight="1" x14ac:dyDescent="0.15">
      <c r="E7" s="11">
        <v>0.99830300466371702</v>
      </c>
      <c r="F7" s="161">
        <v>10000</v>
      </c>
      <c r="G7" s="162" t="s">
        <v>73</v>
      </c>
      <c r="H7" s="3"/>
      <c r="I7" s="3"/>
    </row>
    <row r="8" spans="4:29" ht="11.25" customHeight="1" x14ac:dyDescent="0.15">
      <c r="E8" s="11"/>
      <c r="F8" s="348">
        <f ca="1">(OFFSET(E107,COUNT(E108:E200),0)/E107)^(1/COUNT(E108:OFFSET(E108,COUNT(E109:E200),0)))-1</f>
        <v>6.9871187962528225E-2</v>
      </c>
      <c r="G8" s="347" t="s">
        <v>302</v>
      </c>
      <c r="H8" s="3"/>
      <c r="I8" s="3"/>
    </row>
    <row r="10" spans="4:29" ht="11.25" customHeight="1" x14ac:dyDescent="0.15">
      <c r="D10" s="43"/>
      <c r="E10" s="29" t="s">
        <v>0</v>
      </c>
      <c r="F10" s="48" t="s">
        <v>1</v>
      </c>
      <c r="G10" s="48" t="s">
        <v>2</v>
      </c>
      <c r="H10" s="159" t="s">
        <v>83</v>
      </c>
      <c r="I10" s="159" t="s">
        <v>20</v>
      </c>
      <c r="J10" s="77" t="s">
        <v>41</v>
      </c>
      <c r="K10" s="59" t="s">
        <v>3</v>
      </c>
      <c r="M10" s="3"/>
      <c r="N10" s="198" t="s">
        <v>166</v>
      </c>
      <c r="O10" s="280" t="s">
        <v>269</v>
      </c>
      <c r="P10" s="158" t="s">
        <v>40</v>
      </c>
      <c r="Q10" s="42" t="s">
        <v>86</v>
      </c>
      <c r="R10" s="283" t="s">
        <v>270</v>
      </c>
      <c r="S10" s="49" t="s">
        <v>87</v>
      </c>
      <c r="T10" s="49" t="s">
        <v>88</v>
      </c>
      <c r="U10" s="49" t="s">
        <v>89</v>
      </c>
      <c r="V10" s="49" t="s">
        <v>90</v>
      </c>
      <c r="W10" s="49" t="s">
        <v>91</v>
      </c>
      <c r="X10" s="49" t="s">
        <v>92</v>
      </c>
      <c r="Y10" s="49" t="s">
        <v>93</v>
      </c>
      <c r="Z10" s="49" t="s">
        <v>94</v>
      </c>
      <c r="AA10" s="49" t="s">
        <v>95</v>
      </c>
      <c r="AB10" s="49" t="s">
        <v>96</v>
      </c>
      <c r="AC10" s="49" t="s">
        <v>97</v>
      </c>
    </row>
    <row r="11" spans="4:29" ht="11.25" customHeight="1" x14ac:dyDescent="0.15">
      <c r="D11" s="44">
        <v>1889</v>
      </c>
      <c r="E11" s="16"/>
      <c r="F11" s="94">
        <v>0</v>
      </c>
      <c r="M11" s="282" t="s">
        <v>7</v>
      </c>
      <c r="N11" s="198">
        <v>1913</v>
      </c>
      <c r="O11" s="23">
        <f t="shared" ref="O11:O29" si="0">LOOKUP(N11-2,D$12:D$201,F$12:F$201)+P11</f>
        <v>102.474941</v>
      </c>
      <c r="P11" s="42">
        <f t="shared" ref="P11:P28" si="1">SUM(Q11:AC11)/1000</f>
        <v>102.313</v>
      </c>
      <c r="Q11" s="286"/>
      <c r="R11" s="287"/>
      <c r="S11" s="286">
        <v>79001</v>
      </c>
      <c r="T11" s="286">
        <v>1311</v>
      </c>
      <c r="U11" s="286">
        <v>75</v>
      </c>
      <c r="V11" s="286"/>
      <c r="W11" s="286"/>
      <c r="X11" s="286"/>
      <c r="Y11" s="286">
        <v>66</v>
      </c>
      <c r="Z11" s="286"/>
      <c r="AA11" s="286"/>
      <c r="AB11" s="286">
        <v>20002</v>
      </c>
      <c r="AC11" s="286">
        <v>1858</v>
      </c>
    </row>
    <row r="12" spans="4:29" ht="11.25" customHeight="1" x14ac:dyDescent="0.15">
      <c r="D12" s="44">
        <v>1890</v>
      </c>
      <c r="E12" s="21">
        <v>2.2090000000000001</v>
      </c>
      <c r="F12" s="6">
        <f>F11+E12/1000</f>
        <v>2.209E-3</v>
      </c>
      <c r="G12" s="8">
        <f t="shared" ref="G12:G75" ca="1" si="2" xml:space="preserve"> -LN(F$1/F12-1)</f>
        <v>-10.472474486711771</v>
      </c>
      <c r="H12" s="3"/>
      <c r="I12" s="6">
        <f ca="1" xml:space="preserve"> (G12*(F$2-E$2)/LN(81) + AVERAGE(E$2:F$2) - D12)*12</f>
        <v>-438.56122385948493</v>
      </c>
      <c r="J12" s="6"/>
      <c r="K12" s="6">
        <f t="shared" ref="K12:K75" ca="1" si="3">NORMSINV(F12/F$5)</f>
        <v>-4.0265206834975569</v>
      </c>
      <c r="M12" s="282" t="s">
        <v>99</v>
      </c>
      <c r="N12" s="42">
        <v>1936</v>
      </c>
      <c r="O12" s="23">
        <f t="shared" si="0"/>
        <v>21.331364000000001</v>
      </c>
      <c r="P12" s="42">
        <f t="shared" si="1"/>
        <v>20.613</v>
      </c>
      <c r="Q12" s="65"/>
      <c r="R12" s="65"/>
      <c r="S12" s="65">
        <v>20600</v>
      </c>
      <c r="T12" s="65"/>
      <c r="U12" s="65">
        <v>13</v>
      </c>
      <c r="V12" s="65"/>
      <c r="W12" s="65"/>
      <c r="X12" s="65"/>
      <c r="Y12" s="65"/>
      <c r="Z12" s="65"/>
      <c r="AA12" s="65"/>
      <c r="AB12" s="65"/>
      <c r="AC12" s="65"/>
    </row>
    <row r="13" spans="4:29" ht="11.25" customHeight="1" x14ac:dyDescent="0.15">
      <c r="D13" s="44">
        <v>1891</v>
      </c>
      <c r="E13" s="21">
        <v>2.3740000000000001</v>
      </c>
      <c r="F13" s="6">
        <f t="shared" ref="F13:F76" si="4">F12+E13/1000</f>
        <v>4.5830000000000003E-3</v>
      </c>
      <c r="G13" s="8">
        <f t="shared" ca="1" si="2"/>
        <v>-9.7426301860070907</v>
      </c>
      <c r="I13" s="6">
        <f t="shared" ref="I13:I76" ca="1" si="5" xml:space="preserve"> (G13*(F$2-E$2)/LN(81) + AVERAGE(E$2:F$2) - D13)*12</f>
        <v>-299.15764531247169</v>
      </c>
      <c r="J13" s="6"/>
      <c r="K13" s="6">
        <f t="shared" ca="1" si="3"/>
        <v>-3.8513992511867965</v>
      </c>
      <c r="M13" s="282" t="s">
        <v>100</v>
      </c>
      <c r="N13" s="42">
        <v>1937</v>
      </c>
      <c r="O13" s="23">
        <f t="shared" si="0"/>
        <v>21.359639999999999</v>
      </c>
      <c r="P13" s="152">
        <f t="shared" si="1"/>
        <v>20.613</v>
      </c>
      <c r="Q13" s="65"/>
      <c r="R13" s="65"/>
      <c r="S13" s="65">
        <v>20600</v>
      </c>
      <c r="T13" s="65"/>
      <c r="U13" s="65">
        <v>13</v>
      </c>
      <c r="V13" s="65"/>
      <c r="W13" s="65"/>
      <c r="X13" s="65"/>
      <c r="Y13" s="65"/>
      <c r="Z13" s="65"/>
      <c r="AA13" s="65"/>
      <c r="AB13" s="65"/>
      <c r="AC13" s="65"/>
    </row>
    <row r="14" spans="4:29" ht="11.25" customHeight="1" x14ac:dyDescent="0.15">
      <c r="D14" s="44">
        <v>1892</v>
      </c>
      <c r="E14" s="21">
        <v>2.649</v>
      </c>
      <c r="F14" s="6">
        <f t="shared" si="4"/>
        <v>7.2320000000000006E-3</v>
      </c>
      <c r="G14" s="8">
        <f t="shared" ca="1" si="2"/>
        <v>-9.2864344239811683</v>
      </c>
      <c r="I14" s="6">
        <f t="shared" ca="1" si="5"/>
        <v>-216.5214731562728</v>
      </c>
      <c r="J14" s="6"/>
      <c r="K14" s="6">
        <f t="shared" ca="1" si="3"/>
        <v>-3.7382187908277418</v>
      </c>
      <c r="M14" s="282" t="s">
        <v>101</v>
      </c>
      <c r="N14" s="42">
        <v>1938</v>
      </c>
      <c r="O14" s="23">
        <f t="shared" si="0"/>
        <v>22.513231999999999</v>
      </c>
      <c r="P14" s="152">
        <f t="shared" si="1"/>
        <v>21.738</v>
      </c>
      <c r="Q14" s="65"/>
      <c r="R14" s="65"/>
      <c r="S14" s="65">
        <f>20600</f>
        <v>20600</v>
      </c>
      <c r="T14" s="65"/>
      <c r="U14" s="65">
        <v>13</v>
      </c>
      <c r="V14" s="65"/>
      <c r="W14" s="65"/>
      <c r="X14" s="65"/>
      <c r="Y14" s="65"/>
      <c r="Z14" s="65"/>
      <c r="AA14" s="65"/>
      <c r="AB14" s="65">
        <v>1125</v>
      </c>
      <c r="AC14" s="65"/>
    </row>
    <row r="15" spans="4:29" ht="11.25" customHeight="1" x14ac:dyDescent="0.15">
      <c r="D15" s="44">
        <v>1893</v>
      </c>
      <c r="E15" s="21">
        <v>2.67</v>
      </c>
      <c r="F15" s="6">
        <f t="shared" si="4"/>
        <v>9.9020000000000011E-3</v>
      </c>
      <c r="G15" s="8">
        <f t="shared" ca="1" si="2"/>
        <v>-8.9721790754073716</v>
      </c>
      <c r="I15" s="6">
        <f t="shared" ca="1" si="5"/>
        <v>-163.33032991425262</v>
      </c>
      <c r="J15" s="6"/>
      <c r="K15" s="6">
        <f t="shared" ca="1" si="3"/>
        <v>-3.6584446054832251</v>
      </c>
      <c r="M15" s="282" t="s">
        <v>102</v>
      </c>
      <c r="N15" s="42">
        <v>1948</v>
      </c>
      <c r="O15" s="23">
        <f t="shared" si="0"/>
        <v>66.153660000000002</v>
      </c>
      <c r="P15" s="152">
        <f t="shared" si="1"/>
        <v>65.043000000000006</v>
      </c>
      <c r="Q15" s="65"/>
      <c r="R15" s="65"/>
      <c r="S15" s="65">
        <f>62143+2833</f>
        <v>64976</v>
      </c>
      <c r="T15" s="65"/>
      <c r="U15" s="65">
        <v>67</v>
      </c>
      <c r="V15" s="65"/>
      <c r="W15" s="65"/>
      <c r="X15" s="65"/>
      <c r="Y15" s="65"/>
      <c r="Z15" s="65"/>
      <c r="AA15" s="65"/>
      <c r="AB15" s="65"/>
      <c r="AC15" s="65"/>
    </row>
    <row r="16" spans="4:29" ht="11.25" customHeight="1" x14ac:dyDescent="0.15">
      <c r="D16" s="44">
        <v>1894</v>
      </c>
      <c r="E16" s="21">
        <v>2.9660000000000002</v>
      </c>
      <c r="F16" s="6">
        <f t="shared" si="4"/>
        <v>1.2868000000000001E-2</v>
      </c>
      <c r="G16" s="8">
        <f t="shared" ca="1" si="2"/>
        <v>-8.7101342137797744</v>
      </c>
      <c r="I16" s="6">
        <f t="shared" ca="1" si="5"/>
        <v>-120.97006464675815</v>
      </c>
      <c r="J16" s="6"/>
      <c r="K16" s="6">
        <f t="shared" ca="1" si="3"/>
        <v>-3.5907262335956291</v>
      </c>
      <c r="M16" s="282" t="s">
        <v>104</v>
      </c>
      <c r="N16" s="12">
        <v>1952</v>
      </c>
      <c r="O16" s="23">
        <f t="shared" si="0"/>
        <v>64.562292999999997</v>
      </c>
      <c r="P16" s="152">
        <f t="shared" si="1"/>
        <v>63.311999999999998</v>
      </c>
      <c r="Q16" s="65"/>
      <c r="R16" s="65"/>
      <c r="S16" s="65">
        <f>62636+508</f>
        <v>63144</v>
      </c>
      <c r="T16" s="65"/>
      <c r="U16" s="65"/>
      <c r="V16" s="65"/>
      <c r="W16" s="65"/>
      <c r="X16" s="65">
        <v>168</v>
      </c>
      <c r="Y16" s="65"/>
      <c r="Z16" s="65"/>
      <c r="AA16" s="65"/>
      <c r="AB16" s="65"/>
      <c r="AC16" s="65"/>
    </row>
    <row r="17" spans="4:29" ht="11.25" customHeight="1" x14ac:dyDescent="0.15">
      <c r="D17" s="44">
        <v>1895</v>
      </c>
      <c r="E17" s="21">
        <v>3.726</v>
      </c>
      <c r="F17" s="6">
        <f t="shared" si="4"/>
        <v>1.6594000000000001E-2</v>
      </c>
      <c r="G17" s="8">
        <f t="shared" ca="1" si="2"/>
        <v>-8.4557888883025285</v>
      </c>
      <c r="I17" s="6">
        <f t="shared" ca="1" si="5"/>
        <v>-80.20704049656706</v>
      </c>
      <c r="J17" s="6"/>
      <c r="K17" s="6">
        <f t="shared" ca="1" si="3"/>
        <v>-3.5239022718772106</v>
      </c>
      <c r="M17" s="285" t="s">
        <v>105</v>
      </c>
      <c r="N17" s="12">
        <v>1954</v>
      </c>
      <c r="O17" s="23">
        <f t="shared" si="0"/>
        <v>65.430942000000002</v>
      </c>
      <c r="P17" s="152">
        <f t="shared" si="1"/>
        <v>64.099000000000004</v>
      </c>
      <c r="Q17" s="65"/>
      <c r="R17" s="65"/>
      <c r="S17" s="65">
        <f>62427+508</f>
        <v>62935</v>
      </c>
      <c r="T17" s="65"/>
      <c r="U17" s="65"/>
      <c r="V17" s="65"/>
      <c r="W17" s="65"/>
      <c r="X17" s="65">
        <v>164</v>
      </c>
      <c r="Y17" s="65"/>
      <c r="Z17" s="65"/>
      <c r="AA17" s="65"/>
      <c r="AB17" s="65">
        <v>1000</v>
      </c>
      <c r="AC17" s="65"/>
    </row>
    <row r="18" spans="4:29" ht="11.25" customHeight="1" x14ac:dyDescent="0.15">
      <c r="D18" s="44">
        <v>1896</v>
      </c>
      <c r="E18" s="21">
        <v>4.07</v>
      </c>
      <c r="F18" s="6">
        <f t="shared" si="4"/>
        <v>2.0664000000000002E-2</v>
      </c>
      <c r="G18" s="8">
        <f t="shared" ca="1" si="2"/>
        <v>-8.2363848549959719</v>
      </c>
      <c r="I18" s="6">
        <f t="shared" ca="1" si="5"/>
        <v>-46.692461896461282</v>
      </c>
      <c r="J18" s="6"/>
      <c r="K18" s="6">
        <f t="shared" ca="1" si="3"/>
        <v>-3.4653510995405905</v>
      </c>
      <c r="M18" s="284" t="s">
        <v>107</v>
      </c>
      <c r="N18" s="12">
        <v>1960</v>
      </c>
      <c r="O18" s="23">
        <f t="shared" si="0"/>
        <v>129.93120250000001</v>
      </c>
      <c r="P18" s="152">
        <f t="shared" si="1"/>
        <v>128.32167000000001</v>
      </c>
      <c r="Q18" s="65"/>
      <c r="R18" s="65"/>
      <c r="S18" s="65">
        <f>124974+2077</f>
        <v>127051</v>
      </c>
      <c r="T18" s="65"/>
      <c r="U18" s="65">
        <v>29</v>
      </c>
      <c r="V18" s="65"/>
      <c r="W18" s="65"/>
      <c r="X18" s="65">
        <f>163.3+8</f>
        <v>171.3</v>
      </c>
      <c r="Y18" s="65">
        <v>35.369999999999997</v>
      </c>
      <c r="Z18" s="65"/>
      <c r="AA18" s="65">
        <v>35</v>
      </c>
      <c r="AB18" s="65">
        <v>1000</v>
      </c>
      <c r="AC18" s="65"/>
    </row>
    <row r="19" spans="4:29" ht="11.25" customHeight="1" x14ac:dyDescent="0.15">
      <c r="D19" s="44">
        <v>1897</v>
      </c>
      <c r="E19" s="21">
        <v>4.3140000000000001</v>
      </c>
      <c r="F19" s="6">
        <f t="shared" si="4"/>
        <v>2.4978E-2</v>
      </c>
      <c r="G19" s="8">
        <f t="shared" ca="1" si="2"/>
        <v>-8.0467271814808576</v>
      </c>
      <c r="I19" s="6">
        <f t="shared" ca="1" si="5"/>
        <v>-19.348658784805593</v>
      </c>
      <c r="J19" s="6"/>
      <c r="K19" s="6">
        <f t="shared" ca="1" si="3"/>
        <v>-3.4140317892427139</v>
      </c>
      <c r="M19" s="284" t="s">
        <v>109</v>
      </c>
      <c r="N19" s="12">
        <v>1968</v>
      </c>
      <c r="O19" s="23">
        <f t="shared" si="0"/>
        <v>116.02611750000001</v>
      </c>
      <c r="P19" s="152">
        <f t="shared" si="1"/>
        <v>113.84830000000001</v>
      </c>
      <c r="Q19" s="65">
        <f>85</f>
        <v>85</v>
      </c>
      <c r="R19" s="65"/>
      <c r="S19" s="65">
        <f>106260 + 2063</f>
        <v>108323</v>
      </c>
      <c r="T19" s="65">
        <f>845</f>
        <v>845</v>
      </c>
      <c r="U19" s="65"/>
      <c r="V19" s="65">
        <f>21 + 265</f>
        <v>286</v>
      </c>
      <c r="W19" s="65"/>
      <c r="X19" s="65">
        <f>1661 + 280</f>
        <v>1941</v>
      </c>
      <c r="Y19" s="65">
        <v>88</v>
      </c>
      <c r="Z19" s="65">
        <f>260 + 20.3</f>
        <v>280.3</v>
      </c>
      <c r="AA19" s="65"/>
      <c r="AB19" s="65">
        <f>1000</f>
        <v>1000</v>
      </c>
      <c r="AC19" s="65">
        <v>1000</v>
      </c>
    </row>
    <row r="20" spans="4:29" ht="11.25" customHeight="1" x14ac:dyDescent="0.15">
      <c r="D20" s="44">
        <v>1898</v>
      </c>
      <c r="E20" s="21">
        <v>5.0940000000000003</v>
      </c>
      <c r="F20" s="6">
        <f t="shared" si="4"/>
        <v>3.0072000000000002E-2</v>
      </c>
      <c r="G20" s="8">
        <f t="shared" ca="1" si="2"/>
        <v>-7.86106281971675</v>
      </c>
      <c r="I20" s="6">
        <f t="shared" ca="1" si="5"/>
        <v>7.1667461482647923</v>
      </c>
      <c r="J20" s="6"/>
      <c r="K20" s="6">
        <f t="shared" ca="1" si="3"/>
        <v>-3.3631334894322311</v>
      </c>
      <c r="M20" s="284" t="s">
        <v>8</v>
      </c>
      <c r="N20" s="12">
        <v>1974</v>
      </c>
      <c r="O20" s="23">
        <f t="shared" si="0"/>
        <v>16.691330499999999</v>
      </c>
      <c r="P20" s="152">
        <f t="shared" si="1"/>
        <v>13.997</v>
      </c>
      <c r="Q20" s="65">
        <v>0</v>
      </c>
      <c r="R20" s="65">
        <v>554</v>
      </c>
      <c r="S20" s="65">
        <v>11580</v>
      </c>
      <c r="T20" s="65">
        <v>1060</v>
      </c>
      <c r="U20" s="65">
        <v>0</v>
      </c>
      <c r="V20" s="65">
        <v>7</v>
      </c>
      <c r="W20" s="65"/>
      <c r="X20" s="65">
        <v>172</v>
      </c>
      <c r="Y20" s="65">
        <v>46</v>
      </c>
      <c r="Z20" s="65">
        <v>261</v>
      </c>
      <c r="AA20" s="65">
        <v>118</v>
      </c>
      <c r="AB20" s="65">
        <v>6</v>
      </c>
      <c r="AC20" s="65">
        <v>193</v>
      </c>
    </row>
    <row r="21" spans="4:29" ht="11.25" customHeight="1" x14ac:dyDescent="0.15">
      <c r="D21" s="44">
        <v>1899</v>
      </c>
      <c r="E21" s="21">
        <v>5.6669999999999998</v>
      </c>
      <c r="F21" s="6">
        <f t="shared" si="4"/>
        <v>3.5739E-2</v>
      </c>
      <c r="G21" s="8">
        <f t="shared" ca="1" si="2"/>
        <v>-7.688342154045583</v>
      </c>
      <c r="I21" s="6">
        <f t="shared" ca="1" si="5"/>
        <v>30.997027821202209</v>
      </c>
      <c r="J21" s="6"/>
      <c r="K21" s="6">
        <f t="shared" ca="1" si="3"/>
        <v>-3.3151759630978463</v>
      </c>
      <c r="M21" s="282" t="s">
        <v>9</v>
      </c>
      <c r="N21" s="12">
        <v>1986</v>
      </c>
      <c r="O21" s="23">
        <f t="shared" si="0"/>
        <v>20.556493889452394</v>
      </c>
      <c r="P21" s="152">
        <f t="shared" si="1"/>
        <v>16.349699999999999</v>
      </c>
      <c r="Q21" s="65">
        <v>66</v>
      </c>
      <c r="R21" s="65">
        <f>742</f>
        <v>742</v>
      </c>
      <c r="S21" s="65">
        <f>12610 + 1508</f>
        <v>14118</v>
      </c>
      <c r="T21" s="65">
        <f>10.9 + 440.5</f>
        <v>451.4</v>
      </c>
      <c r="U21" s="65">
        <v>0</v>
      </c>
      <c r="V21" s="65">
        <v>2.2999999999999998</v>
      </c>
      <c r="W21" s="65"/>
      <c r="X21" s="65">
        <v>645</v>
      </c>
      <c r="Y21" s="65">
        <v>82</v>
      </c>
      <c r="Z21" s="65">
        <v>140</v>
      </c>
      <c r="AA21" s="65">
        <v>103</v>
      </c>
      <c r="AB21" s="65"/>
      <c r="AC21" s="65"/>
    </row>
    <row r="22" spans="4:29" ht="11.25" customHeight="1" x14ac:dyDescent="0.15">
      <c r="D22" s="44">
        <v>1900</v>
      </c>
      <c r="E22" s="21">
        <v>6.6630000000000003</v>
      </c>
      <c r="F22" s="6">
        <f t="shared" si="4"/>
        <v>4.2402000000000002E-2</v>
      </c>
      <c r="G22" s="8">
        <f t="shared" ca="1" si="2"/>
        <v>-7.5173037361688531</v>
      </c>
      <c r="I22" s="6">
        <f t="shared" ca="1" si="5"/>
        <v>54.478333231896613</v>
      </c>
      <c r="J22" s="6"/>
      <c r="K22" s="6">
        <f t="shared" ca="1" si="3"/>
        <v>-3.2670872484342603</v>
      </c>
      <c r="M22" s="282" t="s">
        <v>11</v>
      </c>
      <c r="N22" s="12">
        <v>1989</v>
      </c>
      <c r="O22" s="23">
        <f t="shared" si="0"/>
        <v>71.892781881560623</v>
      </c>
      <c r="P22" s="152">
        <f t="shared" si="1"/>
        <v>67.111000000000004</v>
      </c>
      <c r="Q22" s="65">
        <v>66</v>
      </c>
      <c r="R22" s="65"/>
      <c r="S22" s="65">
        <v>62548</v>
      </c>
      <c r="T22" s="65">
        <v>3000</v>
      </c>
      <c r="U22" s="65">
        <v>4</v>
      </c>
      <c r="V22" s="65">
        <v>2</v>
      </c>
      <c r="W22" s="65"/>
      <c r="X22" s="65">
        <v>102</v>
      </c>
      <c r="Y22" s="65">
        <v>82</v>
      </c>
      <c r="Z22" s="65">
        <v>200</v>
      </c>
      <c r="AA22" s="65">
        <v>914</v>
      </c>
      <c r="AB22" s="65"/>
      <c r="AC22" s="65">
        <v>193</v>
      </c>
    </row>
    <row r="23" spans="4:29" ht="11.25" customHeight="1" x14ac:dyDescent="0.15">
      <c r="D23" s="44">
        <v>1901</v>
      </c>
      <c r="E23" s="21">
        <v>7.2759999999999998</v>
      </c>
      <c r="F23" s="6">
        <f t="shared" si="4"/>
        <v>4.9678E-2</v>
      </c>
      <c r="G23" s="8">
        <f t="shared" ca="1" si="2"/>
        <v>-7.3588438048175719</v>
      </c>
      <c r="I23" s="6">
        <f t="shared" ca="1" si="5"/>
        <v>75.350276795384161</v>
      </c>
      <c r="J23" s="6"/>
      <c r="K23" s="6">
        <f t="shared" ca="1" si="3"/>
        <v>-3.2219849871610426</v>
      </c>
      <c r="M23" s="157" t="s">
        <v>12</v>
      </c>
      <c r="N23" s="149">
        <v>1992</v>
      </c>
      <c r="O23" s="23">
        <f t="shared" si="0"/>
        <v>102.35241187394723</v>
      </c>
      <c r="P23" s="152">
        <f t="shared" si="1"/>
        <v>96.846299999999999</v>
      </c>
      <c r="Q23" s="65" t="s">
        <v>98</v>
      </c>
      <c r="R23" s="65"/>
      <c r="S23" s="65">
        <v>62548</v>
      </c>
      <c r="T23" s="65">
        <v>32063</v>
      </c>
      <c r="U23" s="65">
        <v>4</v>
      </c>
      <c r="V23" s="65">
        <v>2.2999999999999998</v>
      </c>
      <c r="W23" s="65"/>
      <c r="X23" s="65">
        <v>524</v>
      </c>
      <c r="Y23" s="65">
        <v>263</v>
      </c>
      <c r="Z23" s="65">
        <v>100</v>
      </c>
      <c r="AA23" s="65">
        <v>999</v>
      </c>
      <c r="AB23" s="65">
        <v>150</v>
      </c>
      <c r="AC23" s="65">
        <v>193</v>
      </c>
    </row>
    <row r="24" spans="4:29" ht="11.25" customHeight="1" x14ac:dyDescent="0.15">
      <c r="D24" s="44">
        <v>1902</v>
      </c>
      <c r="E24" s="21">
        <v>8.1639999999999997</v>
      </c>
      <c r="F24" s="6">
        <f t="shared" si="4"/>
        <v>5.7841999999999998E-2</v>
      </c>
      <c r="G24" s="8">
        <f t="shared" ca="1" si="2"/>
        <v>-7.2065861503553492</v>
      </c>
      <c r="I24" s="6">
        <f t="shared" ca="1" si="5"/>
        <v>94.935580297100387</v>
      </c>
      <c r="J24" s="6"/>
      <c r="K24" s="6">
        <f t="shared" ca="1" si="3"/>
        <v>-3.1781324316811648</v>
      </c>
      <c r="M24" s="157" t="s">
        <v>13</v>
      </c>
      <c r="N24" s="46">
        <v>1995</v>
      </c>
      <c r="O24" s="23">
        <f t="shared" si="0"/>
        <v>110.92845626468008</v>
      </c>
      <c r="P24" s="152">
        <f t="shared" si="1"/>
        <v>104.52030000000001</v>
      </c>
      <c r="Q24" s="65">
        <v>66</v>
      </c>
      <c r="R24" s="65"/>
      <c r="S24" s="65">
        <v>69947</v>
      </c>
      <c r="T24" s="65">
        <v>32063</v>
      </c>
      <c r="U24" s="65">
        <v>4</v>
      </c>
      <c r="V24" s="65">
        <v>2.2999999999999998</v>
      </c>
      <c r="W24" s="65"/>
      <c r="X24" s="65">
        <v>734</v>
      </c>
      <c r="Y24" s="65">
        <v>263</v>
      </c>
      <c r="Z24" s="65">
        <v>99</v>
      </c>
      <c r="AA24" s="65">
        <v>999</v>
      </c>
      <c r="AB24" s="65">
        <v>150</v>
      </c>
      <c r="AC24" s="65">
        <v>193</v>
      </c>
    </row>
    <row r="25" spans="4:29" ht="11.25" customHeight="1" x14ac:dyDescent="0.15">
      <c r="D25" s="44">
        <v>1903</v>
      </c>
      <c r="E25" s="21">
        <v>8.1519999999999992</v>
      </c>
      <c r="F25" s="6">
        <f t="shared" si="4"/>
        <v>6.5993999999999997E-2</v>
      </c>
      <c r="G25" s="8">
        <f t="shared" ca="1" si="2"/>
        <v>-7.0746329416514246</v>
      </c>
      <c r="I25" s="6">
        <f t="shared" ca="1" si="5"/>
        <v>110.30879946075765</v>
      </c>
      <c r="J25" s="6"/>
      <c r="K25" s="6">
        <f t="shared" ca="1" si="3"/>
        <v>-3.1397059334320807</v>
      </c>
      <c r="M25" s="157" t="s">
        <v>14</v>
      </c>
      <c r="N25" s="46">
        <v>1998</v>
      </c>
      <c r="O25" s="23">
        <f t="shared" si="0"/>
        <v>93.099204252776886</v>
      </c>
      <c r="P25" s="152">
        <f t="shared" si="1"/>
        <v>85.598300000000009</v>
      </c>
      <c r="Q25" s="65">
        <v>66</v>
      </c>
      <c r="R25" s="65"/>
      <c r="S25" s="65">
        <v>74733</v>
      </c>
      <c r="T25" s="65">
        <v>5220</v>
      </c>
      <c r="U25" s="65">
        <v>4</v>
      </c>
      <c r="V25" s="65">
        <v>2.2999999999999998</v>
      </c>
      <c r="W25" s="65">
        <v>2</v>
      </c>
      <c r="X25" s="65">
        <v>2928</v>
      </c>
      <c r="Y25" s="65">
        <v>299</v>
      </c>
      <c r="Z25" s="65">
        <v>1</v>
      </c>
      <c r="AA25" s="65">
        <v>2000</v>
      </c>
      <c r="AB25" s="65">
        <v>150</v>
      </c>
      <c r="AC25" s="65">
        <v>193</v>
      </c>
    </row>
    <row r="26" spans="4:29" ht="11.25" customHeight="1" x14ac:dyDescent="0.15">
      <c r="D26" s="44">
        <v>1904</v>
      </c>
      <c r="E26" s="21">
        <v>8.9290000000000003</v>
      </c>
      <c r="F26" s="6">
        <f t="shared" si="4"/>
        <v>7.492299999999999E-2</v>
      </c>
      <c r="G26" s="8">
        <f t="shared" ca="1" si="2"/>
        <v>-6.947621339445746</v>
      </c>
      <c r="I26" s="6">
        <f t="shared" ca="1" si="5"/>
        <v>124.65690010683193</v>
      </c>
      <c r="J26" s="6"/>
      <c r="K26" s="6">
        <f t="shared" ca="1" si="3"/>
        <v>-3.102337183194622</v>
      </c>
      <c r="M26" s="157" t="s">
        <v>15</v>
      </c>
      <c r="N26" s="155">
        <v>2001</v>
      </c>
      <c r="O26" s="23">
        <f t="shared" si="0"/>
        <v>104.32320219673429</v>
      </c>
      <c r="P26" s="152">
        <f t="shared" si="1"/>
        <v>95.566299999999998</v>
      </c>
      <c r="Q26" s="65">
        <v>66</v>
      </c>
      <c r="R26" s="65"/>
      <c r="S26" s="65">
        <v>84396</v>
      </c>
      <c r="T26" s="65">
        <v>5370</v>
      </c>
      <c r="U26" s="65">
        <v>4</v>
      </c>
      <c r="V26" s="65">
        <v>2.2999999999999998</v>
      </c>
      <c r="W26" s="65">
        <v>2</v>
      </c>
      <c r="X26" s="65">
        <v>2265</v>
      </c>
      <c r="Y26" s="65">
        <v>332</v>
      </c>
      <c r="Z26" s="65">
        <v>1</v>
      </c>
      <c r="AA26" s="65">
        <v>1268</v>
      </c>
      <c r="AB26" s="65">
        <v>150</v>
      </c>
      <c r="AC26" s="65">
        <v>1710</v>
      </c>
    </row>
    <row r="27" spans="4:29" ht="11.25" customHeight="1" x14ac:dyDescent="0.15">
      <c r="D27" s="44">
        <v>1905</v>
      </c>
      <c r="E27" s="21">
        <v>9.2520000000000007</v>
      </c>
      <c r="F27" s="6">
        <f t="shared" si="4"/>
        <v>8.4174999999999986E-2</v>
      </c>
      <c r="G27" s="8">
        <f t="shared" ca="1" si="2"/>
        <v>-6.8310656261581357</v>
      </c>
      <c r="I27" s="6">
        <f t="shared" ca="1" si="5"/>
        <v>136.8359641548841</v>
      </c>
      <c r="J27" s="6"/>
      <c r="K27" s="6">
        <f t="shared" ca="1" si="3"/>
        <v>-3.0677063329635454</v>
      </c>
      <c r="M27" s="157" t="s">
        <v>16</v>
      </c>
      <c r="N27" s="156">
        <v>2004</v>
      </c>
      <c r="O27" s="23">
        <f t="shared" si="0"/>
        <v>112.87894609919852</v>
      </c>
      <c r="P27" s="152">
        <f t="shared" si="1"/>
        <v>102.69630000000001</v>
      </c>
      <c r="Q27" s="65">
        <v>66</v>
      </c>
      <c r="R27" s="65"/>
      <c r="S27" s="65">
        <v>92445</v>
      </c>
      <c r="T27" s="65">
        <v>4968</v>
      </c>
      <c r="U27" s="65">
        <v>4</v>
      </c>
      <c r="V27" s="65">
        <v>2.2999999999999998</v>
      </c>
      <c r="W27" s="65">
        <v>1</v>
      </c>
      <c r="X27" s="65">
        <v>3050</v>
      </c>
      <c r="Y27" s="65">
        <v>236</v>
      </c>
      <c r="Z27" s="65">
        <v>1</v>
      </c>
      <c r="AA27" s="65">
        <v>1354</v>
      </c>
      <c r="AB27" s="65">
        <v>150</v>
      </c>
      <c r="AC27" s="65">
        <v>419</v>
      </c>
    </row>
    <row r="28" spans="4:29" ht="11.25" customHeight="1" x14ac:dyDescent="0.15">
      <c r="D28" s="44">
        <v>1906</v>
      </c>
      <c r="E28" s="21">
        <v>10.731</v>
      </c>
      <c r="F28" s="6">
        <f t="shared" si="4"/>
        <v>9.490599999999999E-2</v>
      </c>
      <c r="G28" s="8">
        <f t="shared" ca="1" si="2"/>
        <v>-6.7109390078675819</v>
      </c>
      <c r="I28" s="6">
        <f t="shared" ca="1" si="5"/>
        <v>149.75579961893982</v>
      </c>
      <c r="J28" s="6"/>
      <c r="K28" s="6">
        <f t="shared" ca="1" si="3"/>
        <v>-3.0316662435190289</v>
      </c>
      <c r="M28" s="157" t="s">
        <v>17</v>
      </c>
      <c r="N28" s="156">
        <v>2007</v>
      </c>
      <c r="O28" s="23">
        <f t="shared" si="0"/>
        <v>78.04514464006121</v>
      </c>
      <c r="P28" s="152">
        <f t="shared" si="1"/>
        <v>66.088300000000004</v>
      </c>
      <c r="Q28" s="65">
        <v>66</v>
      </c>
      <c r="R28" s="65"/>
      <c r="S28" s="65">
        <v>56498</v>
      </c>
      <c r="T28" s="65">
        <v>4328</v>
      </c>
      <c r="U28" s="65">
        <v>4</v>
      </c>
      <c r="V28" s="65">
        <v>2.2999999999999998</v>
      </c>
      <c r="W28" s="65">
        <v>1</v>
      </c>
      <c r="X28" s="65">
        <v>1982</v>
      </c>
      <c r="Y28" s="65">
        <v>316</v>
      </c>
      <c r="Z28" s="65">
        <v>1</v>
      </c>
      <c r="AA28" s="65">
        <v>1354</v>
      </c>
      <c r="AB28" s="65">
        <v>150</v>
      </c>
      <c r="AC28" s="65">
        <v>1386</v>
      </c>
    </row>
    <row r="29" spans="4:29" ht="11.25" customHeight="1" x14ac:dyDescent="0.15">
      <c r="D29" s="44">
        <v>1907</v>
      </c>
      <c r="E29" s="21">
        <v>12.186999999999999</v>
      </c>
      <c r="F29" s="6">
        <f t="shared" si="4"/>
        <v>0.10709299999999999</v>
      </c>
      <c r="G29" s="8">
        <f t="shared" ca="1" si="2"/>
        <v>-6.5899719645367236</v>
      </c>
      <c r="I29" s="6">
        <f t="shared" ca="1" si="5"/>
        <v>162.8499782387662</v>
      </c>
      <c r="J29" s="6"/>
      <c r="K29" s="6">
        <f t="shared" ca="1" si="3"/>
        <v>-2.9950069405407667</v>
      </c>
      <c r="M29" s="341" t="s">
        <v>297</v>
      </c>
      <c r="N29" s="42">
        <v>2010</v>
      </c>
      <c r="O29" s="23">
        <f t="shared" si="0"/>
        <v>86.229174632369038</v>
      </c>
      <c r="P29" s="56">
        <v>71.978999999999999</v>
      </c>
      <c r="Q29" s="65"/>
      <c r="R29" s="65"/>
      <c r="S29" s="65"/>
      <c r="T29" s="65"/>
      <c r="U29" s="65"/>
      <c r="V29" s="65"/>
      <c r="W29" s="65"/>
      <c r="X29" s="65"/>
      <c r="Y29" s="65"/>
      <c r="Z29" s="65"/>
      <c r="AA29" s="65"/>
      <c r="AB29" s="65"/>
      <c r="AC29" s="65"/>
    </row>
    <row r="30" spans="4:29" ht="11.25" customHeight="1" x14ac:dyDescent="0.15">
      <c r="D30" s="44">
        <v>1908</v>
      </c>
      <c r="E30" s="21">
        <v>13.914</v>
      </c>
      <c r="F30" s="6">
        <f t="shared" si="4"/>
        <v>0.12100699999999999</v>
      </c>
      <c r="G30" s="8">
        <f t="shared" ca="1" si="2"/>
        <v>-6.4676426428736589</v>
      </c>
      <c r="I30" s="6">
        <f t="shared" ca="1" si="5"/>
        <v>176.22675660523782</v>
      </c>
      <c r="J30" s="6"/>
      <c r="K30" s="6">
        <f t="shared" ca="1" si="3"/>
        <v>-2.9575495725144845</v>
      </c>
      <c r="Q30" s="65"/>
      <c r="R30" s="65"/>
      <c r="S30" s="65"/>
      <c r="T30" s="65"/>
      <c r="U30" s="65"/>
      <c r="V30" s="65"/>
      <c r="W30" s="65"/>
      <c r="X30" s="65"/>
      <c r="Y30" s="65"/>
      <c r="Z30" s="65"/>
      <c r="AA30" s="65"/>
      <c r="AB30" s="65"/>
      <c r="AC30" s="65"/>
    </row>
    <row r="31" spans="4:29" ht="11.25" customHeight="1" x14ac:dyDescent="0.15">
      <c r="D31" s="44">
        <v>1909</v>
      </c>
      <c r="E31" s="21">
        <v>13.153</v>
      </c>
      <c r="F31" s="6">
        <f t="shared" si="4"/>
        <v>0.13416</v>
      </c>
      <c r="G31" s="8">
        <f t="shared" ca="1" si="2"/>
        <v>-6.3642891139031255</v>
      </c>
      <c r="I31" s="6">
        <f t="shared" ca="1" si="5"/>
        <v>185.66707493956528</v>
      </c>
      <c r="J31" s="6"/>
      <c r="K31" s="6">
        <f t="shared" ca="1" si="3"/>
        <v>-2.9255924413848744</v>
      </c>
      <c r="Q31" s="65"/>
      <c r="R31" s="65"/>
      <c r="S31" s="65"/>
      <c r="T31" s="65"/>
      <c r="U31" s="65"/>
      <c r="V31" s="65"/>
      <c r="W31" s="65"/>
      <c r="X31" s="65"/>
      <c r="Y31" s="65"/>
      <c r="Z31" s="65"/>
      <c r="AA31" s="65"/>
      <c r="AB31" s="65"/>
      <c r="AC31" s="65"/>
    </row>
    <row r="32" spans="4:29" ht="11.25" customHeight="1" x14ac:dyDescent="0.15">
      <c r="D32" s="44">
        <v>1910</v>
      </c>
      <c r="E32" s="21">
        <v>13.544</v>
      </c>
      <c r="F32" s="6">
        <f t="shared" si="4"/>
        <v>0.147704</v>
      </c>
      <c r="G32" s="8">
        <f t="shared" ca="1" si="2"/>
        <v>-6.2679381057977102</v>
      </c>
      <c r="I32" s="6">
        <f t="shared" ca="1" si="5"/>
        <v>193.65474547379563</v>
      </c>
      <c r="J32" s="6"/>
      <c r="K32" s="6">
        <f t="shared" ca="1" si="3"/>
        <v>-2.8955380553191641</v>
      </c>
      <c r="Q32" s="65"/>
      <c r="R32" s="65"/>
      <c r="S32" s="65"/>
      <c r="T32" s="65"/>
      <c r="U32" s="65"/>
      <c r="V32" s="65"/>
      <c r="W32" s="65"/>
      <c r="X32" s="65"/>
      <c r="Y32" s="65"/>
      <c r="Z32" s="65"/>
      <c r="AA32" s="65"/>
      <c r="AB32" s="65"/>
      <c r="AC32" s="65"/>
    </row>
    <row r="33" spans="4:29" ht="11.25" customHeight="1" x14ac:dyDescent="0.15">
      <c r="D33" s="44">
        <v>1911</v>
      </c>
      <c r="E33" s="21">
        <v>14.237</v>
      </c>
      <c r="F33" s="6">
        <f t="shared" si="4"/>
        <v>0.161941</v>
      </c>
      <c r="G33" s="8">
        <f t="shared" ca="1" si="2"/>
        <v>-6.1757335228686046</v>
      </c>
      <c r="I33" s="6">
        <f t="shared" ca="1" si="5"/>
        <v>200.78225499935161</v>
      </c>
      <c r="J33" s="6"/>
      <c r="K33" s="6">
        <f t="shared" ca="1" si="3"/>
        <v>-2.8665343317093068</v>
      </c>
      <c r="Q33" s="65"/>
      <c r="R33" s="65"/>
      <c r="S33" s="65"/>
      <c r="T33" s="65"/>
      <c r="U33" s="65"/>
      <c r="V33" s="65"/>
      <c r="W33" s="65"/>
      <c r="X33" s="65"/>
      <c r="Y33" s="65"/>
      <c r="Z33" s="65"/>
      <c r="AA33" s="65"/>
      <c r="AB33" s="65"/>
      <c r="AC33" s="65"/>
    </row>
    <row r="34" spans="4:29" ht="11.25" customHeight="1" x14ac:dyDescent="0.15">
      <c r="D34" s="44">
        <v>1912</v>
      </c>
      <c r="E34" s="21">
        <v>16.268999999999998</v>
      </c>
      <c r="F34" s="6">
        <f t="shared" si="4"/>
        <v>0.17821000000000001</v>
      </c>
      <c r="G34" s="8">
        <f t="shared" ca="1" si="2"/>
        <v>-6.0797940525163119</v>
      </c>
      <c r="I34" s="6">
        <f t="shared" ca="1" si="5"/>
        <v>208.68455350496151</v>
      </c>
      <c r="J34" s="6"/>
      <c r="K34" s="6">
        <f t="shared" ca="1" si="3"/>
        <v>-2.8360979331034835</v>
      </c>
      <c r="Q34" s="65"/>
      <c r="R34" s="65"/>
      <c r="S34" s="65"/>
      <c r="T34" s="65"/>
      <c r="U34" s="65"/>
      <c r="V34" s="65"/>
      <c r="W34" s="65"/>
      <c r="X34" s="65"/>
      <c r="Y34" s="65"/>
      <c r="Z34" s="65"/>
      <c r="AA34" s="65"/>
      <c r="AB34" s="65"/>
      <c r="AC34" s="65"/>
    </row>
    <row r="35" spans="4:29" ht="11.25" customHeight="1" x14ac:dyDescent="0.15">
      <c r="D35" s="44">
        <v>1913</v>
      </c>
      <c r="E35" s="21">
        <v>17.861000000000001</v>
      </c>
      <c r="F35" s="6">
        <f t="shared" si="4"/>
        <v>0.196071</v>
      </c>
      <c r="G35" s="8">
        <f t="shared" ca="1" si="2"/>
        <v>-5.9840504393649869</v>
      </c>
      <c r="I35" s="6">
        <f t="shared" ca="1" si="5"/>
        <v>216.54622213775929</v>
      </c>
      <c r="J35" s="6"/>
      <c r="K35" s="6">
        <f t="shared" ca="1" si="3"/>
        <v>-2.8054553999175535</v>
      </c>
      <c r="Q35" s="65"/>
      <c r="R35" s="65"/>
      <c r="S35" s="65"/>
      <c r="T35" s="65"/>
      <c r="U35" s="65"/>
      <c r="V35" s="65"/>
      <c r="W35" s="65"/>
      <c r="X35" s="65"/>
      <c r="Y35" s="65"/>
      <c r="Z35" s="65"/>
      <c r="AA35" s="65"/>
      <c r="AB35" s="65"/>
      <c r="AC35" s="65"/>
    </row>
    <row r="36" spans="4:29" ht="11.25" customHeight="1" x14ac:dyDescent="0.15">
      <c r="D36" s="44">
        <v>1914</v>
      </c>
      <c r="E36" s="21">
        <v>18.312999999999999</v>
      </c>
      <c r="F36" s="6">
        <f t="shared" si="4"/>
        <v>0.21438399999999999</v>
      </c>
      <c r="G36" s="8">
        <f t="shared" ca="1" si="2"/>
        <v>-5.8945232134554191</v>
      </c>
      <c r="I36" s="6">
        <f t="shared" ca="1" si="5"/>
        <v>223.11832356680043</v>
      </c>
      <c r="J36" s="6"/>
      <c r="K36" s="6">
        <f t="shared" ca="1" si="3"/>
        <v>-2.7765542892206749</v>
      </c>
      <c r="Q36" s="65"/>
      <c r="R36" s="65"/>
      <c r="S36" s="65"/>
      <c r="T36" s="65"/>
      <c r="U36" s="65"/>
      <c r="V36" s="65"/>
      <c r="W36" s="65"/>
      <c r="X36" s="65"/>
      <c r="Y36" s="65"/>
      <c r="Z36" s="65"/>
      <c r="AA36" s="65"/>
      <c r="AB36" s="65"/>
      <c r="AC36" s="65"/>
    </row>
    <row r="37" spans="4:29" ht="11.25" customHeight="1" x14ac:dyDescent="0.15">
      <c r="D37" s="44">
        <v>1915</v>
      </c>
      <c r="E37" s="21">
        <v>19.045000000000002</v>
      </c>
      <c r="F37" s="6">
        <f t="shared" si="4"/>
        <v>0.233429</v>
      </c>
      <c r="G37" s="8">
        <f t="shared" ca="1" si="2"/>
        <v>-5.8091693231143697</v>
      </c>
      <c r="I37" s="6">
        <f t="shared" ca="1" si="5"/>
        <v>228.82468152296588</v>
      </c>
      <c r="J37" s="6"/>
      <c r="K37" s="6">
        <f t="shared" ca="1" si="3"/>
        <v>-2.7487720668326729</v>
      </c>
    </row>
    <row r="38" spans="4:29" ht="11.25" customHeight="1" x14ac:dyDescent="0.15">
      <c r="D38" s="44">
        <v>1916</v>
      </c>
      <c r="E38" s="21">
        <v>19.591999999999999</v>
      </c>
      <c r="F38" s="6">
        <f t="shared" si="4"/>
        <v>0.253021</v>
      </c>
      <c r="G38" s="8">
        <f t="shared" ca="1" si="2"/>
        <v>-5.7283229772464379</v>
      </c>
      <c r="I38" s="6">
        <f t="shared" ca="1" si="5"/>
        <v>233.59596556949055</v>
      </c>
      <c r="J38" s="6"/>
      <c r="K38" s="6">
        <f t="shared" ca="1" si="3"/>
        <v>-2.7222470415664537</v>
      </c>
    </row>
    <row r="39" spans="4:29" ht="11.25" customHeight="1" x14ac:dyDescent="0.15">
      <c r="D39" s="44">
        <v>1917</v>
      </c>
      <c r="E39" s="21">
        <v>20.797000000000001</v>
      </c>
      <c r="F39" s="6">
        <f t="shared" si="4"/>
        <v>0.27381800000000001</v>
      </c>
      <c r="G39" s="8">
        <f t="shared" ca="1" si="2"/>
        <v>-5.6490644379395629</v>
      </c>
      <c r="I39" s="6">
        <f t="shared" ca="1" si="5"/>
        <v>238.03786484839657</v>
      </c>
      <c r="J39" s="6"/>
      <c r="K39" s="6">
        <f t="shared" ca="1" si="3"/>
        <v>-2.6960405158540004</v>
      </c>
    </row>
    <row r="40" spans="4:29" ht="11.25" customHeight="1" x14ac:dyDescent="0.15">
      <c r="D40" s="44">
        <v>1918</v>
      </c>
      <c r="E40" s="21">
        <v>23.544</v>
      </c>
      <c r="F40" s="6">
        <f t="shared" si="4"/>
        <v>0.29736200000000002</v>
      </c>
      <c r="G40" s="8">
        <f t="shared" ca="1" si="2"/>
        <v>-5.56627505871535</v>
      </c>
      <c r="I40" s="6">
        <f t="shared" ca="1" si="5"/>
        <v>243.21222418521666</v>
      </c>
      <c r="J40" s="6"/>
      <c r="K40" s="6">
        <f t="shared" ca="1" si="3"/>
        <v>-2.6684480484915478</v>
      </c>
    </row>
    <row r="41" spans="4:29" ht="11.25" customHeight="1" x14ac:dyDescent="0.15">
      <c r="D41" s="44">
        <v>1919</v>
      </c>
      <c r="E41" s="21">
        <v>30.928000000000001</v>
      </c>
      <c r="F41" s="6">
        <f t="shared" si="4"/>
        <v>0.32829000000000003</v>
      </c>
      <c r="G41" s="8">
        <f t="shared" ca="1" si="2"/>
        <v>-5.4669300681681658</v>
      </c>
      <c r="I41" s="6">
        <f t="shared" ca="1" si="5"/>
        <v>251.82098562247029</v>
      </c>
      <c r="J41" s="6"/>
      <c r="K41" s="6">
        <f t="shared" ca="1" si="3"/>
        <v>-2.6350365181108573</v>
      </c>
    </row>
    <row r="42" spans="4:29" ht="11.25" customHeight="1" x14ac:dyDescent="0.15">
      <c r="D42" s="44">
        <v>1920</v>
      </c>
      <c r="E42" s="21">
        <v>21.504999999999999</v>
      </c>
      <c r="F42" s="6">
        <f t="shared" si="4"/>
        <v>0.34979500000000002</v>
      </c>
      <c r="G42" s="8">
        <f t="shared" ca="1" si="2"/>
        <v>-5.403203415772257</v>
      </c>
      <c r="I42" s="6">
        <f t="shared" ca="1" si="5"/>
        <v>253.04085075294734</v>
      </c>
      <c r="J42" s="6"/>
      <c r="K42" s="6">
        <f t="shared" ca="1" si="3"/>
        <v>-2.6134273293406038</v>
      </c>
    </row>
    <row r="43" spans="4:29" ht="11.25" customHeight="1" x14ac:dyDescent="0.15">
      <c r="D43" s="44">
        <v>1921</v>
      </c>
      <c r="E43" s="21">
        <v>23.126000000000001</v>
      </c>
      <c r="F43" s="6">
        <f t="shared" si="4"/>
        <v>0.372921</v>
      </c>
      <c r="G43" s="8">
        <f t="shared" ca="1" si="2"/>
        <v>-5.3388863893687084</v>
      </c>
      <c r="I43" s="6">
        <f t="shared" ca="1" si="5"/>
        <v>254.38318685065678</v>
      </c>
      <c r="J43" s="6"/>
      <c r="K43" s="6">
        <f t="shared" ca="1" si="3"/>
        <v>-2.591475096174102</v>
      </c>
    </row>
    <row r="44" spans="4:29" ht="11.25" customHeight="1" x14ac:dyDescent="0.15">
      <c r="D44" s="44">
        <v>1922</v>
      </c>
      <c r="E44" s="21">
        <v>23.02</v>
      </c>
      <c r="F44" s="6">
        <f t="shared" si="4"/>
        <v>0.39594099999999999</v>
      </c>
      <c r="G44" s="8">
        <f t="shared" ca="1" si="2"/>
        <v>-5.2786913625065983</v>
      </c>
      <c r="I44" s="6">
        <f t="shared" ca="1" si="5"/>
        <v>254.87042894990645</v>
      </c>
      <c r="J44" s="6"/>
      <c r="K44" s="6">
        <f t="shared" ca="1" si="3"/>
        <v>-2.5707975982409961</v>
      </c>
    </row>
    <row r="45" spans="4:29" ht="11.25" customHeight="1" x14ac:dyDescent="0.15">
      <c r="D45" s="44">
        <v>1923</v>
      </c>
      <c r="E45" s="21">
        <v>23.995000000000001</v>
      </c>
      <c r="F45" s="6">
        <f t="shared" si="4"/>
        <v>0.41993599999999998</v>
      </c>
      <c r="G45" s="8">
        <f t="shared" ca="1" si="2"/>
        <v>-5.2195451883129609</v>
      </c>
      <c r="I45" s="6">
        <f t="shared" ca="1" si="5"/>
        <v>255.14009033060938</v>
      </c>
      <c r="J45" s="6"/>
      <c r="K45" s="6">
        <f t="shared" ca="1" si="3"/>
        <v>-2.5503539156341888</v>
      </c>
    </row>
    <row r="46" spans="4:29" ht="11.25" customHeight="1" x14ac:dyDescent="0.15">
      <c r="D46" s="44">
        <v>1924</v>
      </c>
      <c r="E46" s="21">
        <v>26.16</v>
      </c>
      <c r="F46" s="6">
        <f t="shared" si="4"/>
        <v>0.44609599999999999</v>
      </c>
      <c r="G46" s="8">
        <f t="shared" ca="1" si="2"/>
        <v>-5.1587762708085307</v>
      </c>
      <c r="I46" s="6">
        <f t="shared" ca="1" si="5"/>
        <v>255.74638398216757</v>
      </c>
      <c r="J46" s="6"/>
      <c r="K46" s="6">
        <f t="shared" ca="1" si="3"/>
        <v>-2.529216687541803</v>
      </c>
    </row>
    <row r="47" spans="4:29" ht="11.25" customHeight="1" x14ac:dyDescent="0.15">
      <c r="D47" s="44">
        <v>1925</v>
      </c>
      <c r="E47" s="21">
        <v>26.172000000000001</v>
      </c>
      <c r="F47" s="6">
        <f t="shared" si="4"/>
        <v>0.47226800000000002</v>
      </c>
      <c r="G47" s="8">
        <f t="shared" ca="1" si="2"/>
        <v>-5.1014264961777345</v>
      </c>
      <c r="I47" s="6">
        <f t="shared" ca="1" si="5"/>
        <v>255.64338872630651</v>
      </c>
      <c r="J47" s="6"/>
      <c r="K47" s="6">
        <f t="shared" ca="1" si="3"/>
        <v>-2.509143486683</v>
      </c>
    </row>
    <row r="48" spans="4:29" ht="11.25" customHeight="1" x14ac:dyDescent="0.15">
      <c r="D48" s="44">
        <v>1926</v>
      </c>
      <c r="E48" s="21">
        <v>26.387</v>
      </c>
      <c r="F48" s="6">
        <f t="shared" si="4"/>
        <v>0.49865500000000001</v>
      </c>
      <c r="G48" s="8">
        <f t="shared" ca="1" si="2"/>
        <v>-5.0467184279462218</v>
      </c>
      <c r="I48" s="6">
        <f t="shared" ca="1" si="5"/>
        <v>254.99238096704721</v>
      </c>
      <c r="J48" s="6"/>
      <c r="K48" s="6">
        <f t="shared" ca="1" si="3"/>
        <v>-2.4898798216481839</v>
      </c>
    </row>
    <row r="49" spans="4:11" ht="11.25" customHeight="1" x14ac:dyDescent="0.15">
      <c r="D49" s="44">
        <v>1927</v>
      </c>
      <c r="E49" s="21">
        <v>27.721</v>
      </c>
      <c r="F49" s="6">
        <f t="shared" si="4"/>
        <v>0.52637600000000007</v>
      </c>
      <c r="G49" s="8">
        <f t="shared" ca="1" si="2"/>
        <v>-4.992259575755793</v>
      </c>
      <c r="I49" s="6">
        <f t="shared" ca="1" si="5"/>
        <v>254.28967423525955</v>
      </c>
      <c r="J49" s="6"/>
      <c r="K49" s="6">
        <f t="shared" ca="1" si="3"/>
        <v>-2.4705906309403094</v>
      </c>
    </row>
    <row r="50" spans="4:11" ht="11.25" customHeight="1" x14ac:dyDescent="0.15">
      <c r="D50" s="44">
        <v>1928</v>
      </c>
      <c r="E50" s="21">
        <v>28.739000000000001</v>
      </c>
      <c r="F50" s="6">
        <f t="shared" si="4"/>
        <v>0.55511500000000003</v>
      </c>
      <c r="G50" s="8">
        <f t="shared" ca="1" si="2"/>
        <v>-4.9387292577704871</v>
      </c>
      <c r="I50" s="6">
        <f t="shared" ca="1" si="5"/>
        <v>253.39434641795469</v>
      </c>
      <c r="J50" s="6"/>
      <c r="K50" s="6">
        <f t="shared" ca="1" si="3"/>
        <v>-2.4515185712848995</v>
      </c>
    </row>
    <row r="51" spans="4:11" ht="11.25" customHeight="1" x14ac:dyDescent="0.15">
      <c r="D51" s="44">
        <v>1929</v>
      </c>
      <c r="E51" s="21">
        <v>29.788</v>
      </c>
      <c r="F51" s="6">
        <f t="shared" si="4"/>
        <v>0.58490300000000006</v>
      </c>
      <c r="G51" s="8">
        <f t="shared" ca="1" si="2"/>
        <v>-4.8860740510925185</v>
      </c>
      <c r="I51" s="6">
        <f t="shared" ca="1" si="5"/>
        <v>252.31747990338499</v>
      </c>
      <c r="J51" s="6"/>
      <c r="K51" s="6">
        <f t="shared" ca="1" si="3"/>
        <v>-2.4326486486158094</v>
      </c>
    </row>
    <row r="52" spans="4:11" ht="11.25" customHeight="1" x14ac:dyDescent="0.15">
      <c r="D52" s="44">
        <v>1930</v>
      </c>
      <c r="E52" s="21">
        <v>30.177</v>
      </c>
      <c r="F52" s="6">
        <f t="shared" si="4"/>
        <v>0.61508000000000007</v>
      </c>
      <c r="G52" s="8">
        <f t="shared" ca="1" si="2"/>
        <v>-4.8353780755522653</v>
      </c>
      <c r="I52" s="6">
        <f t="shared" ca="1" si="5"/>
        <v>250.83417792694217</v>
      </c>
      <c r="J52" s="6"/>
      <c r="K52" s="6">
        <f t="shared" ca="1" si="3"/>
        <v>-2.4143766433508791</v>
      </c>
    </row>
    <row r="53" spans="4:11" ht="11.25" customHeight="1" x14ac:dyDescent="0.15">
      <c r="D53" s="44">
        <v>1931</v>
      </c>
      <c r="E53" s="21">
        <v>27.023</v>
      </c>
      <c r="F53" s="6">
        <f t="shared" si="4"/>
        <v>0.64210300000000009</v>
      </c>
      <c r="G53" s="8">
        <f t="shared" ca="1" si="2"/>
        <v>-4.7920326295223621</v>
      </c>
      <c r="I53" s="6">
        <f t="shared" ca="1" si="5"/>
        <v>247.82603500701953</v>
      </c>
      <c r="J53" s="6"/>
      <c r="K53" s="6">
        <f t="shared" ca="1" si="3"/>
        <v>-2.3986717927629693</v>
      </c>
    </row>
    <row r="54" spans="4:11" ht="11.25" customHeight="1" x14ac:dyDescent="0.15">
      <c r="D54" s="44">
        <v>1932</v>
      </c>
      <c r="E54" s="21">
        <v>24.873000000000001</v>
      </c>
      <c r="F54" s="6">
        <f t="shared" si="4"/>
        <v>0.66697600000000012</v>
      </c>
      <c r="G54" s="8">
        <f t="shared" ca="1" si="2"/>
        <v>-4.7537058976185236</v>
      </c>
      <c r="I54" s="6">
        <f t="shared" ca="1" si="5"/>
        <v>243.77677786909135</v>
      </c>
      <c r="J54" s="6"/>
      <c r="K54" s="6">
        <f t="shared" ca="1" si="3"/>
        <v>-2.3847214776444234</v>
      </c>
    </row>
    <row r="55" spans="4:11" ht="11.25" customHeight="1" x14ac:dyDescent="0.15">
      <c r="D55" s="44">
        <v>1933</v>
      </c>
      <c r="E55" s="21">
        <v>24.481000000000002</v>
      </c>
      <c r="F55" s="6">
        <f t="shared" si="4"/>
        <v>0.6914570000000001</v>
      </c>
      <c r="G55" s="8">
        <f t="shared" ca="1" si="2"/>
        <v>-4.7173425640782582</v>
      </c>
      <c r="I55" s="6">
        <f t="shared" ca="1" si="5"/>
        <v>239.32022079325907</v>
      </c>
      <c r="J55" s="6"/>
      <c r="K55" s="6">
        <f t="shared" ca="1" si="3"/>
        <v>-2.3714298273582344</v>
      </c>
    </row>
    <row r="56" spans="4:11" ht="11.25" customHeight="1" x14ac:dyDescent="0.15">
      <c r="D56" s="44">
        <v>1934</v>
      </c>
      <c r="E56" s="21">
        <v>26.907</v>
      </c>
      <c r="F56" s="6">
        <f t="shared" si="4"/>
        <v>0.71836400000000011</v>
      </c>
      <c r="G56" s="8">
        <f t="shared" ca="1" si="2"/>
        <v>-4.6788192209138293</v>
      </c>
      <c r="I56" s="6">
        <f t="shared" ca="1" si="5"/>
        <v>235.3117499551081</v>
      </c>
      <c r="J56" s="6"/>
      <c r="K56" s="6">
        <f t="shared" ca="1" si="3"/>
        <v>-2.3572885705876092</v>
      </c>
    </row>
    <row r="57" spans="4:11" ht="11.25" customHeight="1" x14ac:dyDescent="0.15">
      <c r="D57" s="44">
        <v>1935</v>
      </c>
      <c r="E57" s="21">
        <v>28.276</v>
      </c>
      <c r="F57" s="6">
        <f t="shared" si="4"/>
        <v>0.74664000000000008</v>
      </c>
      <c r="G57" s="8">
        <f t="shared" ca="1" si="2"/>
        <v>-4.6398467482416601</v>
      </c>
      <c r="I57" s="6">
        <f t="shared" ca="1" si="5"/>
        <v>231.39644942003997</v>
      </c>
      <c r="J57" s="6"/>
      <c r="K57" s="6">
        <f t="shared" ca="1" si="3"/>
        <v>-2.3429189059557403</v>
      </c>
    </row>
    <row r="58" spans="4:11" ht="11.25" customHeight="1" x14ac:dyDescent="0.15">
      <c r="D58" s="44">
        <v>1936</v>
      </c>
      <c r="E58" s="21">
        <v>28.591999999999999</v>
      </c>
      <c r="F58" s="6">
        <f t="shared" si="4"/>
        <v>0.77523200000000003</v>
      </c>
      <c r="G58" s="8">
        <f t="shared" ca="1" si="2"/>
        <v>-4.6018975909523663</v>
      </c>
      <c r="I58" s="6">
        <f t="shared" ca="1" si="5"/>
        <v>227.2688657845938</v>
      </c>
      <c r="J58" s="6"/>
      <c r="K58" s="6">
        <f t="shared" ca="1" si="3"/>
        <v>-2.3288644935765985</v>
      </c>
    </row>
    <row r="59" spans="4:11" ht="11.25" customHeight="1" x14ac:dyDescent="0.15">
      <c r="D59" s="44">
        <v>1937</v>
      </c>
      <c r="E59" s="21">
        <v>31.736000000000001</v>
      </c>
      <c r="F59" s="6">
        <f t="shared" si="4"/>
        <v>0.80696800000000002</v>
      </c>
      <c r="G59" s="8">
        <f t="shared" ca="1" si="2"/>
        <v>-4.5613651153952528</v>
      </c>
      <c r="I59" s="6">
        <f t="shared" ca="1" si="5"/>
        <v>223.67718224440614</v>
      </c>
      <c r="J59" s="6"/>
      <c r="K59" s="6">
        <f t="shared" ca="1" si="3"/>
        <v>-2.3137850042800197</v>
      </c>
    </row>
    <row r="60" spans="4:11" ht="11.25" customHeight="1" x14ac:dyDescent="0.15">
      <c r="D60" s="44">
        <v>1938</v>
      </c>
      <c r="E60" s="21">
        <v>35.316000000000003</v>
      </c>
      <c r="F60" s="6">
        <f t="shared" si="4"/>
        <v>0.84228400000000003</v>
      </c>
      <c r="G60" s="8">
        <f t="shared" ca="1" si="2"/>
        <v>-4.5180745407157898</v>
      </c>
      <c r="I60" s="6">
        <f t="shared" ca="1" si="5"/>
        <v>220.6576564599327</v>
      </c>
      <c r="J60" s="6"/>
      <c r="K60" s="6">
        <f t="shared" ca="1" si="3"/>
        <v>-2.2976005733299112</v>
      </c>
    </row>
    <row r="61" spans="4:11" ht="11.25" customHeight="1" x14ac:dyDescent="0.15">
      <c r="D61" s="44">
        <v>1939</v>
      </c>
      <c r="E61" s="21">
        <v>35.799999999999997</v>
      </c>
      <c r="F61" s="6">
        <f t="shared" si="4"/>
        <v>0.87808400000000009</v>
      </c>
      <c r="G61" s="8">
        <f t="shared" ca="1" si="2"/>
        <v>-4.4759857082734165</v>
      </c>
      <c r="I61" s="6">
        <f t="shared" ca="1" si="5"/>
        <v>217.38883356508813</v>
      </c>
      <c r="J61" s="6"/>
      <c r="K61" s="6">
        <f t="shared" ca="1" si="3"/>
        <v>-2.2817864570333417</v>
      </c>
    </row>
    <row r="62" spans="4:11" ht="11.25" customHeight="1" x14ac:dyDescent="0.15">
      <c r="D62" s="44">
        <v>1940</v>
      </c>
      <c r="E62" s="21">
        <v>38.158999999999999</v>
      </c>
      <c r="F62" s="6">
        <f t="shared" si="4"/>
        <v>0.91624300000000014</v>
      </c>
      <c r="G62" s="8">
        <f t="shared" ca="1" si="2"/>
        <v>-4.4329517351186594</v>
      </c>
      <c r="I62" s="6">
        <f t="shared" ca="1" si="5"/>
        <v>214.3160767160407</v>
      </c>
      <c r="J62" s="6"/>
      <c r="K62" s="6">
        <f t="shared" ca="1" si="3"/>
        <v>-2.2655357843355426</v>
      </c>
    </row>
    <row r="63" spans="4:11" ht="11.25" customHeight="1" x14ac:dyDescent="0.15">
      <c r="D63" s="44">
        <v>1941</v>
      </c>
      <c r="E63" s="21">
        <v>37.898000000000003</v>
      </c>
      <c r="F63" s="6">
        <f t="shared" si="4"/>
        <v>0.95414100000000013</v>
      </c>
      <c r="G63" s="8">
        <f t="shared" ca="1" si="2"/>
        <v>-4.391930409168709</v>
      </c>
      <c r="I63" s="6">
        <f t="shared" ca="1" si="5"/>
        <v>210.82580343387599</v>
      </c>
      <c r="J63" s="6"/>
      <c r="K63" s="6">
        <f t="shared" ca="1" si="3"/>
        <v>-2.2499675993178898</v>
      </c>
    </row>
    <row r="64" spans="4:11" ht="11.25" customHeight="1" x14ac:dyDescent="0.15">
      <c r="D64" s="44">
        <v>1942</v>
      </c>
      <c r="E64" s="21">
        <v>33.835000000000001</v>
      </c>
      <c r="F64" s="6">
        <f t="shared" si="4"/>
        <v>0.98797600000000019</v>
      </c>
      <c r="G64" s="8">
        <f t="shared" ca="1" si="2"/>
        <v>-4.3566444692723358</v>
      </c>
      <c r="I64" s="6">
        <f t="shared" ca="1" si="5"/>
        <v>206.14574491666554</v>
      </c>
      <c r="J64" s="6"/>
      <c r="K64" s="6">
        <f t="shared" ca="1" si="3"/>
        <v>-2.2365148690531362</v>
      </c>
    </row>
    <row r="65" spans="4:11" ht="11.25" customHeight="1" x14ac:dyDescent="0.15">
      <c r="D65" s="44">
        <v>1943</v>
      </c>
      <c r="E65" s="21">
        <v>29.745000000000001</v>
      </c>
      <c r="F65" s="6">
        <f t="shared" si="4"/>
        <v>1.0177210000000001</v>
      </c>
      <c r="G65" s="8">
        <f t="shared" ca="1" si="2"/>
        <v>-4.3265956958490159</v>
      </c>
      <c r="I65" s="6">
        <f t="shared" ca="1" si="5"/>
        <v>200.37925502676171</v>
      </c>
      <c r="J65" s="6"/>
      <c r="K65" s="6">
        <f t="shared" ca="1" si="3"/>
        <v>-2.2250137432467052</v>
      </c>
    </row>
    <row r="66" spans="4:11" ht="11.25" customHeight="1" x14ac:dyDescent="0.15">
      <c r="D66" s="44">
        <v>1944</v>
      </c>
      <c r="E66" s="21">
        <v>29.513000000000002</v>
      </c>
      <c r="F66" s="6">
        <f t="shared" si="4"/>
        <v>1.047234</v>
      </c>
      <c r="G66" s="8">
        <f t="shared" ca="1" si="2"/>
        <v>-4.2976258843219144</v>
      </c>
      <c r="I66" s="6">
        <f t="shared" ca="1" si="5"/>
        <v>194.38893836716852</v>
      </c>
      <c r="J66" s="6"/>
      <c r="K66" s="6">
        <f t="shared" ca="1" si="3"/>
        <v>-2.2138860091240429</v>
      </c>
    </row>
    <row r="67" spans="4:11" ht="11.25" customHeight="1" x14ac:dyDescent="0.15">
      <c r="D67" s="44">
        <v>1945</v>
      </c>
      <c r="E67" s="21">
        <v>31.346</v>
      </c>
      <c r="F67" s="6">
        <f t="shared" si="4"/>
        <v>1.0785800000000001</v>
      </c>
      <c r="G67" s="8">
        <f t="shared" ca="1" si="2"/>
        <v>-4.2677257409028506</v>
      </c>
      <c r="I67" s="6">
        <f t="shared" ca="1" si="5"/>
        <v>188.59161571676668</v>
      </c>
      <c r="J67" s="6"/>
      <c r="K67" s="6">
        <f t="shared" ca="1" si="3"/>
        <v>-2.2023598433210934</v>
      </c>
    </row>
    <row r="68" spans="4:11" ht="11.25" customHeight="1" x14ac:dyDescent="0.15">
      <c r="D68" s="44">
        <v>1946</v>
      </c>
      <c r="E68" s="21">
        <v>32.08</v>
      </c>
      <c r="F68" s="6">
        <f t="shared" si="4"/>
        <v>1.1106600000000002</v>
      </c>
      <c r="G68" s="8">
        <f t="shared" ca="1" si="2"/>
        <v>-4.2379997776284783</v>
      </c>
      <c r="I68" s="6">
        <f t="shared" ca="1" si="5"/>
        <v>182.75816002101419</v>
      </c>
      <c r="J68" s="6"/>
      <c r="K68" s="6">
        <f t="shared" ca="1" si="3"/>
        <v>-2.1908591259529557</v>
      </c>
    </row>
    <row r="69" spans="4:11" ht="11.25" customHeight="1" x14ac:dyDescent="0.15">
      <c r="D69" s="44">
        <v>1947</v>
      </c>
      <c r="E69" s="21">
        <v>32.966000000000001</v>
      </c>
      <c r="F69" s="6">
        <f t="shared" si="4"/>
        <v>1.1436260000000003</v>
      </c>
      <c r="G69" s="8">
        <f t="shared" ca="1" si="2"/>
        <v>-4.2083217081321891</v>
      </c>
      <c r="I69" s="6">
        <f t="shared" ca="1" si="5"/>
        <v>176.91476893303206</v>
      </c>
      <c r="J69" s="6"/>
      <c r="K69" s="6">
        <f t="shared" ca="1" si="3"/>
        <v>-2.1793351277173278</v>
      </c>
    </row>
    <row r="70" spans="4:11" ht="11.25" customHeight="1" x14ac:dyDescent="0.15">
      <c r="D70" s="44">
        <v>1948</v>
      </c>
      <c r="E70" s="21">
        <v>34.015999999999998</v>
      </c>
      <c r="F70" s="6">
        <f t="shared" si="4"/>
        <v>1.1776420000000003</v>
      </c>
      <c r="G70" s="8">
        <f t="shared" ca="1" si="2"/>
        <v>-4.1785690606199637</v>
      </c>
      <c r="I70" s="6">
        <f t="shared" ca="1" si="5"/>
        <v>171.08684878657186</v>
      </c>
      <c r="J70" s="6"/>
      <c r="K70" s="6">
        <f t="shared" ca="1" si="3"/>
        <v>-2.1677398967060957</v>
      </c>
    </row>
    <row r="71" spans="4:11" ht="11.25" customHeight="1" x14ac:dyDescent="0.15">
      <c r="D71" s="44">
        <v>1949</v>
      </c>
      <c r="E71" s="21">
        <v>35.887</v>
      </c>
      <c r="F71" s="6">
        <f t="shared" si="4"/>
        <v>1.2135290000000003</v>
      </c>
      <c r="G71" s="8">
        <f t="shared" ca="1" si="2"/>
        <v>-4.1480835737088393</v>
      </c>
      <c r="I71" s="6">
        <f t="shared" ca="1" si="5"/>
        <v>165.41095354101708</v>
      </c>
      <c r="J71" s="6"/>
      <c r="K71" s="6">
        <f t="shared" ca="1" si="3"/>
        <v>-2.1558148005892122</v>
      </c>
    </row>
    <row r="72" spans="4:11" ht="11.25" customHeight="1" x14ac:dyDescent="0.15">
      <c r="D72" s="44">
        <v>1950</v>
      </c>
      <c r="E72" s="21">
        <v>36.764000000000003</v>
      </c>
      <c r="F72" s="6">
        <f t="shared" si="4"/>
        <v>1.2502930000000003</v>
      </c>
      <c r="G72" s="8">
        <f t="shared" ca="1" si="2"/>
        <v>-4.1177596781230923</v>
      </c>
      <c r="I72" s="6">
        <f t="shared" ca="1" si="5"/>
        <v>159.70153675545953</v>
      </c>
      <c r="J72" s="6"/>
      <c r="K72" s="6">
        <f t="shared" ca="1" si="3"/>
        <v>-2.1439081044812269</v>
      </c>
    </row>
    <row r="73" spans="4:11" ht="11.25" customHeight="1" x14ac:dyDescent="0.15">
      <c r="D73" s="44">
        <v>1951</v>
      </c>
      <c r="E73" s="21">
        <v>39.381</v>
      </c>
      <c r="F73" s="6">
        <f t="shared" si="4"/>
        <v>1.2896740000000002</v>
      </c>
      <c r="G73" s="8">
        <f t="shared" ca="1" si="2"/>
        <v>-4.0862351893670361</v>
      </c>
      <c r="I73" s="6">
        <f t="shared" ca="1" si="5"/>
        <v>154.24117871049384</v>
      </c>
      <c r="J73" s="6"/>
      <c r="K73" s="6">
        <f t="shared" ca="1" si="3"/>
        <v>-2.1314822182114432</v>
      </c>
    </row>
    <row r="74" spans="4:11" ht="11.25" customHeight="1" x14ac:dyDescent="0.15">
      <c r="D74" s="44">
        <v>1952</v>
      </c>
      <c r="E74" s="21">
        <v>42.268000000000001</v>
      </c>
      <c r="F74" s="6">
        <f t="shared" si="4"/>
        <v>1.3319420000000002</v>
      </c>
      <c r="G74" s="8">
        <f t="shared" ca="1" si="2"/>
        <v>-4.0534357994413002</v>
      </c>
      <c r="I74" s="6">
        <f t="shared" ca="1" si="5"/>
        <v>149.0452943336777</v>
      </c>
      <c r="J74" s="6"/>
      <c r="K74" s="6">
        <f t="shared" ca="1" si="3"/>
        <v>-2.1185016680841331</v>
      </c>
    </row>
    <row r="75" spans="4:11" ht="11.25" customHeight="1" x14ac:dyDescent="0.15">
      <c r="D75" s="44">
        <v>1953</v>
      </c>
      <c r="E75" s="21">
        <v>41.942</v>
      </c>
      <c r="F75" s="6">
        <f t="shared" si="4"/>
        <v>1.3738840000000001</v>
      </c>
      <c r="G75" s="8">
        <f t="shared" ca="1" si="2"/>
        <v>-4.0218851746521995</v>
      </c>
      <c r="I75" s="6">
        <f t="shared" ca="1" si="5"/>
        <v>143.59035811488502</v>
      </c>
      <c r="J75" s="6"/>
      <c r="K75" s="6">
        <f t="shared" ca="1" si="3"/>
        <v>-2.1059647133089743</v>
      </c>
    </row>
    <row r="76" spans="4:11" ht="11.25" customHeight="1" x14ac:dyDescent="0.15">
      <c r="D76" s="44">
        <v>1954</v>
      </c>
      <c r="E76" s="21">
        <v>42.667000000000002</v>
      </c>
      <c r="F76" s="6">
        <f t="shared" si="4"/>
        <v>1.4165510000000001</v>
      </c>
      <c r="G76" s="8">
        <f t="shared" ref="G76:G131" ca="1" si="6" xml:space="preserve"> -LN(F$1/F76-1)</f>
        <v>-3.990745248335192</v>
      </c>
      <c r="I76" s="6">
        <f t="shared" ca="1" si="5"/>
        <v>138.05022397330595</v>
      </c>
      <c r="J76" s="6"/>
      <c r="K76" s="6">
        <f t="shared" ref="K76:K131" ca="1" si="7">NORMSINV(F76/F$5)</f>
        <v>-2.0935418708999078</v>
      </c>
    </row>
    <row r="77" spans="4:11" ht="11.25" customHeight="1" x14ac:dyDescent="0.15">
      <c r="D77" s="44">
        <v>1955</v>
      </c>
      <c r="E77" s="21">
        <v>44.304000000000002</v>
      </c>
      <c r="F77" s="6">
        <f t="shared" ref="F77:F131" si="8">F76+E77/1000</f>
        <v>1.460855</v>
      </c>
      <c r="G77" s="8">
        <f t="shared" ca="1" si="6"/>
        <v>-3.9593700788765056</v>
      </c>
      <c r="I77" s="6">
        <f t="shared" ref="I77:I131" ca="1" si="9" xml:space="preserve"> (G77*(F$2-E$2)/LN(81) + AVERAGE(E$2:F$2) - D77)*12</f>
        <v>132.55889017646496</v>
      </c>
      <c r="J77" s="6"/>
      <c r="K77" s="6">
        <f t="shared" ca="1" si="7"/>
        <v>-2.0809754489277985</v>
      </c>
    </row>
    <row r="78" spans="4:11" ht="11.25" customHeight="1" x14ac:dyDescent="0.15">
      <c r="D78" s="44">
        <v>1956</v>
      </c>
      <c r="E78" s="21">
        <v>45.779000000000003</v>
      </c>
      <c r="F78" s="6">
        <f t="shared" si="8"/>
        <v>1.506634</v>
      </c>
      <c r="G78" s="8">
        <f t="shared" ca="1" si="6"/>
        <v>-3.9279159977002327</v>
      </c>
      <c r="I78" s="6">
        <f t="shared" ca="1" si="9"/>
        <v>127.08392633198218</v>
      </c>
      <c r="J78" s="6"/>
      <c r="K78" s="6">
        <f t="shared" ca="1" si="7"/>
        <v>-2.0683268901359675</v>
      </c>
    </row>
    <row r="79" spans="4:11" ht="11.25" customHeight="1" x14ac:dyDescent="0.15">
      <c r="D79" s="44">
        <v>1957</v>
      </c>
      <c r="E79" s="21">
        <v>50.106499999999997</v>
      </c>
      <c r="F79" s="6">
        <f t="shared" si="8"/>
        <v>1.5567405000000001</v>
      </c>
      <c r="G79" s="8">
        <f t="shared" ca="1" si="6"/>
        <v>-3.8945449371798575</v>
      </c>
      <c r="I79" s="6">
        <f t="shared" ca="1" si="9"/>
        <v>122.00663296655512</v>
      </c>
      <c r="J79" s="6"/>
      <c r="K79" s="6">
        <f t="shared" ca="1" si="7"/>
        <v>-2.054851670354386</v>
      </c>
    </row>
    <row r="80" spans="4:11" ht="11.25" customHeight="1" x14ac:dyDescent="0.15">
      <c r="D80" s="44">
        <v>1958</v>
      </c>
      <c r="E80" s="21">
        <v>52.792000000000002</v>
      </c>
      <c r="F80" s="6">
        <f t="shared" si="8"/>
        <v>1.6095325</v>
      </c>
      <c r="G80" s="8">
        <f t="shared" ca="1" si="6"/>
        <v>-3.8605049508972598</v>
      </c>
      <c r="I80" s="6">
        <f t="shared" ca="1" si="9"/>
        <v>117.06810584769119</v>
      </c>
      <c r="J80" s="6"/>
      <c r="K80" s="6">
        <f t="shared" ca="1" si="7"/>
        <v>-2.0410466369470708</v>
      </c>
    </row>
    <row r="81" spans="4:11" ht="11.25" customHeight="1" x14ac:dyDescent="0.15">
      <c r="D81" s="44">
        <v>1959</v>
      </c>
      <c r="E81" s="21">
        <v>55.597000000000001</v>
      </c>
      <c r="F81" s="6">
        <f t="shared" si="8"/>
        <v>1.6651294999999999</v>
      </c>
      <c r="G81" s="8">
        <f t="shared" ca="1" si="6"/>
        <v>-3.8258181818319308</v>
      </c>
      <c r="I81" s="6">
        <f t="shared" ca="1" si="9"/>
        <v>112.26375149382966</v>
      </c>
      <c r="J81" s="6"/>
      <c r="K81" s="6">
        <f t="shared" ca="1" si="7"/>
        <v>-2.026916710834763</v>
      </c>
    </row>
    <row r="82" spans="4:11" ht="11.25" customHeight="1" x14ac:dyDescent="0.15">
      <c r="D82" s="44">
        <v>1960</v>
      </c>
      <c r="E82" s="21">
        <v>61.255000000000003</v>
      </c>
      <c r="F82" s="6">
        <f t="shared" si="8"/>
        <v>1.7263845</v>
      </c>
      <c r="G82" s="8">
        <f t="shared" ca="1" si="6"/>
        <v>-3.7888894442029453</v>
      </c>
      <c r="I82" s="6">
        <f t="shared" ca="1" si="9"/>
        <v>107.92448546524338</v>
      </c>
      <c r="J82" s="6"/>
      <c r="K82" s="6">
        <f t="shared" ca="1" si="7"/>
        <v>-2.0118034158875648</v>
      </c>
    </row>
    <row r="83" spans="4:11" ht="11.25" customHeight="1" x14ac:dyDescent="0.15">
      <c r="D83" s="44">
        <v>1961</v>
      </c>
      <c r="E83" s="21">
        <v>65.343999999999994</v>
      </c>
      <c r="F83" s="6">
        <f t="shared" si="8"/>
        <v>1.7917285000000001</v>
      </c>
      <c r="G83" s="8">
        <f t="shared" ca="1" si="6"/>
        <v>-3.750881419942806</v>
      </c>
      <c r="I83" s="6">
        <f t="shared" ca="1" si="9"/>
        <v>103.80911357144578</v>
      </c>
      <c r="J83" s="6"/>
      <c r="K83" s="6">
        <f t="shared" ca="1" si="7"/>
        <v>-1.9961722053996291</v>
      </c>
    </row>
    <row r="84" spans="4:11" ht="11.25" customHeight="1" x14ac:dyDescent="0.15">
      <c r="D84" s="44">
        <v>1962</v>
      </c>
      <c r="E84" s="21">
        <v>71.762</v>
      </c>
      <c r="F84" s="6">
        <f t="shared" si="8"/>
        <v>1.8634905000000002</v>
      </c>
      <c r="G84" s="8">
        <f t="shared" ca="1" si="6"/>
        <v>-3.7106693323984552</v>
      </c>
      <c r="I84" s="6">
        <f t="shared" ca="1" si="9"/>
        <v>100.15096668885963</v>
      </c>
      <c r="J84" s="6"/>
      <c r="K84" s="6">
        <f t="shared" ca="1" si="7"/>
        <v>-1.9795495321749861</v>
      </c>
    </row>
    <row r="85" spans="4:11" ht="11.25" customHeight="1" x14ac:dyDescent="0.15">
      <c r="D85" s="44">
        <v>1963</v>
      </c>
      <c r="E85" s="21">
        <v>77.674000000000007</v>
      </c>
      <c r="F85" s="6">
        <f t="shared" si="8"/>
        <v>1.9411645000000002</v>
      </c>
      <c r="G85" s="8">
        <f t="shared" ca="1" si="6"/>
        <v>-3.6688125142216546</v>
      </c>
      <c r="I85" s="6">
        <f t="shared" ca="1" si="9"/>
        <v>96.834013268026865</v>
      </c>
      <c r="J85" s="6"/>
      <c r="K85" s="6">
        <f t="shared" ca="1" si="7"/>
        <v>-1.9621531406038717</v>
      </c>
    </row>
    <row r="86" spans="4:11" ht="11.25" customHeight="1" x14ac:dyDescent="0.15">
      <c r="D86" s="44">
        <v>1964</v>
      </c>
      <c r="E86" s="21">
        <v>74.787000000000006</v>
      </c>
      <c r="F86" s="6">
        <f t="shared" si="8"/>
        <v>2.0159515000000003</v>
      </c>
      <c r="G86" s="8">
        <f t="shared" ca="1" si="6"/>
        <v>-3.6300260944149398</v>
      </c>
      <c r="I86" s="6">
        <f t="shared" ca="1" si="9"/>
        <v>92.880116734334479</v>
      </c>
      <c r="J86" s="6"/>
      <c r="K86" s="6">
        <f t="shared" ca="1" si="7"/>
        <v>-1.9459465222576255</v>
      </c>
    </row>
    <row r="87" spans="4:11" ht="11.25" customHeight="1" x14ac:dyDescent="0.15">
      <c r="D87" s="44">
        <v>1965</v>
      </c>
      <c r="E87" s="21">
        <v>80.421999999999997</v>
      </c>
      <c r="F87" s="6">
        <f t="shared" si="8"/>
        <v>2.0963735000000003</v>
      </c>
      <c r="G87" s="8">
        <f t="shared" ca="1" si="6"/>
        <v>-3.5898501019079654</v>
      </c>
      <c r="I87" s="6">
        <f t="shared" ca="1" si="9"/>
        <v>89.214482065898665</v>
      </c>
      <c r="J87" s="6"/>
      <c r="K87" s="6">
        <f t="shared" ca="1" si="7"/>
        <v>-1.9290707990269569</v>
      </c>
    </row>
    <row r="88" spans="4:11" ht="11.25" customHeight="1" x14ac:dyDescent="0.15">
      <c r="D88" s="44">
        <v>1966</v>
      </c>
      <c r="E88" s="21">
        <v>81.444000000000003</v>
      </c>
      <c r="F88" s="6">
        <f t="shared" si="8"/>
        <v>2.1778175000000002</v>
      </c>
      <c r="G88" s="8">
        <f t="shared" ca="1" si="6"/>
        <v>-3.5506628907289257</v>
      </c>
      <c r="I88" s="6">
        <f t="shared" ca="1" si="9"/>
        <v>85.343728262732839</v>
      </c>
      <c r="J88" s="6"/>
      <c r="K88" s="6">
        <f t="shared" ca="1" si="7"/>
        <v>-1.9125227827168116</v>
      </c>
    </row>
    <row r="89" spans="4:11" ht="11.25" customHeight="1" x14ac:dyDescent="0.15">
      <c r="D89" s="44">
        <v>1967</v>
      </c>
      <c r="E89" s="21">
        <v>81.423000000000002</v>
      </c>
      <c r="F89" s="6">
        <f t="shared" si="8"/>
        <v>2.2592405000000002</v>
      </c>
      <c r="G89" s="8">
        <f t="shared" ca="1" si="6"/>
        <v>-3.5128836192866615</v>
      </c>
      <c r="I89" s="6">
        <f t="shared" ca="1" si="9"/>
        <v>81.180902418555888</v>
      </c>
      <c r="J89" s="6"/>
      <c r="K89" s="6">
        <f t="shared" ca="1" si="7"/>
        <v>-1.8964865651485761</v>
      </c>
    </row>
    <row r="90" spans="4:11" ht="11.25" customHeight="1" x14ac:dyDescent="0.15">
      <c r="D90" s="44">
        <v>1968</v>
      </c>
      <c r="E90" s="21">
        <v>85.096999999999994</v>
      </c>
      <c r="F90" s="6">
        <f t="shared" si="8"/>
        <v>2.3443375000000004</v>
      </c>
      <c r="G90" s="8">
        <f t="shared" ca="1" si="6"/>
        <v>-3.4747859767471452</v>
      </c>
      <c r="I90" s="6">
        <f t="shared" ca="1" si="9"/>
        <v>77.084121514902108</v>
      </c>
      <c r="J90" s="6"/>
      <c r="K90" s="6">
        <f t="shared" ca="1" si="7"/>
        <v>-1.8802321405420082</v>
      </c>
    </row>
    <row r="91" spans="4:11" ht="11.25" customHeight="1" x14ac:dyDescent="0.15">
      <c r="D91" s="44">
        <v>1969</v>
      </c>
      <c r="E91" s="21">
        <v>89.798000000000002</v>
      </c>
      <c r="F91" s="6">
        <f t="shared" si="8"/>
        <v>2.4341355000000005</v>
      </c>
      <c r="G91" s="8">
        <f t="shared" ca="1" si="6"/>
        <v>-3.436010233433815</v>
      </c>
      <c r="I91" s="6">
        <f t="shared" ca="1" si="9"/>
        <v>73.128010181006175</v>
      </c>
      <c r="J91" s="6"/>
      <c r="K91" s="6">
        <f t="shared" ca="1" si="7"/>
        <v>-1.8636019187870154</v>
      </c>
    </row>
    <row r="92" spans="4:11" ht="11.25" customHeight="1" x14ac:dyDescent="0.15">
      <c r="D92" s="44">
        <v>1970</v>
      </c>
      <c r="E92" s="21">
        <v>87.335999999999999</v>
      </c>
      <c r="F92" s="6">
        <f t="shared" si="8"/>
        <v>2.5214715000000005</v>
      </c>
      <c r="G92" s="8">
        <f t="shared" ca="1" si="6"/>
        <v>-3.3996034989571511</v>
      </c>
      <c r="I92" s="6">
        <f t="shared" ca="1" si="9"/>
        <v>68.680456473530285</v>
      </c>
      <c r="J92" s="6"/>
      <c r="K92" s="6">
        <f t="shared" ca="1" si="7"/>
        <v>-1.8479075560332852</v>
      </c>
    </row>
    <row r="93" spans="4:11" ht="11.25" customHeight="1" x14ac:dyDescent="0.15">
      <c r="D93" s="44">
        <v>1971</v>
      </c>
      <c r="E93" s="21">
        <v>85.32</v>
      </c>
      <c r="F93" s="6">
        <f t="shared" si="8"/>
        <v>2.6067915000000004</v>
      </c>
      <c r="G93" s="8">
        <f t="shared" ca="1" si="6"/>
        <v>-3.3651956532561123</v>
      </c>
      <c r="I93" s="6">
        <f t="shared" ca="1" si="9"/>
        <v>63.818240469653574</v>
      </c>
      <c r="J93" s="6"/>
      <c r="K93" s="6">
        <f t="shared" ca="1" si="7"/>
        <v>-1.8330028710807225</v>
      </c>
    </row>
    <row r="94" spans="4:11" ht="11.25" customHeight="1" x14ac:dyDescent="0.15">
      <c r="D94" s="44">
        <v>1972</v>
      </c>
      <c r="E94" s="21">
        <v>87.539000000000001</v>
      </c>
      <c r="F94" s="6">
        <f t="shared" si="8"/>
        <v>2.6943305000000004</v>
      </c>
      <c r="G94" s="8">
        <f t="shared" ca="1" si="6"/>
        <v>-3.3310049792993612</v>
      </c>
      <c r="I94" s="6">
        <f t="shared" ca="1" si="9"/>
        <v>58.910972967512862</v>
      </c>
      <c r="J94" s="6"/>
      <c r="K94" s="6">
        <f t="shared" ca="1" si="7"/>
        <v>-1.8181223447412949</v>
      </c>
    </row>
    <row r="95" spans="4:11" ht="11.25" customHeight="1" x14ac:dyDescent="0.15">
      <c r="D95" s="44">
        <v>1973</v>
      </c>
      <c r="E95" s="21">
        <v>90.436000000000007</v>
      </c>
      <c r="F95" s="6">
        <f t="shared" si="8"/>
        <v>2.7847665000000004</v>
      </c>
      <c r="G95" s="8">
        <f t="shared" ca="1" si="6"/>
        <v>-3.2967897817485228</v>
      </c>
      <c r="H95" s="60"/>
      <c r="I95" s="6">
        <f t="shared" ca="1" si="9"/>
        <v>54.00879279687797</v>
      </c>
      <c r="J95" s="6"/>
      <c r="K95" s="6">
        <f t="shared" ca="1" si="7"/>
        <v>-1.8031607927561732</v>
      </c>
    </row>
    <row r="96" spans="4:11" ht="11.25" customHeight="1" x14ac:dyDescent="0.15">
      <c r="D96" s="44">
        <v>1974</v>
      </c>
      <c r="E96" s="21">
        <v>97.224999999999994</v>
      </c>
      <c r="F96" s="6">
        <f t="shared" si="8"/>
        <v>2.8819915000000003</v>
      </c>
      <c r="G96" s="8">
        <f t="shared" ca="1" si="6"/>
        <v>-3.2611795778021384</v>
      </c>
      <c r="H96" s="60"/>
      <c r="I96" s="6">
        <f t="shared" ca="1" si="9"/>
        <v>49.396001692070058</v>
      </c>
      <c r="J96" s="6"/>
      <c r="K96" s="6">
        <f t="shared" ca="1" si="7"/>
        <v>-1.7875138685246055</v>
      </c>
    </row>
    <row r="97" spans="4:12" ht="11.25" customHeight="1" x14ac:dyDescent="0.15">
      <c r="D97" s="44">
        <v>1975</v>
      </c>
      <c r="E97" s="21">
        <v>110.334</v>
      </c>
      <c r="F97" s="6">
        <f t="shared" si="8"/>
        <v>2.9923255000000002</v>
      </c>
      <c r="G97" s="8">
        <f t="shared" ca="1" si="6"/>
        <v>-3.2221412765638338</v>
      </c>
      <c r="H97" s="60"/>
      <c r="I97" s="6">
        <f t="shared" ca="1" si="9"/>
        <v>45.494357056589251</v>
      </c>
      <c r="J97" s="6"/>
      <c r="K97" s="6">
        <f t="shared" ca="1" si="7"/>
        <v>-1.770271561746382</v>
      </c>
    </row>
    <row r="98" spans="4:12" ht="11.25" customHeight="1" x14ac:dyDescent="0.15">
      <c r="D98" s="44">
        <v>1976</v>
      </c>
      <c r="E98" s="21">
        <v>116.654</v>
      </c>
      <c r="F98" s="6">
        <f t="shared" si="8"/>
        <v>3.1089795000000002</v>
      </c>
      <c r="G98" s="8">
        <f t="shared" ca="1" si="6"/>
        <v>-3.182342082357589</v>
      </c>
      <c r="H98" s="62"/>
      <c r="I98" s="6">
        <f t="shared" ca="1" si="9"/>
        <v>41.750556934146516</v>
      </c>
      <c r="J98" s="6"/>
      <c r="K98" s="6">
        <f t="shared" ca="1" si="7"/>
        <v>-1.7525963915280538</v>
      </c>
    </row>
    <row r="99" spans="4:12" ht="11.25" customHeight="1" x14ac:dyDescent="0.15">
      <c r="D99" s="44">
        <v>1977</v>
      </c>
      <c r="E99" s="21">
        <v>116.405</v>
      </c>
      <c r="F99" s="6">
        <f t="shared" si="8"/>
        <v>3.2253845000000001</v>
      </c>
      <c r="G99" s="8">
        <f t="shared" ca="1" si="6"/>
        <v>-3.1440298551411354</v>
      </c>
      <c r="H99" s="62"/>
      <c r="I99" s="6">
        <f t="shared" ca="1" si="9"/>
        <v>37.698290850923513</v>
      </c>
      <c r="J99" s="6"/>
      <c r="K99" s="6">
        <f t="shared" ca="1" si="7"/>
        <v>-1.7354884348556441</v>
      </c>
    </row>
    <row r="100" spans="4:12" ht="11.25" customHeight="1" x14ac:dyDescent="0.15">
      <c r="D100" s="44">
        <v>1978</v>
      </c>
      <c r="E100" s="21">
        <v>117.59399999999999</v>
      </c>
      <c r="F100" s="6">
        <f t="shared" si="8"/>
        <v>3.3429785000000001</v>
      </c>
      <c r="G100" s="8">
        <f t="shared" ca="1" si="6"/>
        <v>-3.1066469135090675</v>
      </c>
      <c r="H100" s="62"/>
      <c r="I100" s="6">
        <f t="shared" ca="1" si="9"/>
        <v>33.453247811256006</v>
      </c>
      <c r="J100" s="6"/>
      <c r="K100" s="6">
        <f t="shared" ca="1" si="7"/>
        <v>-1.7187065715952645</v>
      </c>
    </row>
    <row r="101" spans="4:12" ht="11.25" customHeight="1" x14ac:dyDescent="0.15">
      <c r="D101" s="44">
        <v>1979</v>
      </c>
      <c r="E101" s="21">
        <v>119.184</v>
      </c>
      <c r="F101" s="6">
        <f t="shared" si="8"/>
        <v>3.4621625000000003</v>
      </c>
      <c r="G101" s="8">
        <f t="shared" ca="1" si="6"/>
        <v>-3.0700189659006845</v>
      </c>
      <c r="H101" s="62"/>
      <c r="I101" s="6">
        <f t="shared" ca="1" si="9"/>
        <v>29.051583973349807</v>
      </c>
      <c r="J101" s="6"/>
      <c r="K101" s="6">
        <f t="shared" ca="1" si="7"/>
        <v>-1.7021777782496958</v>
      </c>
    </row>
    <row r="102" spans="4:12" ht="11.25" customHeight="1" x14ac:dyDescent="0.15">
      <c r="D102" s="44">
        <v>1980</v>
      </c>
      <c r="E102" s="21">
        <v>126.27</v>
      </c>
      <c r="F102" s="6">
        <f t="shared" si="8"/>
        <v>3.5884325000000001</v>
      </c>
      <c r="G102" s="8">
        <f t="shared" ca="1" si="6"/>
        <v>-3.0325024337902451</v>
      </c>
      <c r="H102" s="62"/>
      <c r="I102" s="6">
        <f t="shared" ca="1" si="9"/>
        <v>24.834253798558166</v>
      </c>
      <c r="J102" s="6"/>
      <c r="K102" s="6">
        <f t="shared" ca="1" si="7"/>
        <v>-1.6851591679707363</v>
      </c>
    </row>
    <row r="103" spans="4:12" ht="11.25" customHeight="1" x14ac:dyDescent="0.15">
      <c r="D103" s="44">
        <v>1981</v>
      </c>
      <c r="E103" s="21">
        <v>143.39699775996277</v>
      </c>
      <c r="F103" s="6">
        <f t="shared" si="8"/>
        <v>3.7318294977599629</v>
      </c>
      <c r="G103" s="8">
        <f t="shared" ca="1" si="6"/>
        <v>-2.9913915481231315</v>
      </c>
      <c r="H103" s="52"/>
      <c r="I103" s="6">
        <f t="shared" ca="1" si="9"/>
        <v>21.36255935801637</v>
      </c>
      <c r="J103" s="6"/>
      <c r="K103" s="6">
        <f t="shared" ca="1" si="7"/>
        <v>-1.6664059532921949</v>
      </c>
      <c r="L103" s="52"/>
    </row>
    <row r="104" spans="4:12" ht="11.25" customHeight="1" x14ac:dyDescent="0.15">
      <c r="D104" s="44">
        <v>1982</v>
      </c>
      <c r="E104" s="21">
        <v>149.17655025968429</v>
      </c>
      <c r="F104" s="6">
        <f t="shared" si="8"/>
        <v>3.8810060480196471</v>
      </c>
      <c r="G104" s="8">
        <f t="shared" ca="1" si="6"/>
        <v>-2.9501863152059267</v>
      </c>
      <c r="H104" s="52"/>
      <c r="I104" s="6">
        <f t="shared" ca="1" si="9"/>
        <v>17.910436915603896</v>
      </c>
      <c r="J104" s="6"/>
      <c r="K104" s="6">
        <f t="shared" ca="1" si="7"/>
        <v>-1.6474995285360663</v>
      </c>
      <c r="L104" s="52"/>
    </row>
    <row r="105" spans="4:12" ht="11.25" customHeight="1" x14ac:dyDescent="0.15">
      <c r="D105" s="44">
        <v>1983</v>
      </c>
      <c r="E105" s="21">
        <v>157.45884391033536</v>
      </c>
      <c r="F105" s="6">
        <f t="shared" si="8"/>
        <v>4.0384648919299826</v>
      </c>
      <c r="G105" s="8">
        <f t="shared" ca="1" si="6"/>
        <v>-2.9082907134786407</v>
      </c>
      <c r="H105" s="52"/>
      <c r="I105" s="6">
        <f t="shared" ca="1" si="9"/>
        <v>14.601529003009091</v>
      </c>
      <c r="J105" s="6"/>
      <c r="K105" s="6">
        <f t="shared" ca="1" si="7"/>
        <v>-1.6281622643404505</v>
      </c>
      <c r="L105" s="52"/>
    </row>
    <row r="106" spans="4:12" ht="11.25" customHeight="1" x14ac:dyDescent="0.15">
      <c r="D106" s="44">
        <v>1984</v>
      </c>
      <c r="E106" s="21">
        <v>168.32899752241229</v>
      </c>
      <c r="F106" s="6">
        <f t="shared" si="8"/>
        <v>4.2067938894523946</v>
      </c>
      <c r="G106" s="8">
        <f t="shared" ca="1" si="6"/>
        <v>-2.8651774433762371</v>
      </c>
      <c r="H106" s="52"/>
      <c r="I106" s="6">
        <f t="shared" ca="1" si="9"/>
        <v>11.545222020909932</v>
      </c>
      <c r="J106" s="6"/>
      <c r="K106" s="6">
        <f t="shared" ca="1" si="7"/>
        <v>-1.6081418495722635</v>
      </c>
    </row>
    <row r="107" spans="4:12" ht="11.25" customHeight="1" x14ac:dyDescent="0.15">
      <c r="D107" s="44">
        <v>1985</v>
      </c>
      <c r="E107" s="21">
        <v>176.9869973705004</v>
      </c>
      <c r="F107" s="6">
        <f t="shared" si="8"/>
        <v>4.3837808868228949</v>
      </c>
      <c r="G107" s="8">
        <f t="shared" ca="1" si="6"/>
        <v>-2.8215668568072667</v>
      </c>
      <c r="H107" s="52"/>
      <c r="I107" s="6">
        <f t="shared" ca="1" si="9"/>
        <v>8.5920815534200301</v>
      </c>
      <c r="J107" s="6">
        <f t="shared" ref="J107:J169" ca="1" si="10">F$1/(1+EXP((AVERAGE(E$2:F$2)-D107)*LN(81)/(F$2-E$2)))</f>
        <v>4.2155277368518993</v>
      </c>
      <c r="K107" s="6">
        <f t="shared" ca="1" si="7"/>
        <v>-1.5877644259264834</v>
      </c>
    </row>
    <row r="108" spans="4:12" ht="11.25" customHeight="1" x14ac:dyDescent="0.15">
      <c r="D108" s="44">
        <v>1986</v>
      </c>
      <c r="E108" s="21">
        <v>189.83599736281724</v>
      </c>
      <c r="F108" s="6">
        <f t="shared" si="8"/>
        <v>4.5736168841857125</v>
      </c>
      <c r="G108" s="8">
        <f t="shared" ca="1" si="6"/>
        <v>-2.7765936210747788</v>
      </c>
      <c r="H108" s="52"/>
      <c r="I108" s="6">
        <f t="shared" ca="1" si="9"/>
        <v>5.9216177602011157</v>
      </c>
      <c r="J108" s="6">
        <f t="shared" ca="1" si="10"/>
        <v>4.4522499326608953</v>
      </c>
      <c r="K108" s="6">
        <f t="shared" ca="1" si="7"/>
        <v>-1.5666163554854902</v>
      </c>
    </row>
    <row r="109" spans="4:12" ht="11.25" customHeight="1" x14ac:dyDescent="0.15">
      <c r="D109" s="44">
        <v>1987</v>
      </c>
      <c r="E109" s="21">
        <v>208.16499737490375</v>
      </c>
      <c r="F109" s="6">
        <f t="shared" si="8"/>
        <v>4.7817818815606161</v>
      </c>
      <c r="G109" s="8">
        <f t="shared" ca="1" si="6"/>
        <v>-2.7292474023887894</v>
      </c>
      <c r="H109" s="52"/>
      <c r="I109" s="6">
        <f t="shared" ca="1" si="9"/>
        <v>3.7434207568203419</v>
      </c>
      <c r="J109" s="6">
        <f t="shared" ca="1" si="10"/>
        <v>4.7014187255939364</v>
      </c>
      <c r="K109" s="6">
        <f t="shared" ca="1" si="7"/>
        <v>-1.5442042107216789</v>
      </c>
    </row>
    <row r="110" spans="4:12" ht="11.25" customHeight="1" x14ac:dyDescent="0.15">
      <c r="D110" s="44">
        <v>1988</v>
      </c>
      <c r="E110" s="21">
        <v>221.56599737629651</v>
      </c>
      <c r="F110" s="6">
        <f t="shared" si="8"/>
        <v>5.0033478789369124</v>
      </c>
      <c r="G110" s="8">
        <f t="shared" ca="1" si="6"/>
        <v>-2.6809245715153223</v>
      </c>
      <c r="H110" s="52"/>
      <c r="I110" s="6">
        <f t="shared" ca="1" si="9"/>
        <v>1.7678184436990705</v>
      </c>
      <c r="J110" s="6">
        <f t="shared" ca="1" si="10"/>
        <v>4.9635916533459161</v>
      </c>
      <c r="K110" s="6">
        <f t="shared" ca="1" si="7"/>
        <v>-1.5211716720515682</v>
      </c>
    </row>
    <row r="111" spans="4:12" ht="11.25" customHeight="1" x14ac:dyDescent="0.15">
      <c r="D111" s="44">
        <v>1989</v>
      </c>
      <c r="E111" s="21">
        <v>244.33099741188195</v>
      </c>
      <c r="F111" s="6">
        <f t="shared" si="8"/>
        <v>5.247678876348794</v>
      </c>
      <c r="G111" s="8">
        <f t="shared" ca="1" si="6"/>
        <v>-2.6298952836092115</v>
      </c>
      <c r="H111" s="52"/>
      <c r="I111" s="6">
        <f t="shared" ca="1" si="9"/>
        <v>0.35366092028289131</v>
      </c>
      <c r="J111" s="6">
        <f t="shared" ca="1" si="10"/>
        <v>5.2393401758946974</v>
      </c>
      <c r="K111" s="6">
        <f t="shared" ca="1" si="7"/>
        <v>-1.4966742648021694</v>
      </c>
    </row>
    <row r="112" spans="4:12" ht="11.25" customHeight="1" x14ac:dyDescent="0.15">
      <c r="D112" s="44">
        <v>1990</v>
      </c>
      <c r="E112" s="21">
        <v>258.43299759843558</v>
      </c>
      <c r="F112" s="6">
        <f t="shared" si="8"/>
        <v>5.5061118739472299</v>
      </c>
      <c r="G112" s="8">
        <f t="shared" ca="1" si="6"/>
        <v>-2.57826607489941</v>
      </c>
      <c r="H112" s="52"/>
      <c r="I112" s="6">
        <f t="shared" ca="1" si="9"/>
        <v>-0.93604518735264719</v>
      </c>
      <c r="J112" s="6">
        <f t="shared" ca="1" si="10"/>
        <v>5.5292486818110378</v>
      </c>
      <c r="K112" s="6">
        <f t="shared" ca="1" si="7"/>
        <v>-1.4717045075935646</v>
      </c>
    </row>
    <row r="113" spans="4:11" ht="11.25" customHeight="1" x14ac:dyDescent="0.15">
      <c r="D113" s="44">
        <v>1991</v>
      </c>
      <c r="E113" s="21">
        <v>280.11351122805701</v>
      </c>
      <c r="F113" s="6">
        <f t="shared" si="8"/>
        <v>5.7862253851752872</v>
      </c>
      <c r="G113" s="8">
        <f t="shared" ca="1" si="6"/>
        <v>-2.5247756099338075</v>
      </c>
      <c r="H113" s="55"/>
      <c r="I113" s="6">
        <f t="shared" ca="1" si="9"/>
        <v>-1.8396403704400655</v>
      </c>
      <c r="J113" s="6">
        <f t="shared" ca="1" si="10"/>
        <v>5.8339132974695254</v>
      </c>
      <c r="K113" s="6">
        <f t="shared" ca="1" si="7"/>
        <v>-1.4456373925859989</v>
      </c>
    </row>
    <row r="114" spans="4:11" ht="11.25" customHeight="1" x14ac:dyDescent="0.15">
      <c r="D114" s="44">
        <v>1992</v>
      </c>
      <c r="E114" s="21">
        <v>302.78917936137424</v>
      </c>
      <c r="F114" s="6">
        <f t="shared" si="8"/>
        <v>6.0890145645366616</v>
      </c>
      <c r="G114" s="8">
        <f t="shared" ca="1" si="6"/>
        <v>-2.4695703722421487</v>
      </c>
      <c r="H114" s="55">
        <f t="shared" ref="H114:H131" si="11">LOOKUP(QUOTIENT(D114,3)*3,N$12:N$92,O$12:O$92)</f>
        <v>102.35241187394723</v>
      </c>
      <c r="I114" s="6">
        <f t="shared" ca="1" si="9"/>
        <v>-2.3875121110486361</v>
      </c>
      <c r="J114" s="6">
        <f t="shared" ca="1" si="10"/>
        <v>6.1539404829320636</v>
      </c>
      <c r="K114" s="6">
        <f t="shared" ca="1" si="7"/>
        <v>-1.4185225250102578</v>
      </c>
    </row>
    <row r="115" spans="4:11" ht="11.25" customHeight="1" x14ac:dyDescent="0.15">
      <c r="D115" s="44">
        <v>1993</v>
      </c>
      <c r="E115" s="21">
        <v>319.14170014341533</v>
      </c>
      <c r="F115" s="6">
        <f t="shared" si="8"/>
        <v>6.4081562646800769</v>
      </c>
      <c r="G115" s="8">
        <f t="shared" ca="1" si="6"/>
        <v>-2.4140399426549664</v>
      </c>
      <c r="H115" s="55">
        <f t="shared" si="11"/>
        <v>102.35241187394723</v>
      </c>
      <c r="I115" s="6">
        <f t="shared" ca="1" si="9"/>
        <v>-2.8679239610364675</v>
      </c>
      <c r="J115" s="6">
        <f t="shared" ca="1" si="10"/>
        <v>6.489945398307297</v>
      </c>
      <c r="K115" s="6">
        <f t="shared" ca="1" si="7"/>
        <v>-1.3910289300173728</v>
      </c>
    </row>
    <row r="116" spans="4:11" ht="11.25" customHeight="1" x14ac:dyDescent="0.15">
      <c r="D116" s="44">
        <v>1994</v>
      </c>
      <c r="E116" s="21">
        <v>332.956587194051</v>
      </c>
      <c r="F116" s="6">
        <f t="shared" si="8"/>
        <v>6.7411128518741279</v>
      </c>
      <c r="G116" s="8">
        <f t="shared" ca="1" si="6"/>
        <v>-2.3587278497916042</v>
      </c>
      <c r="H116" s="55">
        <f t="shared" si="11"/>
        <v>102.35241187394723</v>
      </c>
      <c r="I116" s="6">
        <f t="shared" ca="1" si="9"/>
        <v>-3.3936289801022212</v>
      </c>
      <c r="J116" s="6">
        <f t="shared" ca="1" si="10"/>
        <v>6.8425500246813229</v>
      </c>
      <c r="K116" s="6">
        <f t="shared" ca="1" si="7"/>
        <v>-1.363423546932605</v>
      </c>
    </row>
    <row r="117" spans="4:11" ht="11.25" customHeight="1" x14ac:dyDescent="0.15">
      <c r="D117" s="44">
        <v>1995</v>
      </c>
      <c r="E117" s="21">
        <v>362.19329283589354</v>
      </c>
      <c r="F117" s="6">
        <f t="shared" si="8"/>
        <v>7.1033061447100216</v>
      </c>
      <c r="G117" s="8">
        <f t="shared" ca="1" si="6"/>
        <v>-2.3013000353628787</v>
      </c>
      <c r="H117" s="55">
        <f t="shared" si="11"/>
        <v>110.92845626468008</v>
      </c>
      <c r="I117" s="6">
        <f t="shared" ca="1" si="9"/>
        <v>-3.4804351602051611</v>
      </c>
      <c r="J117" s="6">
        <f t="shared" ca="1" si="10"/>
        <v>7.2123810243123927</v>
      </c>
      <c r="K117" s="6">
        <f t="shared" ca="1" si="7"/>
        <v>-1.3345285405120018</v>
      </c>
    </row>
    <row r="118" spans="4:11" ht="11.25" customHeight="1" x14ac:dyDescent="0.15">
      <c r="D118" s="44">
        <v>1996</v>
      </c>
      <c r="E118" s="21">
        <v>397.59810806685243</v>
      </c>
      <c r="F118" s="6">
        <f t="shared" si="8"/>
        <v>7.5009042527768743</v>
      </c>
      <c r="G118" s="8">
        <f t="shared" ca="1" si="6"/>
        <v>-2.2412164559201866</v>
      </c>
      <c r="H118" s="55">
        <f t="shared" si="11"/>
        <v>110.92845626468008</v>
      </c>
      <c r="I118" s="6">
        <f t="shared" ca="1" si="9"/>
        <v>-3.0163124277878524</v>
      </c>
      <c r="J118" s="6">
        <f t="shared" ca="1" si="10"/>
        <v>7.6000673257329936</v>
      </c>
      <c r="K118" s="6">
        <f t="shared" ca="1" si="7"/>
        <v>-1.3040409343626906</v>
      </c>
    </row>
    <row r="119" spans="4:11" ht="11.25" customHeight="1" x14ac:dyDescent="0.15">
      <c r="D119" s="44">
        <v>1997</v>
      </c>
      <c r="E119" s="21">
        <v>414.3251080990234</v>
      </c>
      <c r="F119" s="6">
        <f t="shared" si="8"/>
        <v>7.9152293608758981</v>
      </c>
      <c r="G119" s="8">
        <f t="shared" ca="1" si="6"/>
        <v>-2.181560783580399</v>
      </c>
      <c r="H119" s="55">
        <f t="shared" si="11"/>
        <v>110.92845626468008</v>
      </c>
      <c r="I119" s="6">
        <f t="shared" ca="1" si="9"/>
        <v>-2.6409574868075651</v>
      </c>
      <c r="J119" s="6">
        <f t="shared" ca="1" si="10"/>
        <v>8.0062374207558786</v>
      </c>
      <c r="K119" s="6">
        <f t="shared" ca="1" si="7"/>
        <v>-1.273509788301153</v>
      </c>
    </row>
    <row r="120" spans="4:11" ht="11.25" customHeight="1" x14ac:dyDescent="0.15">
      <c r="D120" s="44">
        <v>1998</v>
      </c>
      <c r="E120" s="21">
        <v>420.28210821184473</v>
      </c>
      <c r="F120" s="6">
        <f t="shared" si="8"/>
        <v>8.3355114690877432</v>
      </c>
      <c r="G120" s="8">
        <f t="shared" ca="1" si="6"/>
        <v>-2.1238136389314022</v>
      </c>
      <c r="H120" s="55">
        <f t="shared" si="11"/>
        <v>93.099204252776886</v>
      </c>
      <c r="I120" s="6">
        <f t="shared" ca="1" si="9"/>
        <v>-2.6615197597629958</v>
      </c>
      <c r="J120" s="6">
        <f t="shared" ca="1" si="10"/>
        <v>8.4315163621859881</v>
      </c>
      <c r="K120" s="6">
        <f t="shared" ca="1" si="7"/>
        <v>-1.243706963653624</v>
      </c>
    </row>
    <row r="121" spans="4:11" ht="11.25" customHeight="1" x14ac:dyDescent="0.15">
      <c r="D121" s="44">
        <v>1999</v>
      </c>
      <c r="E121" s="21">
        <v>421.39072764654452</v>
      </c>
      <c r="F121" s="6">
        <f t="shared" si="8"/>
        <v>8.7569021967342877</v>
      </c>
      <c r="G121" s="8">
        <f t="shared" ca="1" si="6"/>
        <v>-2.0684330181927248</v>
      </c>
      <c r="H121" s="55">
        <f t="shared" si="11"/>
        <v>93.099204252776886</v>
      </c>
      <c r="I121" s="6">
        <f t="shared" ca="1" si="9"/>
        <v>-3.1730089172533553</v>
      </c>
      <c r="J121" s="6">
        <f t="shared" ca="1" si="10"/>
        <v>8.8765224533461993</v>
      </c>
      <c r="K121" s="6">
        <f t="shared" ca="1" si="7"/>
        <v>-1.2148951794598961</v>
      </c>
    </row>
    <row r="122" spans="4:11" ht="11.25" customHeight="1" x14ac:dyDescent="0.15">
      <c r="D122" s="44">
        <v>2000</v>
      </c>
      <c r="E122" s="21">
        <v>447.91458627262</v>
      </c>
      <c r="F122" s="6">
        <f t="shared" si="8"/>
        <v>9.2048167830069083</v>
      </c>
      <c r="G122" s="8">
        <f t="shared" ca="1" si="6"/>
        <v>-2.0120628235133782</v>
      </c>
      <c r="H122" s="55">
        <f t="shared" si="11"/>
        <v>93.099204252776886</v>
      </c>
      <c r="I122" s="6">
        <f t="shared" ca="1" si="9"/>
        <v>-3.4792145153433012</v>
      </c>
      <c r="J122" s="6">
        <f t="shared" ca="1" si="10"/>
        <v>9.3418636233765255</v>
      </c>
      <c r="K122" s="6">
        <f t="shared" ca="1" si="7"/>
        <v>-1.1853365226264683</v>
      </c>
    </row>
    <row r="123" spans="4:11" ht="11.25" customHeight="1" x14ac:dyDescent="0.15">
      <c r="D123" s="44">
        <v>2001</v>
      </c>
      <c r="E123" s="21">
        <v>473.44583947493919</v>
      </c>
      <c r="F123" s="6">
        <f t="shared" si="8"/>
        <v>9.6782626224818475</v>
      </c>
      <c r="G123" s="8">
        <f t="shared" ca="1" si="6"/>
        <v>-1.9550061223142319</v>
      </c>
      <c r="H123" s="55">
        <f t="shared" si="11"/>
        <v>104.32320219673429</v>
      </c>
      <c r="I123" s="6">
        <f t="shared" ca="1" si="9"/>
        <v>-3.6430068018653401</v>
      </c>
      <c r="J123" s="6">
        <f t="shared" ca="1" si="10"/>
        <v>9.8281334857042673</v>
      </c>
      <c r="K123" s="6">
        <f t="shared" ca="1" si="7"/>
        <v>-1.1551792419971971</v>
      </c>
    </row>
    <row r="124" spans="4:11" ht="11.25" customHeight="1" x14ac:dyDescent="0.15">
      <c r="D124" s="44">
        <v>2002</v>
      </c>
      <c r="E124" s="21">
        <v>504.38347671666179</v>
      </c>
      <c r="F124" s="6">
        <f t="shared" si="8"/>
        <v>10.182646099198509</v>
      </c>
      <c r="G124" s="8">
        <f t="shared" ca="1" si="6"/>
        <v>-1.8967986692250758</v>
      </c>
      <c r="H124" s="55">
        <f t="shared" si="11"/>
        <v>104.32320219673429</v>
      </c>
      <c r="I124" s="6">
        <f t="shared" ca="1" si="9"/>
        <v>-3.5680797423610784</v>
      </c>
      <c r="J124" s="6">
        <f t="shared" ca="1" si="10"/>
        <v>10.33590708113914</v>
      </c>
      <c r="K124" s="6">
        <f t="shared" ca="1" si="7"/>
        <v>-1.1241663494264584</v>
      </c>
    </row>
    <row r="125" spans="4:11" ht="11.25" customHeight="1" x14ac:dyDescent="0.15">
      <c r="D125" s="44">
        <v>2003</v>
      </c>
      <c r="E125" s="21">
        <v>535.36838770548627</v>
      </c>
      <c r="F125" s="6">
        <f t="shared" si="8"/>
        <v>10.718014486903995</v>
      </c>
      <c r="G125" s="8">
        <f t="shared" ca="1" si="6"/>
        <v>-1.8376373553367198</v>
      </c>
      <c r="H125" s="55">
        <f t="shared" si="11"/>
        <v>104.32320219673429</v>
      </c>
      <c r="I125" s="6">
        <f t="shared" ca="1" si="9"/>
        <v>-3.2952776863703548</v>
      </c>
      <c r="J125" s="6">
        <f t="shared" ca="1" si="10"/>
        <v>10.865736311744101</v>
      </c>
      <c r="K125" s="6">
        <f t="shared" ca="1" si="7"/>
        <v>-1.0923895456348767</v>
      </c>
    </row>
    <row r="126" spans="4:11" ht="11.25" customHeight="1" x14ac:dyDescent="0.15">
      <c r="D126" s="44">
        <v>2004</v>
      </c>
      <c r="E126" s="21">
        <v>594.81050246469783</v>
      </c>
      <c r="F126" s="6">
        <f t="shared" si="8"/>
        <v>11.312824989368693</v>
      </c>
      <c r="G126" s="8">
        <f t="shared" ca="1" si="6"/>
        <v>-1.7747523510927004</v>
      </c>
      <c r="H126" s="55">
        <f t="shared" si="11"/>
        <v>112.87894609919852</v>
      </c>
      <c r="I126" s="6">
        <f t="shared" ca="1" si="9"/>
        <v>-2.2500094417664513</v>
      </c>
      <c r="J126" s="6">
        <f t="shared" ca="1" si="10"/>
        <v>11.418145076978028</v>
      </c>
      <c r="K126" s="6">
        <f t="shared" ca="1" si="7"/>
        <v>-1.058330822916669</v>
      </c>
    </row>
    <row r="127" spans="4:11" ht="11.25" customHeight="1" x14ac:dyDescent="0.15">
      <c r="D127" s="44">
        <v>2005</v>
      </c>
      <c r="E127" s="21">
        <v>644.01965069250946</v>
      </c>
      <c r="F127" s="6">
        <f t="shared" si="8"/>
        <v>11.956844640061203</v>
      </c>
      <c r="G127" s="8">
        <f t="shared" ca="1" si="6"/>
        <v>-1.7096878390194874</v>
      </c>
      <c r="H127" s="55">
        <f t="shared" si="11"/>
        <v>112.87894609919852</v>
      </c>
      <c r="I127" s="6">
        <f t="shared" ca="1" si="9"/>
        <v>-0.75261012688497431</v>
      </c>
      <c r="J127" s="6">
        <f t="shared" ca="1" si="10"/>
        <v>11.993624129591904</v>
      </c>
      <c r="K127" s="6">
        <f t="shared" ca="1" si="7"/>
        <v>-1.0227873133319985</v>
      </c>
    </row>
    <row r="128" spans="4:11" ht="11.25" customHeight="1" x14ac:dyDescent="0.15">
      <c r="D128" s="44">
        <v>2006</v>
      </c>
      <c r="E128" s="21">
        <v>710.60737124323271</v>
      </c>
      <c r="F128" s="6">
        <f t="shared" si="8"/>
        <v>12.667452011304436</v>
      </c>
      <c r="G128" s="8">
        <f t="shared" ca="1" si="6"/>
        <v>-1.6411452389461143</v>
      </c>
      <c r="H128" s="55">
        <f t="shared" si="11"/>
        <v>112.87894609919852</v>
      </c>
      <c r="I128" s="6">
        <f t="shared" ca="1" si="9"/>
        <v>1.4663060501752625</v>
      </c>
      <c r="J128" s="6">
        <f t="shared" ca="1" si="10"/>
        <v>12.592625675355643</v>
      </c>
      <c r="K128" s="6">
        <f t="shared" ca="1" si="7"/>
        <v>-0.98501117889866507</v>
      </c>
    </row>
    <row r="129" spans="4:11" ht="11.25" customHeight="1" x14ac:dyDescent="0.15">
      <c r="D129" s="44">
        <v>2007</v>
      </c>
      <c r="E129" s="21">
        <v>762.39640624098774</v>
      </c>
      <c r="F129" s="6">
        <f t="shared" si="8"/>
        <v>13.429848417545424</v>
      </c>
      <c r="G129" s="8">
        <f t="shared" ca="1" si="6"/>
        <v>-1.5709714427729617</v>
      </c>
      <c r="H129" s="55">
        <f t="shared" si="11"/>
        <v>78.04514464006121</v>
      </c>
      <c r="I129" s="6">
        <f t="shared" ca="1" si="9"/>
        <v>4.0236079988044366</v>
      </c>
      <c r="J129" s="6">
        <f t="shared" ca="1" si="10"/>
        <v>13.21555774784613</v>
      </c>
      <c r="K129" s="6">
        <f t="shared" ca="1" si="7"/>
        <v>-0.94598566472905488</v>
      </c>
    </row>
    <row r="130" spans="4:11" ht="11.25" customHeight="1" x14ac:dyDescent="0.15">
      <c r="D130" s="44">
        <v>2008</v>
      </c>
      <c r="E130" s="21">
        <v>820.32621482361333</v>
      </c>
      <c r="F130" s="6">
        <f t="shared" si="8"/>
        <v>14.250174632369037</v>
      </c>
      <c r="G130" s="8">
        <f t="shared" ca="1" si="6"/>
        <v>-1.4989051856952236</v>
      </c>
      <c r="H130" s="55">
        <f t="shared" si="11"/>
        <v>78.04514464006121</v>
      </c>
      <c r="I130" s="6">
        <f t="shared" ca="1" si="9"/>
        <v>6.973494164281874</v>
      </c>
      <c r="J130" s="6">
        <f t="shared" ca="1" si="10"/>
        <v>13.862778397157335</v>
      </c>
      <c r="K130" s="6">
        <f t="shared" ca="1" si="7"/>
        <v>-0.9055431016493436</v>
      </c>
    </row>
    <row r="131" spans="4:11" ht="11.25" customHeight="1" x14ac:dyDescent="0.15">
      <c r="D131" s="44">
        <v>2009</v>
      </c>
      <c r="E131" s="21">
        <v>895.15278766196468</v>
      </c>
      <c r="F131" s="6">
        <f t="shared" si="8"/>
        <v>15.145327420031002</v>
      </c>
      <c r="G131" s="8">
        <f t="shared" ca="1" si="6"/>
        <v>-1.4238511945565631</v>
      </c>
      <c r="H131" s="55">
        <f t="shared" si="11"/>
        <v>78.04514464006121</v>
      </c>
      <c r="I131" s="6">
        <f t="shared" ca="1" si="9"/>
        <v>10.54317502862159</v>
      </c>
      <c r="J131" s="6">
        <f t="shared" ca="1" si="10"/>
        <v>14.534589739390883</v>
      </c>
      <c r="K131" s="6">
        <f t="shared" ca="1" si="7"/>
        <v>-0.86303705250367702</v>
      </c>
    </row>
    <row r="132" spans="4:11" ht="11.25" customHeight="1" x14ac:dyDescent="0.15">
      <c r="D132" s="44">
        <v>2010</v>
      </c>
      <c r="E132" s="21"/>
      <c r="F132" s="6"/>
      <c r="G132" s="8"/>
      <c r="H132" s="52"/>
      <c r="I132" s="6"/>
      <c r="J132" s="6">
        <f t="shared" ca="1" si="10"/>
        <v>15.231231922008629</v>
      </c>
      <c r="K132" s="6"/>
    </row>
    <row r="133" spans="4:11" ht="11.25" customHeight="1" x14ac:dyDescent="0.15">
      <c r="D133" s="44">
        <v>2011</v>
      </c>
      <c r="E133" s="21"/>
      <c r="F133" s="6"/>
      <c r="G133" s="8"/>
      <c r="H133" s="52"/>
      <c r="I133" s="6"/>
      <c r="J133" s="6">
        <f t="shared" ca="1" si="10"/>
        <v>15.952877068402588</v>
      </c>
      <c r="K133" s="6"/>
    </row>
    <row r="134" spans="4:11" ht="11.25" customHeight="1" x14ac:dyDescent="0.15">
      <c r="D134" s="44">
        <v>2012</v>
      </c>
      <c r="E134" s="21"/>
      <c r="F134" s="6"/>
      <c r="G134" s="8"/>
      <c r="H134" s="52"/>
      <c r="I134" s="6"/>
      <c r="J134" s="6">
        <f t="shared" ca="1" si="10"/>
        <v>16.699623273154476</v>
      </c>
      <c r="K134" s="6"/>
    </row>
    <row r="135" spans="4:11" ht="11.25" customHeight="1" x14ac:dyDescent="0.15">
      <c r="D135" s="44">
        <v>2013</v>
      </c>
      <c r="E135" s="21"/>
      <c r="F135" s="6"/>
      <c r="G135" s="8"/>
      <c r="H135" s="52"/>
      <c r="I135" s="6"/>
      <c r="J135" s="6">
        <f t="shared" ca="1" si="10"/>
        <v>17.471488727179256</v>
      </c>
      <c r="K135" s="6"/>
    </row>
    <row r="136" spans="4:11" ht="11.25" customHeight="1" x14ac:dyDescent="0.15">
      <c r="D136" s="44">
        <v>2014</v>
      </c>
      <c r="E136" s="21"/>
      <c r="F136" s="6"/>
      <c r="G136" s="8"/>
      <c r="H136" s="52"/>
      <c r="I136" s="6"/>
      <c r="J136" s="6">
        <f t="shared" ca="1" si="10"/>
        <v>18.268406059007546</v>
      </c>
      <c r="K136" s="6"/>
    </row>
    <row r="137" spans="4:11" ht="11.25" customHeight="1" x14ac:dyDescent="0.15">
      <c r="D137" s="44">
        <v>2015</v>
      </c>
      <c r="E137" s="21"/>
      <c r="F137" s="6"/>
      <c r="G137" s="8"/>
      <c r="H137" s="52"/>
      <c r="I137" s="6"/>
      <c r="J137" s="6">
        <f t="shared" ca="1" si="10"/>
        <v>19.090216984572784</v>
      </c>
      <c r="K137" s="6"/>
    </row>
    <row r="138" spans="4:11" ht="11.25" customHeight="1" x14ac:dyDescent="0.15">
      <c r="D138" s="44">
        <v>2016</v>
      </c>
      <c r="E138" s="21"/>
      <c r="F138" s="6"/>
      <c r="G138" s="8"/>
      <c r="H138" s="52"/>
      <c r="I138" s="6"/>
      <c r="J138" s="6">
        <f t="shared" ca="1" si="10"/>
        <v>19.936667362728247</v>
      </c>
      <c r="K138" s="6"/>
    </row>
    <row r="139" spans="4:11" ht="11.25" customHeight="1" x14ac:dyDescent="0.15">
      <c r="D139" s="44">
        <v>2017</v>
      </c>
      <c r="E139" s="21"/>
      <c r="F139" s="6"/>
      <c r="G139" s="8"/>
      <c r="H139" s="52"/>
      <c r="I139" s="6"/>
      <c r="J139" s="6">
        <f t="shared" ca="1" si="10"/>
        <v>20.807402757018234</v>
      </c>
      <c r="K139" s="6"/>
    </row>
    <row r="140" spans="4:11" ht="11.25" customHeight="1" x14ac:dyDescent="0.15">
      <c r="D140" s="44">
        <v>2018</v>
      </c>
      <c r="E140" s="21"/>
      <c r="F140" s="6"/>
      <c r="G140" s="8"/>
      <c r="H140" s="52"/>
      <c r="I140" s="6"/>
      <c r="J140" s="6">
        <f t="shared" ca="1" si="10"/>
        <v>21.701964605667527</v>
      </c>
      <c r="K140" s="6"/>
    </row>
    <row r="141" spans="4:11" ht="11.25" customHeight="1" x14ac:dyDescent="0.15">
      <c r="D141" s="44">
        <v>2019</v>
      </c>
      <c r="E141" s="21"/>
      <c r="F141" s="6"/>
      <c r="G141" s="8"/>
      <c r="H141" s="52"/>
      <c r="I141" s="6"/>
      <c r="J141" s="6">
        <f t="shared" ca="1" si="10"/>
        <v>22.619787101053319</v>
      </c>
      <c r="K141" s="6"/>
    </row>
    <row r="142" spans="4:11" ht="11.25" customHeight="1" x14ac:dyDescent="0.15">
      <c r="D142" s="44">
        <v>2020</v>
      </c>
      <c r="E142" s="21"/>
      <c r="F142" s="6"/>
      <c r="G142" s="8"/>
      <c r="H142" s="52"/>
      <c r="I142" s="6"/>
      <c r="J142" s="6">
        <f t="shared" ca="1" si="10"/>
        <v>23.560194876840484</v>
      </c>
      <c r="K142" s="6"/>
    </row>
    <row r="143" spans="4:11" ht="11.25" customHeight="1" x14ac:dyDescent="0.15">
      <c r="D143" s="44">
        <v>2021</v>
      </c>
      <c r="E143" s="21"/>
      <c r="F143" s="6"/>
      <c r="G143" s="8"/>
      <c r="H143" s="52"/>
      <c r="I143" s="6"/>
      <c r="J143" s="6">
        <f t="shared" ca="1" si="10"/>
        <v>24.522401595301094</v>
      </c>
      <c r="K143" s="6"/>
    </row>
    <row r="144" spans="4:11" ht="11.25" customHeight="1" x14ac:dyDescent="0.15">
      <c r="D144" s="44">
        <v>2022</v>
      </c>
      <c r="E144" s="21"/>
      <c r="F144" s="6"/>
      <c r="G144" s="8"/>
      <c r="H144" s="52"/>
      <c r="I144" s="6"/>
      <c r="J144" s="6">
        <f t="shared" ca="1" si="10"/>
        <v>25.505509518976577</v>
      </c>
      <c r="K144" s="6"/>
    </row>
    <row r="145" spans="4:11" ht="11.25" customHeight="1" x14ac:dyDescent="0.15">
      <c r="D145" s="44">
        <v>2023</v>
      </c>
      <c r="E145" s="21"/>
      <c r="F145" s="6"/>
      <c r="G145" s="8"/>
      <c r="H145" s="52"/>
      <c r="I145" s="6"/>
      <c r="J145" s="6">
        <f t="shared" ca="1" si="10"/>
        <v>26.508510139730436</v>
      </c>
      <c r="K145" s="6"/>
    </row>
    <row r="146" spans="4:11" ht="11.25" customHeight="1" x14ac:dyDescent="0.15">
      <c r="D146" s="44">
        <v>2024</v>
      </c>
      <c r="E146" s="21"/>
      <c r="F146" s="6"/>
      <c r="G146" s="8"/>
      <c r="H146" s="52"/>
      <c r="I146" s="6"/>
      <c r="J146" s="6">
        <f t="shared" ca="1" si="10"/>
        <v>27.530285924429574</v>
      </c>
      <c r="K146" s="6"/>
    </row>
    <row r="147" spans="4:11" ht="11.25" customHeight="1" x14ac:dyDescent="0.15">
      <c r="D147" s="44">
        <v>2025</v>
      </c>
      <c r="E147" s="21"/>
      <c r="F147" s="6"/>
      <c r="G147" s="8"/>
      <c r="H147" s="52"/>
      <c r="I147" s="6"/>
      <c r="J147" s="6">
        <f t="shared" ca="1" si="10"/>
        <v>28.569613220134645</v>
      </c>
      <c r="K147" s="6"/>
    </row>
    <row r="148" spans="4:11" ht="11.25" customHeight="1" x14ac:dyDescent="0.15">
      <c r="D148" s="44">
        <v>2026</v>
      </c>
      <c r="E148" s="21"/>
      <c r="F148" s="6"/>
      <c r="G148" s="8"/>
      <c r="H148" s="52"/>
      <c r="I148" s="6"/>
      <c r="J148" s="6">
        <f t="shared" ca="1" si="10"/>
        <v>29.625166343034071</v>
      </c>
      <c r="K148" s="6"/>
    </row>
    <row r="149" spans="4:11" ht="11.25" customHeight="1" x14ac:dyDescent="0.15">
      <c r="D149" s="44">
        <v>2027</v>
      </c>
      <c r="E149" s="21"/>
      <c r="F149" s="6"/>
      <c r="G149" s="8"/>
      <c r="H149" s="52"/>
      <c r="I149" s="6"/>
      <c r="J149" s="6">
        <f t="shared" ca="1" si="10"/>
        <v>30.695522854789875</v>
      </c>
      <c r="K149" s="6"/>
    </row>
    <row r="150" spans="4:11" ht="11.25" customHeight="1" x14ac:dyDescent="0.15">
      <c r="D150" s="44">
        <v>2028</v>
      </c>
      <c r="E150" s="21"/>
      <c r="F150" s="6"/>
      <c r="G150" s="8"/>
      <c r="H150" s="52"/>
      <c r="I150" s="6"/>
      <c r="J150" s="6">
        <f t="shared" ca="1" si="10"/>
        <v>31.779170007948856</v>
      </c>
      <c r="K150" s="6"/>
    </row>
    <row r="151" spans="4:11" ht="11.25" customHeight="1" x14ac:dyDescent="0.15">
      <c r="D151" s="44">
        <v>2029</v>
      </c>
      <c r="E151" s="21"/>
      <c r="F151" s="6"/>
      <c r="G151" s="8"/>
      <c r="H151" s="52"/>
      <c r="I151" s="6"/>
      <c r="J151" s="6">
        <f t="shared" ca="1" si="10"/>
        <v>32.874512319171018</v>
      </c>
      <c r="K151" s="6"/>
    </row>
    <row r="152" spans="4:11" ht="11.25" customHeight="1" x14ac:dyDescent="0.15">
      <c r="D152" s="44">
        <v>2030</v>
      </c>
      <c r="E152" s="21"/>
      <c r="F152" s="6"/>
      <c r="G152" s="8"/>
      <c r="H152" s="52"/>
      <c r="I152" s="6"/>
      <c r="J152" s="6">
        <f t="shared" ca="1" si="10"/>
        <v>33.979880205877272</v>
      </c>
      <c r="K152" s="6"/>
    </row>
    <row r="153" spans="4:11" ht="11.25" customHeight="1" x14ac:dyDescent="0.15">
      <c r="D153" s="44">
        <v>2031</v>
      </c>
      <c r="E153" s="21"/>
      <c r="F153" s="6"/>
      <c r="G153" s="8"/>
      <c r="H153" s="52"/>
      <c r="I153" s="6"/>
      <c r="J153" s="6">
        <f t="shared" ca="1" si="10"/>
        <v>35.093539599208846</v>
      </c>
      <c r="K153" s="6"/>
    </row>
    <row r="154" spans="4:11" ht="11.25" customHeight="1" x14ac:dyDescent="0.15">
      <c r="D154" s="44">
        <v>2032</v>
      </c>
      <c r="E154" s="21"/>
      <c r="F154" s="6"/>
      <c r="G154" s="8"/>
      <c r="H154" s="52"/>
      <c r="I154" s="6"/>
      <c r="J154" s="6">
        <f t="shared" ca="1" si="10"/>
        <v>36.21370242463535</v>
      </c>
      <c r="K154" s="6"/>
    </row>
    <row r="155" spans="4:11" ht="11.25" customHeight="1" x14ac:dyDescent="0.15">
      <c r="D155" s="44">
        <v>2033</v>
      </c>
      <c r="E155" s="21"/>
      <c r="F155" s="6"/>
      <c r="G155" s="8"/>
      <c r="H155" s="52"/>
      <c r="I155" s="6"/>
      <c r="J155" s="6">
        <f t="shared" ca="1" si="10"/>
        <v>37.33853782185556</v>
      </c>
      <c r="K155" s="6"/>
    </row>
    <row r="156" spans="4:11" ht="11.25" customHeight="1" x14ac:dyDescent="0.15">
      <c r="D156" s="44">
        <v>2034</v>
      </c>
      <c r="E156" s="21"/>
      <c r="F156" s="6"/>
      <c r="G156" s="8"/>
      <c r="H156" s="52"/>
      <c r="I156" s="6"/>
      <c r="J156" s="6">
        <f t="shared" ca="1" si="10"/>
        <v>38.466183958473913</v>
      </c>
      <c r="K156" s="6"/>
    </row>
    <row r="157" spans="4:11" ht="11.25" customHeight="1" x14ac:dyDescent="0.15">
      <c r="D157" s="44">
        <v>2035</v>
      </c>
      <c r="E157" s="21"/>
      <c r="F157" s="6"/>
      <c r="G157" s="8"/>
      <c r="H157" s="52"/>
      <c r="I157" s="6"/>
      <c r="J157" s="6">
        <f t="shared" ca="1" si="10"/>
        <v>39.594760277908584</v>
      </c>
      <c r="K157" s="6"/>
    </row>
    <row r="158" spans="4:11" ht="11.25" customHeight="1" x14ac:dyDescent="0.15">
      <c r="D158" s="44">
        <v>2036</v>
      </c>
      <c r="E158" s="21"/>
      <c r="F158" s="6"/>
      <c r="G158" s="8"/>
      <c r="H158" s="52"/>
      <c r="I158" s="6"/>
      <c r="J158" s="6">
        <f t="shared" ca="1" si="10"/>
        <v>40.722380011594019</v>
      </c>
      <c r="K158" s="6"/>
    </row>
    <row r="159" spans="4:11" ht="11.25" customHeight="1" x14ac:dyDescent="0.15">
      <c r="D159" s="44">
        <v>2037</v>
      </c>
      <c r="E159" s="21"/>
      <c r="F159" s="6"/>
      <c r="G159" s="8"/>
      <c r="H159" s="52"/>
      <c r="I159" s="6"/>
      <c r="J159" s="6">
        <f t="shared" ca="1" si="10"/>
        <v>41.847162779161543</v>
      </c>
      <c r="K159" s="6"/>
    </row>
    <row r="160" spans="4:11" ht="11.25" customHeight="1" x14ac:dyDescent="0.15">
      <c r="D160" s="44">
        <v>2038</v>
      </c>
      <c r="E160" s="21"/>
      <c r="F160" s="6"/>
      <c r="G160" s="8"/>
      <c r="H160" s="52"/>
      <c r="I160" s="6"/>
      <c r="J160" s="6">
        <f t="shared" ca="1" si="10"/>
        <v>42.967247098148427</v>
      </c>
      <c r="K160" s="6"/>
    </row>
    <row r="161" spans="4:11" ht="11.25" customHeight="1" x14ac:dyDescent="0.15">
      <c r="D161" s="44">
        <v>2039</v>
      </c>
      <c r="E161" s="21"/>
      <c r="F161" s="6"/>
      <c r="G161" s="8"/>
      <c r="H161" s="52"/>
      <c r="I161" s="6"/>
      <c r="J161" s="6">
        <f t="shared" ca="1" si="10"/>
        <v>44.080802626979334</v>
      </c>
      <c r="K161" s="6"/>
    </row>
    <row r="162" spans="4:11" ht="11.25" customHeight="1" x14ac:dyDescent="0.15">
      <c r="D162" s="44">
        <v>2040</v>
      </c>
      <c r="E162" s="21"/>
      <c r="F162" s="6"/>
      <c r="G162" s="8"/>
      <c r="H162" s="52"/>
      <c r="I162" s="6"/>
      <c r="J162" s="6">
        <f t="shared" ca="1" si="10"/>
        <v>45.186041971401615</v>
      </c>
      <c r="K162" s="6"/>
    </row>
    <row r="163" spans="4:11" ht="11.25" customHeight="1" x14ac:dyDescent="0.15">
      <c r="D163" s="44">
        <v>2041</v>
      </c>
      <c r="E163" s="21"/>
      <c r="F163" s="6"/>
      <c r="G163" s="8"/>
      <c r="H163" s="52"/>
      <c r="I163" s="6"/>
      <c r="J163" s="6">
        <f t="shared" ca="1" si="10"/>
        <v>46.281231895002612</v>
      </c>
      <c r="K163" s="6"/>
    </row>
    <row r="164" spans="4:11" ht="11.25" customHeight="1" x14ac:dyDescent="0.15">
      <c r="D164" s="44">
        <v>2042</v>
      </c>
      <c r="E164" s="21"/>
      <c r="F164" s="6"/>
      <c r="G164" s="8"/>
      <c r="H164" s="52"/>
      <c r="I164" s="6"/>
      <c r="J164" s="6">
        <f t="shared" ca="1" si="10"/>
        <v>47.364703788512067</v>
      </c>
      <c r="K164" s="6"/>
    </row>
    <row r="165" spans="4:11" ht="11.25" customHeight="1" x14ac:dyDescent="0.15">
      <c r="D165" s="44">
        <v>2043</v>
      </c>
      <c r="E165" s="21"/>
      <c r="F165" s="6"/>
      <c r="G165" s="8"/>
      <c r="H165" s="52"/>
      <c r="I165" s="6"/>
      <c r="J165" s="6">
        <f t="shared" ca="1" si="10"/>
        <v>48.434863269793276</v>
      </c>
      <c r="K165" s="6"/>
    </row>
    <row r="166" spans="4:11" ht="11.25" customHeight="1" x14ac:dyDescent="0.15">
      <c r="D166" s="44">
        <v>2044</v>
      </c>
      <c r="E166" s="21"/>
      <c r="F166" s="6"/>
      <c r="G166" s="8"/>
      <c r="H166" s="52"/>
      <c r="I166" s="6"/>
      <c r="J166" s="6">
        <f t="shared" ca="1" si="10"/>
        <v>49.490198806150566</v>
      </c>
      <c r="K166" s="6"/>
    </row>
    <row r="167" spans="4:11" ht="11.25" customHeight="1" x14ac:dyDescent="0.15">
      <c r="D167" s="44">
        <v>2045</v>
      </c>
      <c r="E167" s="21"/>
      <c r="F167" s="6"/>
      <c r="G167" s="8"/>
      <c r="H167" s="52"/>
      <c r="I167" s="6"/>
      <c r="J167" s="6">
        <f t="shared" ca="1" si="10"/>
        <v>50.529289272157271</v>
      </c>
      <c r="K167" s="6"/>
    </row>
    <row r="168" spans="4:11" ht="11.25" customHeight="1" x14ac:dyDescent="0.15">
      <c r="D168" s="44">
        <v>2046</v>
      </c>
      <c r="E168" s="21"/>
      <c r="F168" s="6"/>
      <c r="G168" s="8"/>
      <c r="H168" s="52"/>
      <c r="I168" s="6"/>
      <c r="J168" s="6">
        <f t="shared" ca="1" si="10"/>
        <v>51.550810378928837</v>
      </c>
      <c r="K168" s="6"/>
    </row>
    <row r="169" spans="4:11" ht="11.25" customHeight="1" x14ac:dyDescent="0.15">
      <c r="D169" s="44">
        <v>2047</v>
      </c>
      <c r="E169" s="21"/>
      <c r="F169" s="6"/>
      <c r="G169" s="8"/>
      <c r="H169" s="51"/>
      <c r="I169" s="6"/>
      <c r="J169" s="6">
        <f t="shared" ca="1" si="10"/>
        <v>52.553539933917122</v>
      </c>
      <c r="K169" s="6"/>
    </row>
    <row r="170" spans="4:11" ht="11.25" customHeight="1" x14ac:dyDescent="0.15">
      <c r="D170" s="44">
        <v>2048</v>
      </c>
      <c r="E170" s="21"/>
      <c r="F170" s="6"/>
      <c r="G170" s="8"/>
      <c r="H170" s="51"/>
      <c r="I170" s="6"/>
      <c r="J170" s="6">
        <f t="shared" ref="J170:J233" ca="1" si="12">F$1/(1+EXP((AVERAGE(E$2:F$2)-D170)*LN(81)/(F$2-E$2)))</f>
        <v>53.536361913194902</v>
      </c>
      <c r="K170" s="6"/>
    </row>
    <row r="171" spans="4:11" ht="11.25" customHeight="1" x14ac:dyDescent="0.15">
      <c r="D171" s="44">
        <v>2049</v>
      </c>
      <c r="E171" s="21"/>
      <c r="F171" s="6"/>
      <c r="G171" s="8"/>
      <c r="H171" s="51"/>
      <c r="I171" s="6"/>
      <c r="J171" s="6">
        <f t="shared" ca="1" si="12"/>
        <v>54.498269350198107</v>
      </c>
      <c r="K171" s="6"/>
    </row>
    <row r="172" spans="4:11" ht="11.25" customHeight="1" x14ac:dyDescent="0.15">
      <c r="D172" s="44">
        <v>2050</v>
      </c>
      <c r="E172" s="21"/>
      <c r="F172" s="6"/>
      <c r="G172" s="8"/>
      <c r="H172" s="51"/>
      <c r="I172" s="6"/>
      <c r="J172" s="6">
        <f t="shared" ca="1" si="12"/>
        <v>55.43836606543573</v>
      </c>
      <c r="K172" s="6"/>
    </row>
    <row r="173" spans="4:11" ht="11.25" customHeight="1" x14ac:dyDescent="0.15">
      <c r="D173" s="44">
        <v>2051</v>
      </c>
      <c r="E173" s="21"/>
      <c r="F173" s="6"/>
      <c r="G173" s="8"/>
      <c r="H173" s="51"/>
      <c r="I173" s="6"/>
      <c r="J173" s="6">
        <f t="shared" ca="1" si="12"/>
        <v>56.355867280293225</v>
      </c>
      <c r="K173" s="6"/>
    </row>
    <row r="174" spans="4:11" ht="11.25" customHeight="1" x14ac:dyDescent="0.15">
      <c r="D174" s="44">
        <v>2052</v>
      </c>
      <c r="E174" s="21"/>
      <c r="F174" s="6"/>
      <c r="G174" s="8"/>
      <c r="H174" s="51"/>
      <c r="I174" s="6"/>
      <c r="J174" s="6">
        <f t="shared" ca="1" si="12"/>
        <v>57.250099174379066</v>
      </c>
      <c r="K174" s="6"/>
    </row>
    <row r="175" spans="4:11" ht="11.25" customHeight="1" x14ac:dyDescent="0.15">
      <c r="D175" s="44">
        <v>2053</v>
      </c>
      <c r="E175" s="21"/>
      <c r="F175" s="6"/>
      <c r="G175" s="8"/>
      <c r="H175" s="51"/>
      <c r="I175" s="6"/>
      <c r="J175" s="6">
        <f t="shared" ca="1" si="12"/>
        <v>58.120497459636688</v>
      </c>
      <c r="K175" s="6"/>
    </row>
    <row r="176" spans="4:11" ht="11.25" customHeight="1" x14ac:dyDescent="0.15">
      <c r="D176" s="44">
        <v>2054</v>
      </c>
      <c r="E176" s="21"/>
      <c r="F176" s="6"/>
      <c r="G176" s="8"/>
      <c r="H176" s="51"/>
      <c r="I176" s="6"/>
      <c r="J176" s="6">
        <f t="shared" ca="1" si="12"/>
        <v>58.966605055516276</v>
      </c>
      <c r="K176" s="6"/>
    </row>
    <row r="177" spans="4:11" ht="11.25" customHeight="1" x14ac:dyDescent="0.15">
      <c r="D177" s="44">
        <v>2055</v>
      </c>
      <c r="E177" s="21"/>
      <c r="F177" s="6"/>
      <c r="G177" s="8"/>
      <c r="H177" s="51"/>
      <c r="I177" s="6"/>
      <c r="J177" s="6">
        <f t="shared" ca="1" si="12"/>
        <v>59.788068957825018</v>
      </c>
      <c r="K177" s="6"/>
    </row>
    <row r="178" spans="4:11" ht="11.25" customHeight="1" x14ac:dyDescent="0.15">
      <c r="D178" s="44">
        <v>2056</v>
      </c>
      <c r="E178" s="21"/>
      <c r="F178" s="6"/>
      <c r="G178" s="8"/>
      <c r="H178" s="51"/>
      <c r="I178" s="6"/>
      <c r="J178" s="6">
        <f t="shared" ca="1" si="12"/>
        <v>60.584636399497327</v>
      </c>
      <c r="K178" s="6"/>
    </row>
    <row r="179" spans="4:11" ht="11.25" customHeight="1" x14ac:dyDescent="0.15">
      <c r="D179" s="44">
        <v>2057</v>
      </c>
      <c r="E179" s="21"/>
      <c r="F179" s="6"/>
      <c r="G179" s="8"/>
      <c r="H179" s="51"/>
      <c r="I179" s="6"/>
      <c r="J179" s="6">
        <f t="shared" ca="1" si="12"/>
        <v>61.356150404574826</v>
      </c>
      <c r="K179" s="6"/>
    </row>
    <row r="180" spans="4:11" ht="11.25" customHeight="1" x14ac:dyDescent="0.15">
      <c r="D180" s="44">
        <v>2058</v>
      </c>
      <c r="E180" s="21"/>
      <c r="F180" s="6"/>
      <c r="G180" s="8"/>
      <c r="H180" s="51"/>
      <c r="I180" s="6"/>
      <c r="J180" s="6">
        <f t="shared" ca="1" si="12"/>
        <v>62.102544837354323</v>
      </c>
      <c r="K180" s="6"/>
    </row>
    <row r="181" spans="4:11" ht="11.25" customHeight="1" x14ac:dyDescent="0.15">
      <c r="D181" s="44">
        <v>2059</v>
      </c>
      <c r="E181" s="21"/>
      <c r="F181" s="6"/>
      <c r="G181" s="8"/>
      <c r="H181" s="51"/>
      <c r="I181" s="6"/>
      <c r="J181" s="6">
        <f t="shared" ca="1" si="12"/>
        <v>62.823839047193999</v>
      </c>
      <c r="K181" s="6"/>
    </row>
    <row r="182" spans="4:11" ht="11.25" customHeight="1" x14ac:dyDescent="0.15">
      <c r="D182" s="44">
        <v>2060</v>
      </c>
      <c r="E182" s="21"/>
      <c r="F182" s="6"/>
      <c r="G182" s="8"/>
      <c r="H182" s="51"/>
      <c r="I182" s="6"/>
      <c r="J182" s="6">
        <f t="shared" ca="1" si="12"/>
        <v>63.520132206144915</v>
      </c>
      <c r="K182" s="6"/>
    </row>
    <row r="183" spans="4:11" ht="11.25" customHeight="1" x14ac:dyDescent="0.15">
      <c r="D183" s="44">
        <v>2061</v>
      </c>
      <c r="E183" s="21"/>
      <c r="F183" s="6"/>
      <c r="G183" s="8"/>
      <c r="H183" s="51"/>
      <c r="I183" s="6"/>
      <c r="J183" s="6">
        <f t="shared" ca="1" si="12"/>
        <v>64.191597431696053</v>
      </c>
      <c r="K183" s="6"/>
    </row>
    <row r="184" spans="4:11" ht="11.25" customHeight="1" x14ac:dyDescent="0.15">
      <c r="D184" s="44">
        <v>2062</v>
      </c>
      <c r="E184" s="21"/>
      <c r="F184" s="6"/>
      <c r="G184" s="8"/>
      <c r="H184" s="51"/>
      <c r="I184" s="6"/>
      <c r="J184" s="6">
        <f t="shared" ca="1" si="12"/>
        <v>64.838475780794951</v>
      </c>
      <c r="K184" s="6"/>
    </row>
    <row r="185" spans="4:11" ht="11.25" customHeight="1" x14ac:dyDescent="0.15">
      <c r="D185" s="44">
        <v>2063</v>
      </c>
      <c r="E185" s="21"/>
      <c r="F185" s="6"/>
      <c r="G185" s="8"/>
      <c r="H185" s="51"/>
      <c r="I185" s="6"/>
      <c r="J185" s="6">
        <f t="shared" ca="1" si="12"/>
        <v>65.461070194233727</v>
      </c>
      <c r="K185" s="6"/>
    </row>
    <row r="186" spans="4:11" ht="11.25" customHeight="1" x14ac:dyDescent="0.15">
      <c r="D186" s="44">
        <v>2064</v>
      </c>
      <c r="E186" s="21"/>
      <c r="F186" s="6"/>
      <c r="G186" s="8"/>
      <c r="H186" s="51"/>
      <c r="I186" s="6"/>
      <c r="J186" s="6">
        <f t="shared" ca="1" si="12"/>
        <v>66.059739462761726</v>
      </c>
      <c r="K186" s="6"/>
    </row>
    <row r="187" spans="4:11" ht="11.25" customHeight="1" x14ac:dyDescent="0.15">
      <c r="D187" s="44">
        <v>2065</v>
      </c>
      <c r="E187" s="21"/>
      <c r="F187" s="6"/>
      <c r="G187" s="8"/>
      <c r="H187" s="51"/>
      <c r="I187" s="6"/>
      <c r="J187" s="6">
        <f t="shared" ca="1" si="12"/>
        <v>66.634892278164457</v>
      </c>
      <c r="K187" s="6"/>
    </row>
    <row r="188" spans="4:11" ht="11.25" customHeight="1" x14ac:dyDescent="0.15">
      <c r="D188" s="44">
        <v>2066</v>
      </c>
      <c r="E188" s="21"/>
      <c r="F188" s="6"/>
      <c r="G188" s="8"/>
      <c r="H188" s="51"/>
      <c r="I188" s="6"/>
      <c r="J188" s="6">
        <f t="shared" ca="1" si="12"/>
        <v>67.186981424274606</v>
      </c>
      <c r="K188" s="6"/>
    </row>
    <row r="189" spans="4:11" ht="11.25" customHeight="1" x14ac:dyDescent="0.15">
      <c r="D189" s="44">
        <v>2067</v>
      </c>
      <c r="E189" s="21"/>
      <c r="F189" s="6"/>
      <c r="G189" s="8"/>
      <c r="H189" s="51"/>
      <c r="I189" s="6"/>
      <c r="J189" s="6">
        <f t="shared" ca="1" si="12"/>
        <v>67.716498154659675</v>
      </c>
      <c r="K189" s="6"/>
    </row>
    <row r="190" spans="4:11" ht="11.25" customHeight="1" x14ac:dyDescent="0.15">
      <c r="D190" s="44">
        <v>2068</v>
      </c>
      <c r="E190" s="21"/>
      <c r="F190" s="6"/>
      <c r="G190" s="8"/>
      <c r="H190" s="51"/>
      <c r="I190" s="6"/>
      <c r="J190" s="6">
        <f t="shared" ca="1" si="12"/>
        <v>68.223966795737155</v>
      </c>
      <c r="K190" s="6"/>
    </row>
    <row r="191" spans="4:11" ht="11.25" customHeight="1" x14ac:dyDescent="0.15">
      <c r="D191" s="44">
        <v>2069</v>
      </c>
      <c r="E191" s="21"/>
      <c r="F191" s="6"/>
      <c r="G191" s="8"/>
      <c r="H191" s="51"/>
      <c r="I191" s="6"/>
      <c r="J191" s="6">
        <f t="shared" ca="1" si="12"/>
        <v>68.709939606444593</v>
      </c>
      <c r="K191" s="6"/>
    </row>
    <row r="192" spans="4:11" ht="11.25" customHeight="1" x14ac:dyDescent="0.15">
      <c r="D192" s="44">
        <v>2070</v>
      </c>
      <c r="E192" s="21"/>
      <c r="F192" s="6"/>
      <c r="G192" s="8"/>
      <c r="H192" s="8"/>
      <c r="I192" s="6"/>
      <c r="J192" s="6">
        <f t="shared" ca="1" si="12"/>
        <v>69.174991918444874</v>
      </c>
      <c r="K192" s="6"/>
    </row>
    <row r="193" spans="4:11" ht="11.25" customHeight="1" x14ac:dyDescent="0.15">
      <c r="D193" s="44">
        <v>2071</v>
      </c>
      <c r="E193" s="21"/>
      <c r="F193" s="6"/>
      <c r="G193" s="8"/>
      <c r="H193" s="52"/>
      <c r="I193" s="6"/>
      <c r="J193" s="6">
        <f t="shared" ca="1" si="12"/>
        <v>69.61971757426052</v>
      </c>
      <c r="K193" s="6"/>
    </row>
    <row r="194" spans="4:11" ht="11.25" customHeight="1" x14ac:dyDescent="0.15">
      <c r="D194" s="44">
        <v>2072</v>
      </c>
      <c r="E194" s="21"/>
      <c r="F194" s="6"/>
      <c r="G194" s="8"/>
      <c r="H194" s="52"/>
      <c r="I194" s="6"/>
      <c r="J194" s="6">
        <f t="shared" ca="1" si="12"/>
        <v>70.044724674753809</v>
      </c>
      <c r="K194" s="6"/>
    </row>
    <row r="195" spans="4:11" ht="11.25" customHeight="1" x14ac:dyDescent="0.15">
      <c r="D195" s="44">
        <v>2073</v>
      </c>
      <c r="E195" s="21"/>
      <c r="F195" s="6"/>
      <c r="G195" s="8"/>
      <c r="H195" s="52"/>
      <c r="I195" s="6"/>
      <c r="J195" s="6">
        <f t="shared" ca="1" si="12"/>
        <v>70.450631642033244</v>
      </c>
      <c r="K195" s="6"/>
    </row>
    <row r="196" spans="4:11" ht="11.25" customHeight="1" x14ac:dyDescent="0.15">
      <c r="D196" s="44">
        <v>2074</v>
      </c>
      <c r="E196" s="21"/>
      <c r="F196" s="6"/>
      <c r="G196" s="8"/>
      <c r="H196" s="52"/>
      <c r="I196" s="6"/>
      <c r="J196" s="6">
        <f t="shared" ca="1" si="12"/>
        <v>70.83806359917898</v>
      </c>
      <c r="K196" s="6"/>
    </row>
    <row r="197" spans="4:11" ht="11.25" customHeight="1" x14ac:dyDescent="0.15">
      <c r="D197" s="44">
        <v>2075</v>
      </c>
      <c r="E197" s="21"/>
      <c r="F197" s="6"/>
      <c r="G197" s="8"/>
      <c r="H197" s="53"/>
      <c r="I197" s="6"/>
      <c r="J197" s="6">
        <f t="shared" ca="1" si="12"/>
        <v>71.207649064132767</v>
      </c>
      <c r="K197" s="6"/>
    </row>
    <row r="198" spans="4:11" ht="11.25" customHeight="1" x14ac:dyDescent="0.15">
      <c r="D198" s="44">
        <v>2076</v>
      </c>
      <c r="E198" s="21"/>
      <c r="F198" s="6"/>
      <c r="G198" s="8"/>
      <c r="H198" s="53"/>
      <c r="I198" s="6"/>
      <c r="J198" s="6">
        <f t="shared" ca="1" si="12"/>
        <v>71.560016951667762</v>
      </c>
      <c r="K198" s="6"/>
    </row>
    <row r="199" spans="4:11" ht="11.25" customHeight="1" x14ac:dyDescent="0.15">
      <c r="D199" s="44">
        <v>2077</v>
      </c>
      <c r="E199" s="21"/>
      <c r="F199" s="6"/>
      <c r="G199" s="8"/>
      <c r="H199" s="53"/>
      <c r="I199" s="6"/>
      <c r="J199" s="6">
        <f t="shared" ca="1" si="12"/>
        <v>71.895793874510417</v>
      </c>
      <c r="K199" s="6"/>
    </row>
    <row r="200" spans="4:11" ht="11.25" customHeight="1" x14ac:dyDescent="0.15">
      <c r="D200" s="44">
        <v>2078</v>
      </c>
      <c r="E200" s="21"/>
      <c r="F200" s="6"/>
      <c r="G200" s="8"/>
      <c r="H200" s="53"/>
      <c r="I200" s="6"/>
      <c r="J200" s="6">
        <f t="shared" ca="1" si="12"/>
        <v>72.215601732387768</v>
      </c>
      <c r="K200" s="6"/>
    </row>
    <row r="201" spans="4:11" ht="11.25" customHeight="1" x14ac:dyDescent="0.15">
      <c r="D201" s="44">
        <v>2079</v>
      </c>
      <c r="E201" s="21"/>
      <c r="F201" s="6"/>
      <c r="G201" s="8"/>
      <c r="H201" s="53"/>
      <c r="I201" s="6"/>
      <c r="J201" s="6">
        <f t="shared" ca="1" si="12"/>
        <v>72.520055575974439</v>
      </c>
      <c r="K201" s="6"/>
    </row>
    <row r="202" spans="4:11" ht="11.25" customHeight="1" x14ac:dyDescent="0.15">
      <c r="D202" s="44">
        <v>2080</v>
      </c>
      <c r="E202" s="21"/>
      <c r="F202" s="6"/>
      <c r="G202" s="8"/>
      <c r="H202" s="53"/>
      <c r="I202" s="6"/>
      <c r="J202" s="6">
        <f t="shared" ca="1" si="12"/>
        <v>72.809761731367374</v>
      </c>
      <c r="K202" s="6"/>
    </row>
    <row r="203" spans="4:11" ht="11.25" customHeight="1" x14ac:dyDescent="0.15">
      <c r="D203" s="44">
        <v>2081</v>
      </c>
      <c r="E203" s="21"/>
      <c r="F203" s="6"/>
      <c r="G203" s="8"/>
      <c r="H203" s="53"/>
      <c r="I203" s="6"/>
      <c r="J203" s="6">
        <f t="shared" ca="1" si="12"/>
        <v>73.085316169769627</v>
      </c>
      <c r="K203" s="6"/>
    </row>
    <row r="204" spans="4:11" ht="11.25" customHeight="1" x14ac:dyDescent="0.15">
      <c r="D204" s="44">
        <v>2082</v>
      </c>
      <c r="E204" s="21"/>
      <c r="F204" s="6"/>
      <c r="G204" s="8"/>
      <c r="H204" s="53"/>
      <c r="I204" s="6"/>
      <c r="J204" s="6">
        <f t="shared" ca="1" si="12"/>
        <v>73.347303106472879</v>
      </c>
      <c r="K204" s="6"/>
    </row>
    <row r="205" spans="4:11" ht="11.25" customHeight="1" x14ac:dyDescent="0.15">
      <c r="D205" s="44">
        <v>2083</v>
      </c>
      <c r="E205" s="21"/>
      <c r="F205" s="6"/>
      <c r="G205" s="8"/>
      <c r="H205" s="53"/>
      <c r="I205" s="6"/>
      <c r="J205" s="6">
        <f t="shared" ca="1" si="12"/>
        <v>73.596293812940033</v>
      </c>
      <c r="K205" s="6"/>
    </row>
    <row r="206" spans="4:11" ht="11.25" customHeight="1" x14ac:dyDescent="0.15">
      <c r="D206" s="44">
        <v>2084</v>
      </c>
      <c r="E206" s="21"/>
      <c r="F206" s="6"/>
      <c r="G206" s="8"/>
      <c r="H206" s="53"/>
      <c r="I206" s="6"/>
      <c r="J206" s="6">
        <f t="shared" ca="1" si="12"/>
        <v>73.832845625760143</v>
      </c>
      <c r="K206" s="6"/>
    </row>
    <row r="207" spans="4:11" ht="11.25" customHeight="1" x14ac:dyDescent="0.15">
      <c r="D207" s="44">
        <v>2085</v>
      </c>
      <c r="E207" s="21"/>
      <c r="F207" s="6"/>
      <c r="G207" s="8"/>
      <c r="H207" s="53"/>
      <c r="I207" s="6"/>
      <c r="J207" s="6">
        <f t="shared" ca="1" si="12"/>
        <v>74.057501136437153</v>
      </c>
      <c r="K207" s="6"/>
    </row>
    <row r="208" spans="4:11" ht="11.25" customHeight="1" x14ac:dyDescent="0.15">
      <c r="D208" s="44">
        <v>2086</v>
      </c>
      <c r="E208" s="21"/>
      <c r="F208" s="6"/>
      <c r="G208" s="8"/>
      <c r="H208" s="53"/>
      <c r="I208" s="6"/>
      <c r="J208" s="6">
        <f t="shared" ca="1" si="12"/>
        <v>74.270787546339278</v>
      </c>
      <c r="K208" s="6"/>
    </row>
    <row r="209" spans="4:11" ht="11.25" customHeight="1" x14ac:dyDescent="0.15">
      <c r="D209" s="44">
        <v>2087</v>
      </c>
      <c r="E209" s="21"/>
      <c r="F209" s="6"/>
      <c r="G209" s="8"/>
      <c r="H209" s="53"/>
      <c r="I209" s="6"/>
      <c r="J209" s="6">
        <f t="shared" ca="1" si="12"/>
        <v>74.473216171645262</v>
      </c>
      <c r="K209" s="6"/>
    </row>
    <row r="210" spans="4:11" ht="11.25" customHeight="1" x14ac:dyDescent="0.15">
      <c r="D210" s="44">
        <v>2088</v>
      </c>
      <c r="E210" s="21"/>
      <c r="F210" s="6"/>
      <c r="G210" s="8"/>
      <c r="H210" s="53"/>
      <c r="I210" s="6"/>
      <c r="J210" s="6">
        <f t="shared" ca="1" si="12"/>
        <v>74.665282083742582</v>
      </c>
      <c r="K210" s="6"/>
    </row>
    <row r="211" spans="4:11" ht="11.25" customHeight="1" x14ac:dyDescent="0.15">
      <c r="D211" s="44">
        <v>2089</v>
      </c>
      <c r="E211" s="21"/>
      <c r="F211" s="6"/>
      <c r="G211" s="8"/>
      <c r="H211" s="53"/>
      <c r="I211" s="6"/>
      <c r="J211" s="6">
        <f t="shared" ca="1" si="12"/>
        <v>74.84746387123559</v>
      </c>
      <c r="K211" s="6"/>
    </row>
    <row r="212" spans="4:11" ht="11.25" customHeight="1" x14ac:dyDescent="0.15">
      <c r="D212" s="44">
        <v>2090</v>
      </c>
      <c r="E212" s="21"/>
      <c r="F212" s="6"/>
      <c r="G212" s="8"/>
      <c r="H212" s="52"/>
      <c r="I212" s="6"/>
      <c r="J212" s="6">
        <f t="shared" ca="1" si="12"/>
        <v>75.020223510482424</v>
      </c>
      <c r="K212" s="6"/>
    </row>
    <row r="213" spans="4:11" ht="11.25" customHeight="1" x14ac:dyDescent="0.15">
      <c r="D213" s="44">
        <v>2091</v>
      </c>
      <c r="E213" s="21"/>
      <c r="F213" s="6"/>
      <c r="G213" s="8"/>
      <c r="H213" s="52"/>
      <c r="I213" s="6"/>
      <c r="J213" s="6">
        <f t="shared" ca="1" si="12"/>
        <v>75.184006332377493</v>
      </c>
      <c r="K213" s="6"/>
    </row>
    <row r="214" spans="4:11" ht="11.25" customHeight="1" x14ac:dyDescent="0.15">
      <c r="D214" s="44">
        <v>2092</v>
      </c>
      <c r="E214" s="21"/>
      <c r="F214" s="6"/>
      <c r="G214" s="8"/>
      <c r="H214" s="52"/>
      <c r="I214" s="6"/>
      <c r="J214" s="6">
        <f t="shared" ca="1" si="12"/>
        <v>75.339241073915289</v>
      </c>
      <c r="K214" s="6"/>
    </row>
    <row r="215" spans="4:11" ht="11.25" customHeight="1" x14ac:dyDescent="0.15">
      <c r="D215" s="44">
        <v>2093</v>
      </c>
      <c r="E215" s="21"/>
      <c r="F215" s="6"/>
      <c r="G215" s="8"/>
      <c r="H215" s="52"/>
      <c r="I215" s="6"/>
      <c r="J215" s="6">
        <f t="shared" ca="1" si="12"/>
        <v>75.486340003893829</v>
      </c>
      <c r="K215" s="6"/>
    </row>
    <row r="216" spans="4:11" ht="11.25" customHeight="1" x14ac:dyDescent="0.15">
      <c r="D216" s="44">
        <v>2094</v>
      </c>
      <c r="E216" s="21"/>
      <c r="F216" s="6"/>
      <c r="G216" s="8"/>
      <c r="H216" s="52"/>
      <c r="I216" s="6"/>
      <c r="J216" s="6">
        <f t="shared" ca="1" si="12"/>
        <v>75.625699112931827</v>
      </c>
      <c r="K216" s="6"/>
    </row>
    <row r="217" spans="4:11" ht="11.25" customHeight="1" x14ac:dyDescent="0.15">
      <c r="D217" s="44">
        <v>2095</v>
      </c>
      <c r="E217" s="21"/>
      <c r="F217" s="6"/>
      <c r="G217" s="8"/>
      <c r="H217" s="52"/>
      <c r="I217" s="6"/>
      <c r="J217" s="6">
        <f t="shared" ca="1" si="12"/>
        <v>75.757698358772487</v>
      </c>
      <c r="K217" s="6"/>
    </row>
    <row r="218" spans="4:11" ht="11.25" customHeight="1" x14ac:dyDescent="0.15">
      <c r="D218" s="44">
        <v>2096</v>
      </c>
      <c r="E218" s="21"/>
      <c r="F218" s="6"/>
      <c r="G218" s="8"/>
      <c r="H218" s="52"/>
      <c r="I218" s="6"/>
      <c r="J218" s="6">
        <f t="shared" ca="1" si="12"/>
        <v>75.88270195861999</v>
      </c>
      <c r="K218" s="6"/>
    </row>
    <row r="219" spans="4:11" ht="11.25" customHeight="1" x14ac:dyDescent="0.15">
      <c r="D219" s="44">
        <v>2097</v>
      </c>
      <c r="E219" s="21"/>
      <c r="F219" s="6"/>
      <c r="G219" s="8"/>
      <c r="H219" s="52"/>
      <c r="I219" s="6"/>
      <c r="J219" s="6">
        <f t="shared" ca="1" si="12"/>
        <v>76.001058720997449</v>
      </c>
      <c r="K219" s="6"/>
    </row>
    <row r="220" spans="4:11" ht="11.25" customHeight="1" x14ac:dyDescent="0.15">
      <c r="D220" s="44">
        <v>2098</v>
      </c>
      <c r="E220" s="21"/>
      <c r="F220" s="6"/>
      <c r="G220" s="8"/>
      <c r="H220" s="52"/>
      <c r="I220" s="6"/>
      <c r="J220" s="6">
        <f t="shared" ca="1" si="12"/>
        <v>76.113102410321858</v>
      </c>
      <c r="K220" s="6"/>
    </row>
    <row r="221" spans="4:11" ht="11.25" customHeight="1" x14ac:dyDescent="0.15">
      <c r="D221" s="44">
        <v>2099</v>
      </c>
      <c r="E221" s="21"/>
      <c r="F221" s="6"/>
      <c r="G221" s="8"/>
      <c r="H221" s="50"/>
      <c r="I221" s="6"/>
      <c r="J221" s="6">
        <f t="shared" ca="1" si="12"/>
        <v>76.219152138061332</v>
      </c>
      <c r="K221" s="6"/>
    </row>
    <row r="222" spans="4:11" ht="11.25" customHeight="1" x14ac:dyDescent="0.15">
      <c r="D222" s="44">
        <v>2100</v>
      </c>
      <c r="E222" s="21"/>
      <c r="F222" s="56"/>
      <c r="G222" s="8"/>
      <c r="H222" s="50"/>
      <c r="I222" s="56"/>
      <c r="J222" s="6">
        <f t="shared" ca="1" si="12"/>
        <v>76.319512774966867</v>
      </c>
      <c r="K222" s="6"/>
    </row>
    <row r="223" spans="4:11" ht="11.25" customHeight="1" x14ac:dyDescent="0.15">
      <c r="D223" s="44">
        <v>2101</v>
      </c>
      <c r="E223" s="21"/>
      <c r="F223" s="56"/>
      <c r="H223" s="50"/>
      <c r="I223" s="56"/>
      <c r="J223" s="6">
        <f t="shared" ca="1" si="12"/>
        <v>76.414475379459262</v>
      </c>
      <c r="K223" s="6"/>
    </row>
    <row r="224" spans="4:11" ht="11.25" customHeight="1" x14ac:dyDescent="0.15">
      <c r="D224" s="44">
        <v>2102</v>
      </c>
      <c r="E224" s="21"/>
      <c r="F224" s="56"/>
      <c r="H224" s="50"/>
      <c r="I224" s="56"/>
      <c r="J224" s="6">
        <f t="shared" ca="1" si="12"/>
        <v>76.504317637797314</v>
      </c>
      <c r="K224" s="6"/>
    </row>
    <row r="225" spans="4:11" ht="11.25" customHeight="1" x14ac:dyDescent="0.15">
      <c r="D225" s="44">
        <v>2103</v>
      </c>
      <c r="E225" s="21"/>
      <c r="F225" s="56"/>
      <c r="H225" s="50"/>
      <c r="I225" s="56"/>
      <c r="J225" s="6">
        <f t="shared" ca="1" si="12"/>
        <v>76.589304312157878</v>
      </c>
      <c r="K225" s="6"/>
    </row>
    <row r="226" spans="4:11" ht="11.25" customHeight="1" x14ac:dyDescent="0.15">
      <c r="D226" s="44">
        <v>2104</v>
      </c>
      <c r="E226" s="21"/>
      <c r="F226" s="56"/>
      <c r="H226" s="50"/>
      <c r="I226" s="56"/>
      <c r="J226" s="6">
        <f t="shared" ca="1" si="12"/>
        <v>76.669687693223452</v>
      </c>
      <c r="K226" s="6"/>
    </row>
    <row r="227" spans="4:11" ht="11.25" customHeight="1" x14ac:dyDescent="0.15">
      <c r="D227" s="44">
        <v>2105</v>
      </c>
      <c r="E227" s="21"/>
      <c r="F227" s="56"/>
      <c r="H227" s="50"/>
      <c r="I227" s="56"/>
      <c r="J227" s="6">
        <f t="shared" ca="1" si="12"/>
        <v>76.745708054298916</v>
      </c>
      <c r="K227" s="6"/>
    </row>
    <row r="228" spans="4:11" ht="11.25" customHeight="1" x14ac:dyDescent="0.15">
      <c r="D228" s="44">
        <v>2106</v>
      </c>
      <c r="E228" s="21"/>
      <c r="F228" s="56"/>
      <c r="H228" s="50"/>
      <c r="I228" s="56"/>
      <c r="J228" s="6">
        <f t="shared" ca="1" si="12"/>
        <v>76.817594104368283</v>
      </c>
      <c r="K228" s="6"/>
    </row>
    <row r="229" spans="4:11" ht="11.25" customHeight="1" x14ac:dyDescent="0.15">
      <c r="D229" s="44">
        <v>2107</v>
      </c>
      <c r="E229" s="21"/>
      <c r="F229" s="56"/>
      <c r="H229" s="50"/>
      <c r="I229" s="56"/>
      <c r="J229" s="6">
        <f t="shared" ca="1" si="12"/>
        <v>76.885563437855708</v>
      </c>
      <c r="K229" s="6"/>
    </row>
    <row r="230" spans="4:11" ht="11.25" customHeight="1" x14ac:dyDescent="0.15">
      <c r="D230" s="44">
        <v>2108</v>
      </c>
      <c r="E230" s="21"/>
      <c r="F230" s="56"/>
      <c r="H230" s="50"/>
      <c r="I230" s="56"/>
      <c r="J230" s="6">
        <f t="shared" ca="1" si="12"/>
        <v>76.949822979175863</v>
      </c>
      <c r="K230" s="6"/>
    </row>
    <row r="231" spans="4:11" ht="11.25" customHeight="1" x14ac:dyDescent="0.15">
      <c r="D231" s="44">
        <v>2109</v>
      </c>
      <c r="E231" s="21"/>
      <c r="F231" s="56"/>
      <c r="H231" s="50"/>
      <c r="I231" s="56"/>
      <c r="J231" s="6">
        <f t="shared" ca="1" si="12"/>
        <v>77.010569420447908</v>
      </c>
      <c r="K231" s="6"/>
    </row>
    <row r="232" spans="4:11" ht="11.25" customHeight="1" x14ac:dyDescent="0.15">
      <c r="D232" s="44">
        <v>2110</v>
      </c>
      <c r="E232" s="21"/>
      <c r="F232" s="56"/>
      <c r="H232" s="50"/>
      <c r="I232" s="56"/>
      <c r="J232" s="6">
        <f t="shared" ca="1" si="12"/>
        <v>77.067989651007181</v>
      </c>
      <c r="K232" s="6"/>
    </row>
    <row r="233" spans="4:11" ht="11.25" customHeight="1" x14ac:dyDescent="0.15">
      <c r="D233" s="44">
        <v>2111</v>
      </c>
      <c r="E233" s="21"/>
      <c r="F233" s="56"/>
      <c r="H233" s="50"/>
      <c r="I233" s="56"/>
      <c r="J233" s="6">
        <f t="shared" ca="1" si="12"/>
        <v>77.122261177582345</v>
      </c>
      <c r="K233" s="6"/>
    </row>
    <row r="234" spans="4:11" ht="11.25" customHeight="1" x14ac:dyDescent="0.15">
      <c r="D234" s="44">
        <v>2112</v>
      </c>
      <c r="E234" s="21"/>
      <c r="F234" s="56"/>
      <c r="H234" s="50"/>
      <c r="I234" s="56"/>
      <c r="J234" s="6">
        <f t="shared" ref="J234:J272" ca="1" si="13">F$1/(1+EXP((AVERAGE(E$2:F$2)-D234)*LN(81)/(F$2-E$2)))</f>
        <v>77.173552534213044</v>
      </c>
      <c r="K234" s="6"/>
    </row>
    <row r="235" spans="4:11" ht="11.25" customHeight="1" x14ac:dyDescent="0.15">
      <c r="D235" s="44">
        <v>2113</v>
      </c>
      <c r="E235" s="21"/>
      <c r="F235" s="56"/>
      <c r="H235" s="50"/>
      <c r="I235" s="56"/>
      <c r="J235" s="6">
        <f t="shared" ca="1" si="13"/>
        <v>77.222023681168409</v>
      </c>
      <c r="K235" s="6"/>
    </row>
    <row r="236" spans="4:11" ht="11.25" customHeight="1" x14ac:dyDescent="0.15">
      <c r="D236" s="44">
        <v>2114</v>
      </c>
      <c r="E236" s="21"/>
      <c r="F236" s="56"/>
      <c r="H236" s="50"/>
      <c r="I236" s="56"/>
      <c r="J236" s="6">
        <f t="shared" ca="1" si="13"/>
        <v>77.267826392290402</v>
      </c>
      <c r="K236" s="6"/>
    </row>
    <row r="237" spans="4:11" ht="11.25" customHeight="1" x14ac:dyDescent="0.15">
      <c r="D237" s="44">
        <v>2115</v>
      </c>
      <c r="E237" s="21"/>
      <c r="F237" s="56"/>
      <c r="H237" s="50"/>
      <c r="I237" s="56"/>
      <c r="J237" s="6">
        <f t="shared" ca="1" si="13"/>
        <v>77.311104630330689</v>
      </c>
      <c r="K237" s="6"/>
    </row>
    <row r="238" spans="4:11" ht="11.25" customHeight="1" x14ac:dyDescent="0.15">
      <c r="D238" s="44">
        <v>2116</v>
      </c>
      <c r="E238" s="21"/>
      <c r="F238" s="56"/>
      <c r="H238" s="50"/>
      <c r="I238" s="56"/>
      <c r="J238" s="6">
        <f t="shared" ca="1" si="13"/>
        <v>77.3519949099759</v>
      </c>
      <c r="K238" s="6"/>
    </row>
    <row r="239" spans="4:11" ht="11.25" customHeight="1" x14ac:dyDescent="0.15">
      <c r="D239" s="44">
        <v>2117</v>
      </c>
      <c r="E239" s="21"/>
      <c r="F239" s="56"/>
      <c r="H239" s="50"/>
      <c r="I239" s="56"/>
      <c r="J239" s="6">
        <f t="shared" ca="1" si="13"/>
        <v>77.390626648367743</v>
      </c>
      <c r="K239" s="6"/>
    </row>
    <row r="240" spans="4:11" ht="11.25" customHeight="1" x14ac:dyDescent="0.15">
      <c r="D240" s="44">
        <v>2118</v>
      </c>
      <c r="E240" s="21"/>
      <c r="F240" s="56"/>
      <c r="I240" s="56"/>
      <c r="J240" s="6">
        <f t="shared" ca="1" si="13"/>
        <v>77.427122503020414</v>
      </c>
      <c r="K240" s="6"/>
    </row>
    <row r="241" spans="4:11" ht="11.25" customHeight="1" x14ac:dyDescent="0.15">
      <c r="D241" s="44">
        <v>2119</v>
      </c>
      <c r="E241" s="21"/>
      <c r="F241" s="56"/>
      <c r="I241" s="56"/>
      <c r="J241" s="6">
        <f t="shared" ca="1" si="13"/>
        <v>77.461598697120891</v>
      </c>
      <c r="K241" s="6"/>
    </row>
    <row r="242" spans="4:11" ht="11.25" customHeight="1" x14ac:dyDescent="0.15">
      <c r="D242" s="44">
        <v>2120</v>
      </c>
      <c r="E242" s="21"/>
      <c r="F242" s="56"/>
      <c r="I242" s="56"/>
      <c r="J242" s="6">
        <f t="shared" ca="1" si="13"/>
        <v>77.494165332269759</v>
      </c>
      <c r="K242" s="6"/>
    </row>
    <row r="243" spans="4:11" ht="11.25" customHeight="1" x14ac:dyDescent="0.15">
      <c r="D243" s="44">
        <v>2121</v>
      </c>
      <c r="E243" s="21"/>
      <c r="F243" s="56"/>
      <c r="I243" s="56"/>
      <c r="J243" s="6">
        <f t="shared" ca="1" si="13"/>
        <v>77.52492668878098</v>
      </c>
      <c r="K243" s="6"/>
    </row>
    <row r="244" spans="4:11" ht="11.25" customHeight="1" x14ac:dyDescent="0.15">
      <c r="D244" s="44">
        <v>2122</v>
      </c>
      <c r="E244" s="21"/>
      <c r="F244" s="56"/>
      <c r="I244" s="56"/>
      <c r="J244" s="6">
        <f t="shared" ca="1" si="13"/>
        <v>77.553981513710724</v>
      </c>
      <c r="K244" s="6"/>
    </row>
    <row r="245" spans="4:11" ht="11.25" customHeight="1" x14ac:dyDescent="0.15">
      <c r="D245" s="44">
        <v>2123</v>
      </c>
      <c r="E245" s="16"/>
      <c r="F245" s="56"/>
      <c r="I245" s="56"/>
      <c r="J245" s="6">
        <f t="shared" ca="1" si="13"/>
        <v>77.581423296828603</v>
      </c>
      <c r="K245" s="6"/>
    </row>
    <row r="246" spans="4:11" ht="11.25" customHeight="1" x14ac:dyDescent="0.15">
      <c r="D246" s="44">
        <v>2124</v>
      </c>
      <c r="E246" s="16"/>
      <c r="F246" s="56"/>
      <c r="I246" s="56"/>
      <c r="J246" s="6">
        <f t="shared" ca="1" si="13"/>
        <v>77.607340534780789</v>
      </c>
      <c r="K246" s="6"/>
    </row>
    <row r="247" spans="4:11" ht="11.25" customHeight="1" x14ac:dyDescent="0.15">
      <c r="D247" s="44">
        <v>2125</v>
      </c>
      <c r="E247" s="16"/>
      <c r="F247" s="56"/>
      <c r="I247" s="56"/>
      <c r="J247" s="6">
        <f t="shared" ca="1" si="13"/>
        <v>77.631816983723354</v>
      </c>
      <c r="K247" s="6"/>
    </row>
    <row r="248" spans="4:11" ht="11.25" customHeight="1" x14ac:dyDescent="0.15">
      <c r="D248" s="44">
        <v>2126</v>
      </c>
      <c r="E248" s="16"/>
      <c r="F248" s="56"/>
      <c r="I248" s="56"/>
      <c r="J248" s="6">
        <f t="shared" ca="1" si="13"/>
        <v>77.654931900727831</v>
      </c>
      <c r="K248" s="6"/>
    </row>
    <row r="249" spans="4:11" ht="11.25" customHeight="1" x14ac:dyDescent="0.15">
      <c r="D249" s="44">
        <v>2127</v>
      </c>
      <c r="E249" s="16"/>
      <c r="F249" s="56"/>
      <c r="I249" s="56"/>
      <c r="J249" s="6">
        <f t="shared" ca="1" si="13"/>
        <v>77.676760274279118</v>
      </c>
      <c r="K249" s="6"/>
    </row>
    <row r="250" spans="4:11" ht="11.25" customHeight="1" x14ac:dyDescent="0.15">
      <c r="D250" s="44">
        <v>2128</v>
      </c>
      <c r="E250" s="16"/>
      <c r="F250" s="56"/>
      <c r="I250" s="56"/>
      <c r="J250" s="6">
        <f t="shared" ca="1" si="13"/>
        <v>77.697373044199978</v>
      </c>
      <c r="K250" s="6"/>
    </row>
    <row r="251" spans="4:11" ht="11.25" customHeight="1" x14ac:dyDescent="0.15">
      <c r="D251" s="44">
        <v>2129</v>
      </c>
      <c r="E251" s="16"/>
      <c r="F251" s="56"/>
      <c r="I251" s="56"/>
      <c r="J251" s="6">
        <f t="shared" ca="1" si="13"/>
        <v>77.716837311345827</v>
      </c>
      <c r="K251" s="6"/>
    </row>
    <row r="252" spans="4:11" ht="11.25" customHeight="1" x14ac:dyDescent="0.15">
      <c r="D252" s="44">
        <v>2130</v>
      </c>
      <c r="E252" s="16"/>
      <c r="F252" s="56"/>
      <c r="I252" s="56"/>
      <c r="J252" s="6">
        <f t="shared" ca="1" si="13"/>
        <v>77.735216537420385</v>
      </c>
      <c r="K252" s="6"/>
    </row>
    <row r="253" spans="4:11" ht="11.25" customHeight="1" x14ac:dyDescent="0.15">
      <c r="D253" s="44">
        <v>2131</v>
      </c>
      <c r="E253" s="16"/>
      <c r="F253" s="56"/>
      <c r="I253" s="56"/>
      <c r="J253" s="6">
        <f t="shared" ca="1" si="13"/>
        <v>77.752570735266062</v>
      </c>
      <c r="K253" s="6"/>
    </row>
    <row r="254" spans="4:11" ht="11.25" customHeight="1" x14ac:dyDescent="0.15">
      <c r="D254" s="44">
        <v>2132</v>
      </c>
      <c r="E254" s="16"/>
      <c r="F254" s="56"/>
      <c r="I254" s="56"/>
      <c r="J254" s="6">
        <f t="shared" ca="1" si="13"/>
        <v>77.76895664998402</v>
      </c>
      <c r="K254" s="6"/>
    </row>
    <row r="255" spans="4:11" ht="11.25" customHeight="1" x14ac:dyDescent="0.15">
      <c r="D255" s="44">
        <v>2133</v>
      </c>
      <c r="E255" s="16"/>
      <c r="F255" s="56"/>
      <c r="I255" s="56"/>
      <c r="J255" s="6">
        <f t="shared" ca="1" si="13"/>
        <v>77.784427931237815</v>
      </c>
      <c r="K255" s="6"/>
    </row>
    <row r="256" spans="4:11" ht="11.25" customHeight="1" x14ac:dyDescent="0.15">
      <c r="D256" s="44">
        <v>2134</v>
      </c>
      <c r="E256" s="16"/>
      <c r="F256" s="56"/>
      <c r="I256" s="56"/>
      <c r="J256" s="6">
        <f t="shared" ca="1" si="13"/>
        <v>77.799035297091265</v>
      </c>
      <c r="K256" s="6"/>
    </row>
    <row r="257" spans="4:11" ht="11.25" customHeight="1" x14ac:dyDescent="0.15">
      <c r="D257" s="44">
        <v>2135</v>
      </c>
      <c r="E257" s="16"/>
      <c r="F257" s="56"/>
      <c r="I257" s="56"/>
      <c r="J257" s="6">
        <f t="shared" ca="1" si="13"/>
        <v>77.812826689726847</v>
      </c>
      <c r="K257" s="6"/>
    </row>
    <row r="258" spans="4:11" ht="11.25" customHeight="1" x14ac:dyDescent="0.15">
      <c r="D258" s="44">
        <v>2136</v>
      </c>
      <c r="E258" s="16"/>
      <c r="F258" s="56"/>
      <c r="I258" s="56"/>
      <c r="J258" s="6">
        <f t="shared" ca="1" si="13"/>
        <v>77.825847423384971</v>
      </c>
      <c r="K258" s="6"/>
    </row>
    <row r="259" spans="4:11" ht="11.25" customHeight="1" x14ac:dyDescent="0.15">
      <c r="D259" s="44">
        <v>2137</v>
      </c>
      <c r="E259" s="16"/>
      <c r="F259" s="56"/>
      <c r="I259" s="56"/>
      <c r="J259" s="6">
        <f t="shared" ca="1" si="13"/>
        <v>77.838140324857449</v>
      </c>
      <c r="K259" s="6"/>
    </row>
    <row r="260" spans="4:11" ht="11.25" customHeight="1" x14ac:dyDescent="0.15">
      <c r="D260" s="44">
        <v>2138</v>
      </c>
      <c r="E260" s="16"/>
      <c r="F260" s="56"/>
      <c r="I260" s="56"/>
      <c r="J260" s="6">
        <f t="shared" ca="1" si="13"/>
        <v>77.84974586686117</v>
      </c>
      <c r="K260" s="6"/>
    </row>
    <row r="261" spans="4:11" ht="11.25" customHeight="1" x14ac:dyDescent="0.15">
      <c r="D261" s="44">
        <v>2139</v>
      </c>
      <c r="E261" s="16"/>
      <c r="F261" s="56"/>
      <c r="I261" s="56"/>
      <c r="J261" s="6">
        <f t="shared" ca="1" si="13"/>
        <v>77.860702294608544</v>
      </c>
      <c r="K261" s="6"/>
    </row>
    <row r="262" spans="4:11" ht="11.25" customHeight="1" x14ac:dyDescent="0.15">
      <c r="D262" s="44">
        <v>2140</v>
      </c>
      <c r="E262" s="16"/>
      <c r="F262" s="56"/>
      <c r="I262" s="56"/>
      <c r="J262" s="6">
        <f t="shared" ca="1" si="13"/>
        <v>77.87104574588345</v>
      </c>
      <c r="K262" s="6"/>
    </row>
    <row r="263" spans="4:11" ht="11.25" customHeight="1" x14ac:dyDescent="0.15">
      <c r="D263" s="44">
        <v>2141</v>
      </c>
      <c r="E263" s="16"/>
      <c r="F263" s="56"/>
      <c r="I263" s="56"/>
      <c r="J263" s="6">
        <f t="shared" ca="1" si="13"/>
        <v>77.880810364920819</v>
      </c>
      <c r="K263" s="6"/>
    </row>
    <row r="264" spans="4:11" ht="11.25" customHeight="1" x14ac:dyDescent="0.15">
      <c r="D264" s="44">
        <v>2142</v>
      </c>
      <c r="E264" s="16"/>
      <c r="F264" s="56"/>
      <c r="I264" s="56"/>
      <c r="J264" s="6">
        <f t="shared" ca="1" si="13"/>
        <v>77.890028410379117</v>
      </c>
      <c r="K264" s="6"/>
    </row>
    <row r="265" spans="4:11" ht="11.25" customHeight="1" x14ac:dyDescent="0.15">
      <c r="D265" s="44">
        <v>2143</v>
      </c>
      <c r="E265" s="16"/>
      <c r="F265" s="56"/>
      <c r="I265" s="56"/>
      <c r="J265" s="6">
        <f t="shared" ca="1" si="13"/>
        <v>77.898730357684741</v>
      </c>
      <c r="K265" s="6"/>
    </row>
    <row r="266" spans="4:11" ht="11.25" customHeight="1" x14ac:dyDescent="0.15">
      <c r="D266" s="44">
        <v>2144</v>
      </c>
      <c r="E266" s="16"/>
      <c r="I266" s="56"/>
      <c r="J266" s="6">
        <f t="shared" ca="1" si="13"/>
        <v>77.906944996017046</v>
      </c>
      <c r="K266" s="6"/>
    </row>
    <row r="267" spans="4:11" ht="11.25" customHeight="1" x14ac:dyDescent="0.15">
      <c r="D267" s="44">
        <v>2145</v>
      </c>
      <c r="E267" s="16"/>
      <c r="I267" s="56"/>
      <c r="J267" s="6">
        <f t="shared" ca="1" si="13"/>
        <v>77.914699520193111</v>
      </c>
      <c r="K267" s="6"/>
    </row>
    <row r="268" spans="4:11" ht="11.25" customHeight="1" x14ac:dyDescent="0.15">
      <c r="D268" s="44">
        <v>2146</v>
      </c>
      <c r="E268" s="16"/>
      <c r="I268" s="56"/>
      <c r="J268" s="6">
        <f t="shared" ca="1" si="13"/>
        <v>77.922019617701167</v>
      </c>
      <c r="K268" s="6"/>
    </row>
    <row r="269" spans="4:11" ht="11.25" customHeight="1" x14ac:dyDescent="0.15">
      <c r="D269" s="44">
        <v>2147</v>
      </c>
      <c r="E269" s="16"/>
      <c r="I269" s="56"/>
      <c r="J269" s="6">
        <f t="shared" ca="1" si="13"/>
        <v>77.928929551121485</v>
      </c>
      <c r="K269" s="6"/>
    </row>
    <row r="270" spans="4:11" ht="11.25" customHeight="1" x14ac:dyDescent="0.15">
      <c r="D270" s="44">
        <v>2148</v>
      </c>
      <c r="E270" s="16"/>
      <c r="I270" s="56"/>
      <c r="J270" s="6">
        <f t="shared" ca="1" si="13"/>
        <v>77.935452236163783</v>
      </c>
      <c r="K270" s="6"/>
    </row>
    <row r="271" spans="4:11" ht="11.25" customHeight="1" x14ac:dyDescent="0.15">
      <c r="D271" s="44">
        <v>2149</v>
      </c>
      <c r="E271" s="16"/>
      <c r="I271" s="56"/>
      <c r="J271" s="6">
        <f t="shared" ca="1" si="13"/>
        <v>77.941609315540944</v>
      </c>
      <c r="K271" s="6"/>
    </row>
    <row r="272" spans="4:11" ht="11.25" customHeight="1" x14ac:dyDescent="0.15">
      <c r="D272" s="44">
        <v>2150</v>
      </c>
      <c r="E272" s="16"/>
      <c r="I272" s="56"/>
      <c r="J272" s="6">
        <f t="shared" ca="1" si="13"/>
        <v>77.947421228888757</v>
      </c>
      <c r="K272" s="6"/>
    </row>
    <row r="273" spans="4:11" ht="11.25" customHeight="1" x14ac:dyDescent="0.15">
      <c r="D273" s="44"/>
      <c r="E273" s="16"/>
      <c r="I273" s="56"/>
      <c r="J273" s="6"/>
      <c r="K273" s="6"/>
    </row>
    <row r="274" spans="4:11" ht="11.25" customHeight="1" x14ac:dyDescent="0.15">
      <c r="D274" s="44"/>
      <c r="E274" s="16"/>
      <c r="I274" s="56"/>
      <c r="J274" s="6"/>
      <c r="K274" s="6"/>
    </row>
    <row r="275" spans="4:11" ht="11.25" customHeight="1" x14ac:dyDescent="0.15">
      <c r="D275" s="44"/>
      <c r="E275" s="16"/>
      <c r="I275" s="56"/>
      <c r="J275" s="6"/>
      <c r="K275" s="6"/>
    </row>
    <row r="276" spans="4:11" ht="11.25" customHeight="1" x14ac:dyDescent="0.15">
      <c r="D276" s="44"/>
      <c r="E276" s="16"/>
      <c r="I276" s="56"/>
      <c r="J276" s="6"/>
      <c r="K276" s="6"/>
    </row>
    <row r="277" spans="4:11" ht="11.25" customHeight="1" x14ac:dyDescent="0.15">
      <c r="D277" s="44"/>
      <c r="E277" s="16"/>
      <c r="I277" s="56"/>
      <c r="J277" s="6"/>
      <c r="K277" s="6"/>
    </row>
    <row r="278" spans="4:11" ht="11.25" customHeight="1" x14ac:dyDescent="0.15">
      <c r="D278" s="44"/>
      <c r="E278" s="16"/>
      <c r="I278" s="56"/>
      <c r="J278" s="6"/>
      <c r="K278" s="6"/>
    </row>
    <row r="279" spans="4:11" ht="11.25" customHeight="1" x14ac:dyDescent="0.15">
      <c r="D279" s="44"/>
      <c r="E279" s="16"/>
      <c r="I279" s="56"/>
      <c r="J279" s="6"/>
      <c r="K279" s="6"/>
    </row>
    <row r="280" spans="4:11" ht="11.25" customHeight="1" x14ac:dyDescent="0.15">
      <c r="D280" s="44"/>
      <c r="E280" s="16"/>
      <c r="I280" s="56"/>
      <c r="J280" s="6"/>
      <c r="K280" s="6"/>
    </row>
    <row r="281" spans="4:11" ht="11.25" customHeight="1" x14ac:dyDescent="0.15">
      <c r="D281" s="44"/>
      <c r="E281" s="16"/>
      <c r="I281" s="56"/>
      <c r="J281" s="6"/>
      <c r="K281" s="6"/>
    </row>
    <row r="282" spans="4:11" ht="11.25" customHeight="1" x14ac:dyDescent="0.15">
      <c r="D282" s="44"/>
      <c r="E282" s="16"/>
      <c r="I282" s="56"/>
      <c r="J282" s="6"/>
      <c r="K282" s="6"/>
    </row>
    <row r="283" spans="4:11" ht="11.25" customHeight="1" x14ac:dyDescent="0.15">
      <c r="D283" s="44"/>
      <c r="E283" s="16"/>
      <c r="I283" s="56"/>
      <c r="J283" s="6"/>
      <c r="K283" s="6"/>
    </row>
    <row r="284" spans="4:11" ht="11.25" customHeight="1" x14ac:dyDescent="0.15">
      <c r="D284" s="44"/>
      <c r="E284" s="16"/>
      <c r="I284" s="56"/>
      <c r="J284" s="6"/>
      <c r="K284" s="6"/>
    </row>
    <row r="285" spans="4:11" ht="11.25" customHeight="1" x14ac:dyDescent="0.15">
      <c r="D285" s="44"/>
      <c r="E285" s="16"/>
      <c r="I285" s="56"/>
      <c r="J285" s="6"/>
      <c r="K285" s="6"/>
    </row>
    <row r="286" spans="4:11" ht="11.25" customHeight="1" x14ac:dyDescent="0.15">
      <c r="D286" s="44"/>
      <c r="E286" s="16"/>
      <c r="I286" s="56"/>
      <c r="J286" s="6"/>
      <c r="K286" s="6"/>
    </row>
    <row r="287" spans="4:11" ht="11.25" customHeight="1" x14ac:dyDescent="0.15">
      <c r="D287" s="44"/>
      <c r="E287" s="16"/>
      <c r="I287" s="56"/>
      <c r="J287" s="6"/>
      <c r="K287" s="6"/>
    </row>
    <row r="288" spans="4:11" ht="11.25" customHeight="1" x14ac:dyDescent="0.15">
      <c r="D288" s="44"/>
      <c r="E288" s="16"/>
      <c r="I288" s="56"/>
      <c r="J288" s="6"/>
      <c r="K288" s="6"/>
    </row>
    <row r="289" spans="4:11" ht="11.25" customHeight="1" x14ac:dyDescent="0.15">
      <c r="D289" s="44"/>
      <c r="E289" s="16"/>
      <c r="I289" s="56"/>
      <c r="J289" s="6"/>
      <c r="K289" s="6"/>
    </row>
    <row r="290" spans="4:11" ht="11.25" customHeight="1" x14ac:dyDescent="0.15">
      <c r="D290" s="44"/>
      <c r="E290" s="16"/>
      <c r="I290" s="56"/>
      <c r="J290" s="6"/>
      <c r="K290" s="6"/>
    </row>
    <row r="291" spans="4:11" ht="11.25" customHeight="1" x14ac:dyDescent="0.15">
      <c r="D291" s="44"/>
      <c r="E291" s="16"/>
      <c r="I291" s="56"/>
      <c r="J291" s="6"/>
      <c r="K291" s="6"/>
    </row>
    <row r="292" spans="4:11" ht="11.25" customHeight="1" x14ac:dyDescent="0.15">
      <c r="D292" s="44"/>
      <c r="E292" s="16"/>
      <c r="I292" s="56"/>
      <c r="J292" s="6"/>
      <c r="K292" s="6"/>
    </row>
    <row r="293" spans="4:11" ht="11.25" customHeight="1" x14ac:dyDescent="0.15">
      <c r="D293" s="44"/>
      <c r="E293" s="16"/>
      <c r="I293" s="56"/>
      <c r="J293" s="6"/>
      <c r="K293" s="6"/>
    </row>
    <row r="294" spans="4:11" ht="11.25" customHeight="1" x14ac:dyDescent="0.15">
      <c r="D294" s="44"/>
      <c r="E294" s="16"/>
      <c r="I294" s="56"/>
      <c r="J294" s="6"/>
      <c r="K294" s="6"/>
    </row>
    <row r="295" spans="4:11" ht="11.25" customHeight="1" x14ac:dyDescent="0.15">
      <c r="D295" s="44"/>
      <c r="E295" s="16"/>
      <c r="I295" s="56"/>
      <c r="J295" s="6"/>
      <c r="K295" s="6"/>
    </row>
    <row r="296" spans="4:11" ht="11.25" customHeight="1" x14ac:dyDescent="0.15">
      <c r="D296" s="44"/>
      <c r="E296" s="16"/>
      <c r="I296" s="56"/>
      <c r="J296" s="6"/>
      <c r="K296" s="6"/>
    </row>
    <row r="297" spans="4:11" ht="11.25" customHeight="1" x14ac:dyDescent="0.15">
      <c r="D297" s="44"/>
      <c r="E297" s="16"/>
      <c r="I297" s="56"/>
      <c r="J297" s="6"/>
      <c r="K297" s="6"/>
    </row>
    <row r="298" spans="4:11" ht="11.25" customHeight="1" x14ac:dyDescent="0.15">
      <c r="D298" s="44"/>
      <c r="E298" s="16"/>
      <c r="I298" s="56"/>
      <c r="J298" s="6"/>
      <c r="K298" s="6"/>
    </row>
    <row r="299" spans="4:11" ht="11.25" customHeight="1" x14ac:dyDescent="0.15">
      <c r="D299" s="44"/>
      <c r="E299" s="16"/>
      <c r="I299" s="56"/>
      <c r="J299" s="6"/>
      <c r="K299" s="6"/>
    </row>
    <row r="300" spans="4:11" ht="11.25" customHeight="1" x14ac:dyDescent="0.15">
      <c r="D300" s="44"/>
      <c r="E300" s="16"/>
      <c r="I300" s="56"/>
      <c r="J300" s="6"/>
      <c r="K300" s="6"/>
    </row>
    <row r="301" spans="4:11" ht="11.25" customHeight="1" x14ac:dyDescent="0.15">
      <c r="D301" s="44"/>
      <c r="E301" s="16"/>
      <c r="I301" s="56"/>
      <c r="J301" s="6"/>
      <c r="K301" s="6"/>
    </row>
    <row r="302" spans="4:11" ht="11.25" customHeight="1" x14ac:dyDescent="0.15">
      <c r="D302" s="44"/>
      <c r="E302" s="16"/>
      <c r="I302" s="56"/>
      <c r="J302" s="6"/>
      <c r="K302" s="6"/>
    </row>
    <row r="303" spans="4:11" ht="11.25" customHeight="1" x14ac:dyDescent="0.15">
      <c r="D303" s="44"/>
      <c r="E303" s="16"/>
      <c r="I303" s="56"/>
      <c r="J303" s="6"/>
      <c r="K303" s="6"/>
    </row>
    <row r="304" spans="4:11" ht="11.25" customHeight="1" x14ac:dyDescent="0.15">
      <c r="D304" s="44"/>
      <c r="E304" s="16"/>
      <c r="I304" s="56"/>
      <c r="J304" s="6"/>
      <c r="K304" s="6"/>
    </row>
    <row r="305" spans="4:11" ht="11.25" customHeight="1" x14ac:dyDescent="0.15">
      <c r="D305" s="44"/>
      <c r="E305" s="16"/>
      <c r="I305" s="56"/>
      <c r="J305" s="6"/>
      <c r="K305" s="6"/>
    </row>
    <row r="306" spans="4:11" ht="11.25" customHeight="1" x14ac:dyDescent="0.15">
      <c r="D306" s="44"/>
      <c r="E306" s="16"/>
      <c r="I306" s="56"/>
      <c r="J306" s="6"/>
      <c r="K306" s="6"/>
    </row>
    <row r="307" spans="4:11" ht="11.25" customHeight="1" x14ac:dyDescent="0.15">
      <c r="D307" s="44"/>
      <c r="E307" s="16"/>
      <c r="I307" s="56"/>
      <c r="J307" s="6"/>
      <c r="K307" s="6"/>
    </row>
    <row r="308" spans="4:11" ht="11.25" customHeight="1" x14ac:dyDescent="0.15">
      <c r="D308" s="44"/>
      <c r="E308" s="16"/>
      <c r="I308" s="56"/>
      <c r="J308" s="6"/>
      <c r="K308" s="6"/>
    </row>
    <row r="309" spans="4:11" ht="11.25" customHeight="1" x14ac:dyDescent="0.15">
      <c r="D309" s="44"/>
      <c r="E309" s="16"/>
      <c r="I309" s="56"/>
      <c r="J309" s="6"/>
      <c r="K309" s="6"/>
    </row>
    <row r="310" spans="4:11" ht="11.25" customHeight="1" x14ac:dyDescent="0.15">
      <c r="D310" s="44"/>
      <c r="E310" s="16"/>
      <c r="I310" s="56"/>
      <c r="J310" s="6"/>
      <c r="K310" s="6"/>
    </row>
    <row r="311" spans="4:11" ht="11.25" customHeight="1" x14ac:dyDescent="0.15">
      <c r="D311" s="44"/>
      <c r="E311" s="16"/>
      <c r="I311" s="56"/>
      <c r="J311" s="6"/>
      <c r="K311" s="6"/>
    </row>
    <row r="312" spans="4:11" ht="11.25" customHeight="1" x14ac:dyDescent="0.15">
      <c r="D312" s="44"/>
      <c r="E312" s="16"/>
      <c r="I312" s="56"/>
      <c r="J312" s="6"/>
      <c r="K312" s="6"/>
    </row>
    <row r="313" spans="4:11" ht="11.25" customHeight="1" x14ac:dyDescent="0.15">
      <c r="D313" s="44"/>
      <c r="E313" s="16"/>
      <c r="I313" s="56"/>
      <c r="J313" s="6"/>
      <c r="K313" s="6"/>
    </row>
    <row r="314" spans="4:11" ht="11.25" customHeight="1" x14ac:dyDescent="0.15">
      <c r="D314" s="44"/>
      <c r="E314" s="16"/>
      <c r="I314" s="56"/>
      <c r="J314" s="6"/>
      <c r="K314" s="6"/>
    </row>
    <row r="315" spans="4:11" ht="11.25" customHeight="1" x14ac:dyDescent="0.15">
      <c r="D315" s="44"/>
      <c r="E315" s="16"/>
      <c r="I315" s="56"/>
      <c r="J315" s="6"/>
      <c r="K315" s="6"/>
    </row>
    <row r="316" spans="4:11" ht="11.25" customHeight="1" x14ac:dyDescent="0.15">
      <c r="D316" s="44"/>
      <c r="E316" s="16"/>
      <c r="I316" s="56"/>
      <c r="J316" s="6"/>
      <c r="K316" s="6"/>
    </row>
    <row r="317" spans="4:11" ht="11.25" customHeight="1" x14ac:dyDescent="0.15">
      <c r="D317" s="44"/>
      <c r="E317" s="16"/>
      <c r="I317" s="56"/>
      <c r="J317" s="6"/>
      <c r="K317" s="6"/>
    </row>
    <row r="318" spans="4:11" ht="11.25" customHeight="1" x14ac:dyDescent="0.15">
      <c r="D318" s="44"/>
      <c r="E318" s="16"/>
      <c r="I318" s="56"/>
      <c r="J318" s="6"/>
      <c r="K318" s="6"/>
    </row>
    <row r="319" spans="4:11" ht="11.25" customHeight="1" x14ac:dyDescent="0.15">
      <c r="D319" s="44"/>
      <c r="E319" s="16"/>
      <c r="I319" s="56"/>
      <c r="J319" s="6"/>
      <c r="K319" s="6"/>
    </row>
    <row r="320" spans="4:11" ht="11.25" customHeight="1" x14ac:dyDescent="0.15">
      <c r="D320" s="44"/>
      <c r="E320" s="16"/>
      <c r="I320" s="56"/>
      <c r="J320" s="6"/>
      <c r="K320" s="6"/>
    </row>
    <row r="321" spans="4:11" ht="11.25" customHeight="1" x14ac:dyDescent="0.15">
      <c r="D321" s="44"/>
      <c r="E321" s="16"/>
      <c r="I321" s="56"/>
      <c r="J321" s="6"/>
      <c r="K321" s="6"/>
    </row>
    <row r="322" spans="4:11" ht="11.25" customHeight="1" x14ac:dyDescent="0.15">
      <c r="D322" s="44"/>
      <c r="E322" s="16"/>
      <c r="I322" s="56"/>
      <c r="J322" s="6"/>
      <c r="K322" s="6"/>
    </row>
    <row r="323" spans="4:11" ht="11.25" customHeight="1" x14ac:dyDescent="0.15">
      <c r="D323" s="44"/>
      <c r="E323" s="16"/>
      <c r="I323" s="56"/>
      <c r="J323" s="6"/>
      <c r="K323" s="6"/>
    </row>
    <row r="324" spans="4:11" ht="11.25" customHeight="1" x14ac:dyDescent="0.15">
      <c r="D324" s="44"/>
      <c r="E324" s="16"/>
      <c r="I324" s="56"/>
      <c r="J324" s="6"/>
      <c r="K324" s="6"/>
    </row>
    <row r="325" spans="4:11" ht="11.25" customHeight="1" x14ac:dyDescent="0.15">
      <c r="D325" s="44"/>
      <c r="E325" s="16"/>
      <c r="I325" s="56"/>
      <c r="J325" s="6"/>
      <c r="K325" s="6"/>
    </row>
    <row r="326" spans="4:11" ht="11.25" customHeight="1" x14ac:dyDescent="0.15">
      <c r="D326" s="44"/>
      <c r="E326" s="16"/>
      <c r="I326" s="56"/>
      <c r="J326" s="6"/>
      <c r="K326" s="6"/>
    </row>
    <row r="327" spans="4:11" ht="11.25" customHeight="1" x14ac:dyDescent="0.15">
      <c r="D327" s="44"/>
      <c r="E327" s="16"/>
      <c r="I327" s="56"/>
      <c r="J327" s="6"/>
      <c r="K327" s="6"/>
    </row>
    <row r="328" spans="4:11" ht="11.25" customHeight="1" x14ac:dyDescent="0.15">
      <c r="D328" s="44"/>
      <c r="E328" s="16"/>
      <c r="I328" s="56"/>
      <c r="J328" s="6"/>
      <c r="K328" s="6"/>
    </row>
    <row r="329" spans="4:11" ht="11.25" customHeight="1" x14ac:dyDescent="0.15">
      <c r="D329" s="44"/>
      <c r="E329" s="16"/>
      <c r="I329" s="56"/>
      <c r="J329" s="6"/>
      <c r="K329" s="6"/>
    </row>
    <row r="330" spans="4:11" ht="11.25" customHeight="1" x14ac:dyDescent="0.15">
      <c r="D330" s="44"/>
      <c r="E330" s="16"/>
      <c r="I330" s="56"/>
      <c r="J330" s="6"/>
      <c r="K330" s="6"/>
    </row>
    <row r="331" spans="4:11" ht="11.25" customHeight="1" x14ac:dyDescent="0.15">
      <c r="D331" s="44"/>
      <c r="E331" s="16"/>
      <c r="I331" s="56"/>
      <c r="J331" s="6"/>
      <c r="K331" s="6"/>
    </row>
    <row r="332" spans="4:11" ht="11.25" customHeight="1" x14ac:dyDescent="0.15">
      <c r="D332" s="44"/>
      <c r="E332" s="16"/>
      <c r="I332" s="56"/>
      <c r="J332" s="6"/>
      <c r="K332" s="6"/>
    </row>
    <row r="333" spans="4:11" ht="11.25" customHeight="1" x14ac:dyDescent="0.15">
      <c r="D333" s="44"/>
      <c r="E333" s="16"/>
      <c r="I333" s="56"/>
      <c r="J333" s="6"/>
      <c r="K333" s="6"/>
    </row>
    <row r="334" spans="4:11" ht="11.25" customHeight="1" x14ac:dyDescent="0.15">
      <c r="D334" s="44"/>
      <c r="E334" s="16"/>
      <c r="I334" s="56"/>
      <c r="J334" s="6"/>
      <c r="K334" s="6"/>
    </row>
    <row r="335" spans="4:11" ht="11.25" customHeight="1" x14ac:dyDescent="0.15">
      <c r="D335" s="44"/>
      <c r="E335" s="16"/>
      <c r="I335" s="56"/>
      <c r="J335" s="6"/>
      <c r="K335" s="6"/>
    </row>
    <row r="336" spans="4:11" ht="11.25" customHeight="1" x14ac:dyDescent="0.15">
      <c r="D336" s="44"/>
      <c r="E336" s="16"/>
      <c r="I336" s="56"/>
      <c r="J336" s="6"/>
      <c r="K336" s="6"/>
    </row>
    <row r="337" spans="4:11" ht="11.25" customHeight="1" x14ac:dyDescent="0.15">
      <c r="D337" s="44"/>
      <c r="E337" s="16"/>
      <c r="I337" s="56"/>
      <c r="J337" s="6"/>
      <c r="K337" s="6"/>
    </row>
    <row r="338" spans="4:11" ht="11.25" customHeight="1" x14ac:dyDescent="0.15">
      <c r="D338" s="44"/>
      <c r="E338" s="16"/>
      <c r="I338" s="56"/>
      <c r="J338" s="6"/>
      <c r="K338" s="6"/>
    </row>
    <row r="339" spans="4:11" ht="11.25" customHeight="1" x14ac:dyDescent="0.15">
      <c r="D339" s="44"/>
      <c r="E339" s="16"/>
      <c r="J339" s="6"/>
      <c r="K339" s="6"/>
    </row>
    <row r="340" spans="4:11" ht="11.25" customHeight="1" x14ac:dyDescent="0.15">
      <c r="D340" s="44"/>
      <c r="E340" s="16"/>
      <c r="J340" s="6"/>
      <c r="K340" s="6"/>
    </row>
    <row r="341" spans="4:11" ht="11.25" customHeight="1" x14ac:dyDescent="0.15">
      <c r="D341" s="44"/>
      <c r="E341" s="16"/>
      <c r="J341" s="6"/>
      <c r="K341" s="6"/>
    </row>
    <row r="342" spans="4:11" ht="11.25" customHeight="1" x14ac:dyDescent="0.15">
      <c r="D342" s="44"/>
      <c r="E342" s="16"/>
      <c r="J342" s="6"/>
      <c r="K342" s="6"/>
    </row>
    <row r="343" spans="4:11" ht="11.25" customHeight="1" x14ac:dyDescent="0.15">
      <c r="D343" s="44"/>
      <c r="E343" s="16"/>
      <c r="J343" s="6"/>
      <c r="K343" s="6"/>
    </row>
    <row r="344" spans="4:11" ht="11.25" customHeight="1" x14ac:dyDescent="0.15">
      <c r="D344" s="44"/>
      <c r="E344" s="16"/>
      <c r="J344" s="6"/>
      <c r="K344" s="6"/>
    </row>
    <row r="345" spans="4:11" ht="11.25" customHeight="1" x14ac:dyDescent="0.15">
      <c r="D345" s="44"/>
      <c r="E345" s="16"/>
      <c r="J345" s="6"/>
      <c r="K345" s="6"/>
    </row>
    <row r="346" spans="4:11" ht="11.25" customHeight="1" x14ac:dyDescent="0.15">
      <c r="D346" s="44"/>
      <c r="E346" s="16"/>
      <c r="J346" s="6"/>
      <c r="K346" s="6"/>
    </row>
    <row r="347" spans="4:11" ht="11.25" customHeight="1" x14ac:dyDescent="0.15">
      <c r="D347" s="44"/>
      <c r="E347" s="16"/>
      <c r="J347" s="6"/>
      <c r="K347" s="6"/>
    </row>
    <row r="348" spans="4:11" ht="11.25" customHeight="1" x14ac:dyDescent="0.15">
      <c r="D348" s="44"/>
      <c r="E348" s="16"/>
      <c r="J348" s="6"/>
      <c r="K348" s="6"/>
    </row>
    <row r="349" spans="4:11" ht="11.25" customHeight="1" x14ac:dyDescent="0.15">
      <c r="D349" s="44"/>
      <c r="E349" s="16"/>
      <c r="J349" s="6"/>
      <c r="K349" s="6"/>
    </row>
    <row r="350" spans="4:11" ht="11.25" customHeight="1" x14ac:dyDescent="0.15">
      <c r="D350" s="44"/>
      <c r="E350" s="16"/>
      <c r="J350" s="6"/>
      <c r="K350" s="6"/>
    </row>
    <row r="351" spans="4:11" ht="11.25" customHeight="1" x14ac:dyDescent="0.15">
      <c r="D351" s="44"/>
      <c r="E351" s="16"/>
      <c r="J351" s="6"/>
      <c r="K351" s="6"/>
    </row>
    <row r="352" spans="4:11" ht="11.25" customHeight="1" x14ac:dyDescent="0.15">
      <c r="D352" s="44"/>
      <c r="E352" s="16"/>
      <c r="J352" s="6"/>
      <c r="K352" s="6"/>
    </row>
    <row r="353" spans="4:11" ht="11.25" customHeight="1" x14ac:dyDescent="0.15">
      <c r="D353" s="44"/>
      <c r="E353" s="16"/>
      <c r="J353" s="6"/>
      <c r="K353" s="6"/>
    </row>
    <row r="354" spans="4:11" ht="11.25" customHeight="1" x14ac:dyDescent="0.15">
      <c r="D354" s="44"/>
      <c r="E354" s="16"/>
      <c r="J354" s="6"/>
      <c r="K354" s="6"/>
    </row>
    <row r="355" spans="4:11" ht="11.25" customHeight="1" x14ac:dyDescent="0.15">
      <c r="D355" s="44"/>
      <c r="E355" s="16"/>
      <c r="J355" s="6"/>
      <c r="K355" s="6"/>
    </row>
    <row r="356" spans="4:11" ht="11.25" customHeight="1" x14ac:dyDescent="0.15">
      <c r="D356" s="44"/>
      <c r="E356" s="16"/>
      <c r="J356" s="6"/>
      <c r="K356" s="6"/>
    </row>
    <row r="357" spans="4:11" ht="11.25" customHeight="1" x14ac:dyDescent="0.15">
      <c r="D357" s="44"/>
      <c r="E357" s="16"/>
      <c r="J357" s="6"/>
      <c r="K357" s="6"/>
    </row>
    <row r="358" spans="4:11" ht="11.25" customHeight="1" x14ac:dyDescent="0.15">
      <c r="D358" s="44"/>
      <c r="E358" s="16"/>
      <c r="J358" s="6"/>
      <c r="K358" s="6"/>
    </row>
    <row r="359" spans="4:11" ht="11.25" customHeight="1" x14ac:dyDescent="0.15">
      <c r="D359" s="44"/>
      <c r="E359" s="16"/>
      <c r="J359" s="6"/>
      <c r="K359" s="6"/>
    </row>
    <row r="360" spans="4:11" ht="11.25" customHeight="1" x14ac:dyDescent="0.15">
      <c r="D360" s="44"/>
      <c r="E360" s="16"/>
      <c r="J360" s="6"/>
      <c r="K360" s="6"/>
    </row>
    <row r="361" spans="4:11" ht="11.25" customHeight="1" x14ac:dyDescent="0.15">
      <c r="D361" s="44"/>
      <c r="E361" s="16"/>
      <c r="J361" s="6"/>
      <c r="K361" s="6"/>
    </row>
    <row r="362" spans="4:11" ht="11.25" customHeight="1" x14ac:dyDescent="0.15">
      <c r="D362" s="44"/>
      <c r="E362" s="16"/>
      <c r="J362" s="6"/>
      <c r="K362" s="6"/>
    </row>
  </sheetData>
  <sortState xmlns:xlrd2="http://schemas.microsoft.com/office/spreadsheetml/2017/richdata2" caseSensitive="1" ref="M10:AC26">
    <sortCondition ref="M10:M26"/>
  </sortState>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008000"/>
  </sheetPr>
  <dimension ref="B1:AH362"/>
  <sheetViews>
    <sheetView topLeftCell="A66" zoomScaleNormal="100" workbookViewId="0">
      <selection activeCell="A73" sqref="A73"/>
    </sheetView>
  </sheetViews>
  <sheetFormatPr baseColWidth="10" defaultColWidth="9.1640625" defaultRowHeight="11.25" customHeight="1" x14ac:dyDescent="0.15"/>
  <cols>
    <col min="1" max="1" width="9.1640625" style="42"/>
    <col min="2" max="2" width="90.6640625" style="42" customWidth="1"/>
    <col min="3" max="3" width="6.6640625" style="42" customWidth="1"/>
    <col min="4" max="4" width="4.5" style="42" bestFit="1" customWidth="1"/>
    <col min="5" max="6" width="6.5" style="42" bestFit="1" customWidth="1"/>
    <col min="7" max="7" width="12.5" style="42" bestFit="1" customWidth="1"/>
    <col min="8" max="8" width="8.5" style="42" bestFit="1" customWidth="1"/>
    <col min="9" max="9" width="5.33203125" style="42" bestFit="1" customWidth="1"/>
    <col min="10" max="10" width="4" style="42" bestFit="1" customWidth="1"/>
    <col min="11" max="11" width="5.1640625" style="42" customWidth="1"/>
    <col min="12" max="12" width="7" style="42" customWidth="1"/>
    <col min="13" max="13" width="6.1640625" style="42" bestFit="1" customWidth="1"/>
    <col min="14" max="14" width="12" style="42" bestFit="1" customWidth="1"/>
    <col min="15" max="15" width="28.33203125" style="42" bestFit="1" customWidth="1"/>
    <col min="16" max="16" width="4" style="42" bestFit="1" customWidth="1"/>
    <col min="17" max="17" width="9.6640625" style="42" bestFit="1" customWidth="1"/>
    <col min="18" max="18" width="5.6640625" style="42" bestFit="1" customWidth="1"/>
    <col min="19" max="19" width="4.83203125" style="42" bestFit="1" customWidth="1"/>
    <col min="20" max="20" width="7.5" style="42" bestFit="1" customWidth="1"/>
    <col min="21" max="21" width="6.5" style="42" bestFit="1" customWidth="1"/>
    <col min="22" max="22" width="7.5" style="42" bestFit="1" customWidth="1"/>
    <col min="23" max="23" width="5.83203125" style="42" bestFit="1" customWidth="1"/>
    <col min="24" max="24" width="4.83203125" style="42" bestFit="1" customWidth="1"/>
    <col min="25" max="25" width="8" style="42" bestFit="1" customWidth="1"/>
    <col min="26" max="16384" width="9.1640625" style="42"/>
  </cols>
  <sheetData>
    <row r="1" spans="2:34" ht="11.25" customHeight="1" x14ac:dyDescent="0.15">
      <c r="E1" s="95">
        <f ca="1">RSQ(OFFSET(G11,E3-D11,0):OFFSET(G11,E4-D11,0),OFFSET(D11,E3-D11,0):OFFSET(D11,E4-D11,0))</f>
        <v>0.99936920139504992</v>
      </c>
      <c r="F1" s="150">
        <f ca="1">OFFSET(H113,COUNT(H114:H201),0)</f>
        <v>19.076044704035191</v>
      </c>
      <c r="G1" s="160" t="s">
        <v>84</v>
      </c>
      <c r="H1" s="56"/>
    </row>
    <row r="2" spans="2:34" ht="11.25" customHeight="1" x14ac:dyDescent="0.15">
      <c r="E2" s="12">
        <f ca="1" xml:space="preserve"> (- INTERCEPT(OFFSET(G11,E3-D11,0):OFFSET(G11,E4-D11,0),OFFSET(D11,E3-D11,0):OFFSET(D11,E4-D11,0)) - LN(9))/SLOPE(OFFSET(G11,E3-D11,0):OFFSET(G11,E4-D11,0),OFFSET(D11,E3-D11,0):OFFSET(D11,E4-D11,0))</f>
        <v>2008.6310014444998</v>
      </c>
      <c r="F2" s="12">
        <f ca="1" xml:space="preserve"> (- INTERCEPT(OFFSET(G11,E3-D11,0):OFFSET(G11,E4-D11,0),OFFSET(D11,E3-D11,0):OFFSET(D11,E4-D11,0)) + LN(9))/SLOPE(OFFSET(G11,E3-D11,0):OFFSET(G11,E4-D11,0),OFFSET(D11,E3-D11,0):OFFSET(D11,E4-D11,0))</f>
        <v>2088.2200793943157</v>
      </c>
      <c r="G2" s="116" t="s">
        <v>152</v>
      </c>
      <c r="H2" s="6"/>
      <c r="I2" s="100"/>
    </row>
    <row r="3" spans="2:34" ht="11.25" customHeight="1" x14ac:dyDescent="0.15">
      <c r="E3" s="3">
        <v>1986</v>
      </c>
      <c r="F3" s="8">
        <f ca="1">(E3-AVERAGE(E$2:F$2))/(F$2-E$2)*LN(81)</f>
        <v>-3.446777753839668</v>
      </c>
      <c r="G3" s="116" t="s">
        <v>74</v>
      </c>
      <c r="H3" s="8"/>
      <c r="I3" s="6"/>
    </row>
    <row r="4" spans="2:34" ht="11.25" customHeight="1" x14ac:dyDescent="0.15">
      <c r="E4" s="3">
        <f ca="1">OFFSET(D12,COUNT(E13:E304),0)</f>
        <v>2009</v>
      </c>
      <c r="F4" s="8">
        <f ca="1">(E4-AVERAGE(E$2:F$2))/(F$2-E$2)*LN(81)</f>
        <v>-2.1768506085447279</v>
      </c>
      <c r="H4" s="12"/>
      <c r="I4" s="6"/>
    </row>
    <row r="5" spans="2:34" ht="11.25" customHeight="1" x14ac:dyDescent="0.15">
      <c r="E5" s="95">
        <f ca="1">RSQ(OFFSET(K11,E3-D11,0):OFFSET(K11,E4-D11,0),OFFSET(D11,E3-D11,0):OFFSET(D11,E4-D11,0))</f>
        <v>0.99759560243812218</v>
      </c>
      <c r="F5" s="151">
        <f ca="1">OFFSET(H113,COUNT(H114:H201),0)</f>
        <v>19.076044704035191</v>
      </c>
      <c r="G5" s="160" t="s">
        <v>85</v>
      </c>
      <c r="H5" s="3"/>
      <c r="I5" s="3"/>
    </row>
    <row r="6" spans="2:34" ht="11.25" customHeight="1" x14ac:dyDescent="0.15">
      <c r="B6" s="289"/>
      <c r="C6" s="288"/>
      <c r="E6" s="95">
        <v>0.99975158462957159</v>
      </c>
      <c r="F6" s="161">
        <v>10000</v>
      </c>
      <c r="G6" s="116" t="s">
        <v>72</v>
      </c>
      <c r="H6" s="3"/>
      <c r="I6" s="3"/>
    </row>
    <row r="7" spans="2:34" ht="11.25" customHeight="1" x14ac:dyDescent="0.15">
      <c r="E7" s="95">
        <v>0.99938208342761992</v>
      </c>
      <c r="F7" s="161">
        <v>10000</v>
      </c>
      <c r="G7" s="162" t="s">
        <v>73</v>
      </c>
      <c r="H7" s="3"/>
      <c r="I7" s="3"/>
    </row>
    <row r="8" spans="2:34" ht="11.25" customHeight="1" x14ac:dyDescent="0.15">
      <c r="E8" s="95"/>
      <c r="F8" s="349">
        <f ca="1">(OFFSET(E106,COUNT(E107:E200),0)/E106)^(1/COUNT(E107:OFFSET(E107,COUNT(E108:E200),0)))-1</f>
        <v>5.9019674419711343E-2</v>
      </c>
      <c r="G8" s="347" t="s">
        <v>302</v>
      </c>
      <c r="H8" s="3"/>
      <c r="I8" s="3"/>
    </row>
    <row r="10" spans="2:34" ht="11.25" customHeight="1" x14ac:dyDescent="0.15">
      <c r="D10" s="43"/>
      <c r="E10" s="29" t="s">
        <v>0</v>
      </c>
      <c r="F10" s="48" t="s">
        <v>1</v>
      </c>
      <c r="G10" s="48" t="s">
        <v>2</v>
      </c>
      <c r="H10" s="159" t="s">
        <v>83</v>
      </c>
      <c r="I10" s="159" t="s">
        <v>20</v>
      </c>
      <c r="J10" s="77" t="s">
        <v>41</v>
      </c>
      <c r="K10" s="59" t="s">
        <v>3</v>
      </c>
      <c r="M10" s="3"/>
      <c r="N10" s="198" t="s">
        <v>166</v>
      </c>
      <c r="O10" s="280" t="s">
        <v>269</v>
      </c>
      <c r="P10" s="158" t="s">
        <v>40</v>
      </c>
      <c r="Q10" s="280" t="s">
        <v>268</v>
      </c>
      <c r="R10" s="280" t="s">
        <v>267</v>
      </c>
      <c r="S10" s="280" t="s">
        <v>266</v>
      </c>
      <c r="T10" s="280" t="s">
        <v>265</v>
      </c>
      <c r="U10" s="280" t="s">
        <v>264</v>
      </c>
      <c r="V10" s="280" t="s">
        <v>263</v>
      </c>
      <c r="W10" s="280" t="s">
        <v>262</v>
      </c>
      <c r="X10" s="280" t="s">
        <v>261</v>
      </c>
      <c r="Y10" s="280" t="s">
        <v>260</v>
      </c>
    </row>
    <row r="11" spans="2:34" ht="11.25" customHeight="1" x14ac:dyDescent="0.15">
      <c r="D11" s="44">
        <v>1890</v>
      </c>
      <c r="E11" s="16"/>
      <c r="F11" s="49">
        <v>0</v>
      </c>
      <c r="M11" s="277" t="s">
        <v>7</v>
      </c>
      <c r="N11" s="3">
        <v>1913</v>
      </c>
      <c r="O11" s="23">
        <f>LOOKUP(N11,D$12:D$201,F$12:F$201)+P11</f>
        <v>32.133452000000005</v>
      </c>
      <c r="P11" s="278">
        <f>32.097+0.005</f>
        <v>32.102000000000004</v>
      </c>
      <c r="Q11" s="281"/>
      <c r="R11" s="281"/>
      <c r="S11" s="281"/>
      <c r="T11" s="281"/>
      <c r="U11" s="281"/>
      <c r="V11" s="281"/>
      <c r="W11" s="281"/>
      <c r="X11" s="281"/>
      <c r="Y11" s="281"/>
      <c r="AG11" s="279"/>
      <c r="AH11" s="279"/>
    </row>
    <row r="12" spans="2:34" ht="11.25" customHeight="1" x14ac:dyDescent="0.15">
      <c r="D12" s="44">
        <v>1891</v>
      </c>
      <c r="E12" s="21">
        <v>0.2</v>
      </c>
      <c r="F12" s="8">
        <f>F11+E12/1000</f>
        <v>2.0000000000000001E-4</v>
      </c>
      <c r="G12" s="8">
        <f t="shared" ref="G12:G75" ca="1" si="0" xml:space="preserve"> -LN(F$1/F12-1)</f>
        <v>-11.465616050910878</v>
      </c>
      <c r="H12" s="3"/>
      <c r="I12" s="6">
        <f ca="1" xml:space="preserve"> (G12*(F$2-E$2)/LN(81) + AVERAGE(E$2:F$2) - D12)*12</f>
        <v>-602.77664525207183</v>
      </c>
      <c r="J12" s="6"/>
      <c r="K12" s="6">
        <f t="shared" ref="K12:K75" ca="1" si="1">NORMSINV(F12/F$5)</f>
        <v>-4.2543180591135137</v>
      </c>
      <c r="M12" s="3" t="s">
        <v>108</v>
      </c>
      <c r="N12" s="3">
        <v>1962</v>
      </c>
      <c r="O12" s="23">
        <f t="shared" ref="O12:O23" si="2">LOOKUP(N12-2,D$12:D$201,F$12:F$201)+P12</f>
        <v>23.802535000000002</v>
      </c>
      <c r="P12" s="278">
        <f>SUM(Q12:Y12)/1000</f>
        <v>23.556000000000001</v>
      </c>
      <c r="Q12" s="281">
        <f>454</f>
        <v>454</v>
      </c>
      <c r="R12" s="281">
        <f>1700</f>
        <v>1700</v>
      </c>
      <c r="S12" s="281">
        <f>180+5375</f>
        <v>5555</v>
      </c>
      <c r="T12" s="281">
        <f>12500</f>
        <v>12500</v>
      </c>
      <c r="U12" s="281">
        <v>0</v>
      </c>
      <c r="V12" s="281">
        <f>1+4</f>
        <v>5</v>
      </c>
      <c r="W12" s="281">
        <f>2600</f>
        <v>2600</v>
      </c>
      <c r="X12" s="281">
        <f>400</f>
        <v>400</v>
      </c>
      <c r="Y12" s="281">
        <f>342</f>
        <v>342</v>
      </c>
      <c r="AG12" s="279"/>
      <c r="AH12" s="279"/>
    </row>
    <row r="13" spans="2:34" ht="11.25" customHeight="1" x14ac:dyDescent="0.15">
      <c r="D13" s="44">
        <v>1892</v>
      </c>
      <c r="E13" s="21">
        <v>0.35</v>
      </c>
      <c r="F13" s="8">
        <f t="shared" ref="F13:F76" si="3">F12+E13/1000</f>
        <v>5.5000000000000003E-4</v>
      </c>
      <c r="G13" s="8">
        <f t="shared" ca="1" si="0"/>
        <v>-10.453996791252724</v>
      </c>
      <c r="I13" s="6">
        <f t="shared" ref="I13:I76" ca="1" si="4" xml:space="preserve"> (G13*(F$2-E$2)/LN(81) + AVERAGE(E$2:F$2) - D13)*12</f>
        <v>-394.91606765901179</v>
      </c>
      <c r="J13" s="6"/>
      <c r="K13" s="6">
        <f t="shared" ca="1" si="1"/>
        <v>-4.0221719096953317</v>
      </c>
      <c r="M13" s="24" t="s">
        <v>109</v>
      </c>
      <c r="N13" s="3">
        <v>1968</v>
      </c>
      <c r="O13" s="23">
        <f t="shared" si="2"/>
        <v>39.989378000000002</v>
      </c>
      <c r="P13" s="278">
        <f>SUM(Q13:Y13)/1000</f>
        <v>39.695300000000003</v>
      </c>
      <c r="Q13" s="281">
        <f>450</f>
        <v>450</v>
      </c>
      <c r="R13" s="281">
        <f>10675</f>
        <v>10675</v>
      </c>
      <c r="S13" s="281">
        <f>217.5+5365</f>
        <v>5582.5</v>
      </c>
      <c r="T13" s="281">
        <v>12500</v>
      </c>
      <c r="U13" s="281">
        <v>0</v>
      </c>
      <c r="V13" s="281">
        <f>1+4</f>
        <v>5</v>
      </c>
      <c r="W13" s="281">
        <f>3466</f>
        <v>3466</v>
      </c>
      <c r="X13" s="281">
        <f>2334+4630</f>
        <v>6964</v>
      </c>
      <c r="Y13" s="281">
        <v>52.8</v>
      </c>
      <c r="AG13" s="279"/>
      <c r="AH13" s="279"/>
    </row>
    <row r="14" spans="2:34" ht="11.25" customHeight="1" x14ac:dyDescent="0.15">
      <c r="D14" s="44">
        <v>1893</v>
      </c>
      <c r="E14" s="21">
        <v>0.26</v>
      </c>
      <c r="F14" s="8">
        <f t="shared" si="3"/>
        <v>8.1000000000000006E-4</v>
      </c>
      <c r="G14" s="8">
        <f t="shared" ca="1" si="0"/>
        <v>-10.066867191667066</v>
      </c>
      <c r="I14" s="6">
        <f t="shared" ca="1" si="4"/>
        <v>-322.77913911038377</v>
      </c>
      <c r="J14" s="6"/>
      <c r="K14" s="6">
        <f t="shared" ca="1" si="1"/>
        <v>-3.9300639696781392</v>
      </c>
      <c r="M14" s="3" t="s">
        <v>9</v>
      </c>
      <c r="N14" s="3">
        <v>1980</v>
      </c>
      <c r="O14" s="23">
        <f t="shared" si="2"/>
        <v>5.1190699999999998</v>
      </c>
      <c r="P14" s="278">
        <f>SUM(Q14:Y14)/1000</f>
        <v>4.6776999999999997</v>
      </c>
      <c r="Q14" s="281">
        <f>117</f>
        <v>117</v>
      </c>
      <c r="R14" s="281">
        <f>189+720.7</f>
        <v>909.7</v>
      </c>
      <c r="S14" s="281">
        <f>26.5+897</f>
        <v>923.5</v>
      </c>
      <c r="T14" s="281">
        <f>1010+79.1</f>
        <v>1089.0999999999999</v>
      </c>
      <c r="U14" s="281">
        <v>0</v>
      </c>
      <c r="V14" s="281">
        <v>0</v>
      </c>
      <c r="W14" s="281">
        <f>1200+299.5</f>
        <v>1499.5</v>
      </c>
      <c r="X14" s="281">
        <v>0</v>
      </c>
      <c r="Y14" s="281">
        <f>134+4.9</f>
        <v>138.9</v>
      </c>
      <c r="AG14" s="279"/>
      <c r="AH14" s="279"/>
    </row>
    <row r="15" spans="2:34" ht="11.25" customHeight="1" x14ac:dyDescent="0.15">
      <c r="D15" s="44">
        <v>1894</v>
      </c>
      <c r="E15" s="21">
        <v>0.3</v>
      </c>
      <c r="F15" s="8">
        <f t="shared" si="3"/>
        <v>1.1100000000000001E-3</v>
      </c>
      <c r="G15" s="8">
        <f t="shared" ca="1" si="0"/>
        <v>-9.751770417705135</v>
      </c>
      <c r="I15" s="6">
        <f t="shared" ca="1" si="4"/>
        <v>-266.29748649298745</v>
      </c>
      <c r="J15" s="6"/>
      <c r="K15" s="6">
        <f t="shared" ca="1" si="1"/>
        <v>-3.8536365173797109</v>
      </c>
      <c r="M15" s="3" t="s">
        <v>10</v>
      </c>
      <c r="N15" s="3">
        <v>1986</v>
      </c>
      <c r="O15" s="23">
        <f t="shared" si="2"/>
        <v>7.5423974746655498</v>
      </c>
      <c r="P15" s="278">
        <f>SUM(Q15:Y15)/1000</f>
        <v>6.9947800000000004</v>
      </c>
      <c r="Q15" s="281">
        <v>130</v>
      </c>
      <c r="R15" s="281">
        <f>19.67+2323</f>
        <v>2342.67</v>
      </c>
      <c r="S15" s="281">
        <f>30.6+1150</f>
        <v>1180.5999999999999</v>
      </c>
      <c r="T15" s="281">
        <f>1010+24+1</f>
        <v>1035</v>
      </c>
      <c r="U15" s="281">
        <f>17.51</f>
        <v>17.510000000000002</v>
      </c>
      <c r="V15" s="281">
        <v>0</v>
      </c>
      <c r="W15" s="281">
        <f>1274+643</f>
        <v>1917</v>
      </c>
      <c r="X15" s="281">
        <v>0</v>
      </c>
      <c r="Y15" s="281">
        <v>372</v>
      </c>
      <c r="AG15" s="279"/>
      <c r="AH15" s="279"/>
    </row>
    <row r="16" spans="2:34" ht="11.25" customHeight="1" x14ac:dyDescent="0.15">
      <c r="D16" s="44">
        <v>1895</v>
      </c>
      <c r="E16" s="21">
        <v>0.47</v>
      </c>
      <c r="F16" s="8">
        <f t="shared" si="3"/>
        <v>1.58E-3</v>
      </c>
      <c r="G16" s="8">
        <f t="shared" ca="1" si="0"/>
        <v>-9.3986809460219938</v>
      </c>
      <c r="I16" s="6">
        <f t="shared" ca="1" si="4"/>
        <v>-201.55867943180419</v>
      </c>
      <c r="J16" s="6"/>
      <c r="K16" s="6">
        <f t="shared" ca="1" si="1"/>
        <v>-3.7663481030208477</v>
      </c>
      <c r="M16" s="277" t="s">
        <v>11</v>
      </c>
      <c r="N16" s="12">
        <v>1989</v>
      </c>
      <c r="O16" s="6">
        <f t="shared" si="2"/>
        <v>16.235314762851697</v>
      </c>
      <c r="P16" s="154">
        <v>15.608000000000001</v>
      </c>
    </row>
    <row r="17" spans="4:19" ht="11.25" customHeight="1" x14ac:dyDescent="0.15">
      <c r="D17" s="44">
        <v>1896</v>
      </c>
      <c r="E17" s="21">
        <v>0.45800000000000002</v>
      </c>
      <c r="F17" s="8">
        <f t="shared" si="3"/>
        <v>2.0379999999999999E-3</v>
      </c>
      <c r="G17" s="8">
        <f t="shared" ca="1" si="0"/>
        <v>-9.1441128468133179</v>
      </c>
      <c r="I17" s="6">
        <f t="shared" ca="1" si="4"/>
        <v>-158.23204463868933</v>
      </c>
      <c r="J17" s="6"/>
      <c r="K17" s="6">
        <f t="shared" ca="1" si="1"/>
        <v>-3.7022793938665592</v>
      </c>
      <c r="M17" s="157" t="s">
        <v>12</v>
      </c>
      <c r="N17" s="149">
        <v>1992</v>
      </c>
      <c r="O17" s="23">
        <f t="shared" si="2"/>
        <v>12.141599457824812</v>
      </c>
      <c r="P17" s="152">
        <v>11.407999999999999</v>
      </c>
    </row>
    <row r="18" spans="4:19" ht="11.25" customHeight="1" x14ac:dyDescent="0.15">
      <c r="D18" s="44">
        <v>1897</v>
      </c>
      <c r="E18" s="21">
        <v>0.60299999999999998</v>
      </c>
      <c r="F18" s="8">
        <f t="shared" si="3"/>
        <v>2.6410000000000001E-3</v>
      </c>
      <c r="G18" s="8">
        <f t="shared" ca="1" si="0"/>
        <v>-8.884892534095238</v>
      </c>
      <c r="I18" s="6">
        <f t="shared" ca="1" si="4"/>
        <v>-113.89431961622449</v>
      </c>
      <c r="J18" s="6"/>
      <c r="K18" s="6">
        <f t="shared" ca="1" si="1"/>
        <v>-3.6360116806561376</v>
      </c>
      <c r="M18" s="157" t="s">
        <v>13</v>
      </c>
      <c r="N18" s="46">
        <v>1995</v>
      </c>
      <c r="O18" s="23">
        <f t="shared" si="2"/>
        <v>12.256651474803347</v>
      </c>
      <c r="P18" s="153">
        <v>11.407999999999999</v>
      </c>
    </row>
    <row r="19" spans="4:19" ht="11.25" customHeight="1" x14ac:dyDescent="0.15">
      <c r="D19" s="44">
        <v>1898</v>
      </c>
      <c r="E19" s="21">
        <v>0.66</v>
      </c>
      <c r="F19" s="8">
        <f t="shared" si="3"/>
        <v>3.3010000000000001E-3</v>
      </c>
      <c r="G19" s="8">
        <f t="shared" ca="1" si="0"/>
        <v>-8.6617901107825777</v>
      </c>
      <c r="I19" s="6">
        <f t="shared" ca="1" si="4"/>
        <v>-77.406287005509512</v>
      </c>
      <c r="J19" s="6"/>
      <c r="K19" s="6">
        <f t="shared" ca="1" si="1"/>
        <v>-3.5781094606140358</v>
      </c>
      <c r="M19" s="157" t="s">
        <v>14</v>
      </c>
      <c r="N19" s="46">
        <v>1998</v>
      </c>
      <c r="O19" s="23">
        <f t="shared" si="2"/>
        <v>23.773001186710548</v>
      </c>
      <c r="P19" s="154">
        <v>22.785</v>
      </c>
    </row>
    <row r="20" spans="4:19" ht="11.25" customHeight="1" x14ac:dyDescent="0.15">
      <c r="D20" s="44">
        <v>1899</v>
      </c>
      <c r="E20" s="21">
        <v>0.65100000000000002</v>
      </c>
      <c r="F20" s="8">
        <f t="shared" si="3"/>
        <v>3.9519999999999998E-3</v>
      </c>
      <c r="G20" s="8">
        <f t="shared" ca="1" si="0"/>
        <v>-8.4817596507077422</v>
      </c>
      <c r="I20" s="6">
        <f t="shared" ca="1" si="4"/>
        <v>-50.279312545006178</v>
      </c>
      <c r="J20" s="6"/>
      <c r="K20" s="6">
        <f t="shared" ca="1" si="1"/>
        <v>-3.5307765249979663</v>
      </c>
      <c r="M20" s="157" t="s">
        <v>15</v>
      </c>
      <c r="N20" s="155">
        <v>2001</v>
      </c>
      <c r="O20" s="23">
        <f t="shared" si="2"/>
        <v>24.120339457935938</v>
      </c>
      <c r="P20" s="6">
        <v>22.962999999999997</v>
      </c>
    </row>
    <row r="21" spans="4:19" ht="11.25" customHeight="1" x14ac:dyDescent="0.15">
      <c r="D21" s="44">
        <v>1900</v>
      </c>
      <c r="E21" s="21">
        <v>0.76100000000000001</v>
      </c>
      <c r="F21" s="8">
        <f t="shared" si="3"/>
        <v>4.7130000000000002E-3</v>
      </c>
      <c r="G21" s="8">
        <f t="shared" ca="1" si="0"/>
        <v>-8.3056168806234698</v>
      </c>
      <c r="I21" s="6">
        <f t="shared" ca="1" si="4"/>
        <v>-23.997270363784082</v>
      </c>
      <c r="J21" s="6"/>
      <c r="K21" s="6">
        <f t="shared" ca="1" si="1"/>
        <v>-3.4839197676111815</v>
      </c>
      <c r="M21" s="157" t="s">
        <v>16</v>
      </c>
      <c r="N21" s="156">
        <v>2004</v>
      </c>
      <c r="O21" s="23">
        <f t="shared" si="2"/>
        <v>22.459979830841405</v>
      </c>
      <c r="P21" s="6">
        <v>21.103999999999999</v>
      </c>
      <c r="R21" s="24"/>
      <c r="S21" s="3"/>
    </row>
    <row r="22" spans="4:19" ht="11.25" customHeight="1" x14ac:dyDescent="0.15">
      <c r="D22" s="44">
        <v>1901</v>
      </c>
      <c r="E22" s="21">
        <v>1.3149999999999999</v>
      </c>
      <c r="F22" s="8">
        <f t="shared" si="3"/>
        <v>6.0280000000000004E-3</v>
      </c>
      <c r="G22" s="8">
        <f t="shared" ca="1" si="0"/>
        <v>-8.059457293762458</v>
      </c>
      <c r="I22" s="6">
        <f t="shared" ca="1" si="4"/>
        <v>17.501897856498545</v>
      </c>
      <c r="J22" s="6"/>
      <c r="K22" s="6">
        <f t="shared" ca="1" si="1"/>
        <v>-3.4174974585627869</v>
      </c>
      <c r="M22" s="157" t="s">
        <v>17</v>
      </c>
      <c r="N22" s="156">
        <v>2007</v>
      </c>
      <c r="O22" s="23">
        <f t="shared" si="2"/>
        <v>19.076044704035191</v>
      </c>
      <c r="P22" s="6">
        <v>17.486999999999998</v>
      </c>
      <c r="Q22" s="23"/>
      <c r="R22" s="24"/>
      <c r="S22" s="3"/>
    </row>
    <row r="23" spans="4:19" ht="11.25" customHeight="1" x14ac:dyDescent="0.15">
      <c r="D23" s="44">
        <v>1902</v>
      </c>
      <c r="E23" s="21">
        <v>1.51</v>
      </c>
      <c r="F23" s="8">
        <f t="shared" si="3"/>
        <v>7.5380000000000004E-3</v>
      </c>
      <c r="G23" s="8">
        <f t="shared" ca="1" si="0"/>
        <v>-7.8358364946548749</v>
      </c>
      <c r="I23" s="6">
        <f t="shared" ca="1" si="4"/>
        <v>54.102591827300785</v>
      </c>
      <c r="J23" s="6"/>
      <c r="K23" s="6">
        <f t="shared" ca="1" si="1"/>
        <v>-3.3561662045686469</v>
      </c>
      <c r="M23" s="341" t="s">
        <v>297</v>
      </c>
      <c r="N23" s="42">
        <v>2010</v>
      </c>
      <c r="O23" s="23">
        <f t="shared" si="2"/>
        <v>15.596818721000391</v>
      </c>
      <c r="P23" s="56">
        <v>13.718999999999999</v>
      </c>
    </row>
    <row r="24" spans="4:19" ht="11.25" customHeight="1" x14ac:dyDescent="0.15">
      <c r="D24" s="44">
        <v>1903</v>
      </c>
      <c r="E24" s="21">
        <v>1.6619999999999999</v>
      </c>
      <c r="F24" s="8">
        <f t="shared" si="3"/>
        <v>9.1999999999999998E-3</v>
      </c>
      <c r="G24" s="8">
        <f t="shared" ca="1" si="0"/>
        <v>-7.6365027422254128</v>
      </c>
      <c r="I24" s="6">
        <f t="shared" ca="1" si="4"/>
        <v>85.424853166754474</v>
      </c>
      <c r="J24" s="6"/>
      <c r="K24" s="6">
        <f t="shared" ca="1" si="1"/>
        <v>-3.3006647786878234</v>
      </c>
    </row>
    <row r="25" spans="4:19" ht="11.25" customHeight="1" x14ac:dyDescent="0.15">
      <c r="D25" s="44">
        <v>1904</v>
      </c>
      <c r="E25" s="21">
        <v>1.6439999999999999</v>
      </c>
      <c r="F25" s="8">
        <f t="shared" si="3"/>
        <v>1.0843999999999999E-2</v>
      </c>
      <c r="G25" s="8">
        <f t="shared" ca="1" si="0"/>
        <v>-7.4720080679554686</v>
      </c>
      <c r="I25" s="6">
        <f t="shared" ca="1" si="4"/>
        <v>109.17535292314824</v>
      </c>
      <c r="J25" s="6"/>
      <c r="K25" s="6">
        <f t="shared" ca="1" si="1"/>
        <v>-3.2542496193972799</v>
      </c>
      <c r="N25" s="12"/>
      <c r="R25" s="24"/>
      <c r="S25" s="3"/>
    </row>
    <row r="26" spans="4:19" ht="11.25" customHeight="1" x14ac:dyDescent="0.15">
      <c r="D26" s="44">
        <v>1905</v>
      </c>
      <c r="E26" s="21">
        <v>1.7889999999999999</v>
      </c>
      <c r="F26" s="8">
        <f t="shared" si="3"/>
        <v>1.2633E-2</v>
      </c>
      <c r="G26" s="8">
        <f t="shared" ca="1" si="0"/>
        <v>-7.3192137214551156</v>
      </c>
      <c r="I26" s="6">
        <f t="shared" ca="1" si="4"/>
        <v>130.38295840692626</v>
      </c>
      <c r="J26" s="6"/>
      <c r="K26" s="6">
        <f t="shared" ca="1" si="1"/>
        <v>-3.210620248063734</v>
      </c>
      <c r="R26" s="24"/>
      <c r="S26" s="3"/>
    </row>
    <row r="27" spans="4:19" ht="11.25" customHeight="1" x14ac:dyDescent="0.15">
      <c r="D27" s="44">
        <v>1906</v>
      </c>
      <c r="E27" s="21">
        <v>1.7769999999999999</v>
      </c>
      <c r="F27" s="8">
        <f t="shared" si="3"/>
        <v>1.4409999999999999E-2</v>
      </c>
      <c r="G27" s="8">
        <f t="shared" ca="1" si="0"/>
        <v>-7.1875105297328599</v>
      </c>
      <c r="I27" s="6">
        <f t="shared" ca="1" si="4"/>
        <v>147.006711391512</v>
      </c>
      <c r="J27" s="6"/>
      <c r="K27" s="6">
        <f t="shared" ca="1" si="1"/>
        <v>-3.1726018881491087</v>
      </c>
      <c r="R27" s="24"/>
      <c r="S27" s="3"/>
    </row>
    <row r="28" spans="4:19" ht="11.25" customHeight="1" x14ac:dyDescent="0.15">
      <c r="D28" s="44">
        <v>1907</v>
      </c>
      <c r="E28" s="21">
        <v>2.044</v>
      </c>
      <c r="F28" s="8">
        <f t="shared" si="3"/>
        <v>1.6454E-2</v>
      </c>
      <c r="G28" s="8">
        <f t="shared" ca="1" si="0"/>
        <v>-7.054757094150883</v>
      </c>
      <c r="I28" s="6">
        <f t="shared" ca="1" si="4"/>
        <v>163.85871944282189</v>
      </c>
      <c r="J28" s="6"/>
      <c r="K28" s="6">
        <f t="shared" ca="1" si="1"/>
        <v>-3.1338831181369668</v>
      </c>
    </row>
    <row r="29" spans="4:19" ht="11.25" customHeight="1" x14ac:dyDescent="0.15">
      <c r="D29" s="44">
        <v>1908</v>
      </c>
      <c r="E29" s="21">
        <v>2.117</v>
      </c>
      <c r="F29" s="8">
        <f t="shared" si="3"/>
        <v>1.8571000000000001E-2</v>
      </c>
      <c r="G29" s="8">
        <f t="shared" ca="1" si="0"/>
        <v>-6.9336133998281912</v>
      </c>
      <c r="I29" s="6">
        <f t="shared" ca="1" si="4"/>
        <v>178.18752086811674</v>
      </c>
      <c r="J29" s="6"/>
      <c r="K29" s="6">
        <f t="shared" ca="1" si="1"/>
        <v>-3.0981924683168307</v>
      </c>
    </row>
    <row r="30" spans="4:19" ht="11.25" customHeight="1" x14ac:dyDescent="0.15">
      <c r="D30" s="44">
        <v>1909</v>
      </c>
      <c r="E30" s="21">
        <v>2.5099999999999998</v>
      </c>
      <c r="F30" s="8">
        <f t="shared" si="3"/>
        <v>2.1080999999999999E-2</v>
      </c>
      <c r="G30" s="8">
        <f t="shared" ca="1" si="0"/>
        <v>-6.8067107476279336</v>
      </c>
      <c r="I30" s="6">
        <f t="shared" ca="1" si="4"/>
        <v>193.76794714456992</v>
      </c>
      <c r="J30" s="6"/>
      <c r="K30" s="6">
        <f t="shared" ca="1" si="1"/>
        <v>-3.0604283178515095</v>
      </c>
    </row>
    <row r="31" spans="4:19" ht="11.25" customHeight="1" x14ac:dyDescent="0.15">
      <c r="D31" s="44">
        <v>1910</v>
      </c>
      <c r="E31" s="21">
        <v>2.6850000000000001</v>
      </c>
      <c r="F31" s="8">
        <f t="shared" si="3"/>
        <v>2.3765999999999999E-2</v>
      </c>
      <c r="G31" s="8">
        <f t="shared" ca="1" si="0"/>
        <v>-6.6866860025431896</v>
      </c>
      <c r="I31" s="6">
        <f t="shared" ca="1" si="4"/>
        <v>207.85356139899523</v>
      </c>
      <c r="J31" s="6"/>
      <c r="K31" s="6">
        <f t="shared" ca="1" si="1"/>
        <v>-3.0243461710891038</v>
      </c>
    </row>
    <row r="32" spans="4:19" ht="11.25" customHeight="1" x14ac:dyDescent="0.15">
      <c r="D32" s="44">
        <v>1911</v>
      </c>
      <c r="E32" s="21">
        <v>2.9119999999999999</v>
      </c>
      <c r="F32" s="8">
        <f t="shared" si="3"/>
        <v>2.6678E-2</v>
      </c>
      <c r="G32" s="8">
        <f t="shared" ca="1" si="0"/>
        <v>-6.5709498804007378</v>
      </c>
      <c r="I32" s="6">
        <f t="shared" ca="1" si="4"/>
        <v>221.00710648988297</v>
      </c>
      <c r="J32" s="6"/>
      <c r="K32" s="6">
        <f t="shared" ca="1" si="1"/>
        <v>-2.9892080697294423</v>
      </c>
    </row>
    <row r="33" spans="4:11" ht="11.25" customHeight="1" x14ac:dyDescent="0.15">
      <c r="D33" s="44">
        <v>1912</v>
      </c>
      <c r="E33" s="21">
        <v>2.5840000000000001</v>
      </c>
      <c r="F33" s="8">
        <f t="shared" si="3"/>
        <v>2.9262E-2</v>
      </c>
      <c r="G33" s="8">
        <f t="shared" ca="1" si="0"/>
        <v>-6.4783637334085871</v>
      </c>
      <c r="I33" s="6">
        <f t="shared" ca="1" si="4"/>
        <v>229.12934473363475</v>
      </c>
      <c r="J33" s="6"/>
      <c r="K33" s="6">
        <f t="shared" ca="1" si="1"/>
        <v>-2.9608481510463371</v>
      </c>
    </row>
    <row r="34" spans="4:11" ht="11.25" customHeight="1" x14ac:dyDescent="0.15">
      <c r="D34" s="44">
        <v>1913</v>
      </c>
      <c r="E34" s="21">
        <v>2.19</v>
      </c>
      <c r="F34" s="8">
        <f t="shared" si="3"/>
        <v>3.1452000000000001E-2</v>
      </c>
      <c r="G34" s="8">
        <f t="shared" ca="1" si="0"/>
        <v>-6.4060759185760272</v>
      </c>
      <c r="I34" s="6">
        <f t="shared" ca="1" si="4"/>
        <v>232.84003882164234</v>
      </c>
      <c r="J34" s="6"/>
      <c r="K34" s="6">
        <f t="shared" ca="1" si="1"/>
        <v>-2.9385477173689947</v>
      </c>
    </row>
    <row r="35" spans="4:11" ht="11.25" customHeight="1" x14ac:dyDescent="0.15">
      <c r="D35" s="44">
        <v>1914</v>
      </c>
      <c r="E35" s="21">
        <v>2.88</v>
      </c>
      <c r="F35" s="8">
        <f t="shared" si="3"/>
        <v>3.4332000000000001E-2</v>
      </c>
      <c r="G35" s="8">
        <f t="shared" ca="1" si="0"/>
        <v>-6.3183093933868841</v>
      </c>
      <c r="I35" s="6">
        <f t="shared" ca="1" si="4"/>
        <v>239.91480310395036</v>
      </c>
      <c r="J35" s="6"/>
      <c r="K35" s="6">
        <f t="shared" ca="1" si="1"/>
        <v>-2.9112821361843353</v>
      </c>
    </row>
    <row r="36" spans="4:11" ht="11.25" customHeight="1" x14ac:dyDescent="0.15">
      <c r="D36" s="44">
        <v>1915</v>
      </c>
      <c r="E36" s="21">
        <v>1.9259999999999999</v>
      </c>
      <c r="F36" s="8">
        <f t="shared" si="3"/>
        <v>3.6257999999999999E-2</v>
      </c>
      <c r="G36" s="8">
        <f t="shared" ca="1" si="0"/>
        <v>-6.2636260591559711</v>
      </c>
      <c r="I36" s="6">
        <f t="shared" ca="1" si="4"/>
        <v>239.79942207886506</v>
      </c>
      <c r="J36" s="6"/>
      <c r="K36" s="6">
        <f t="shared" ca="1" si="1"/>
        <v>-2.8941869986777724</v>
      </c>
    </row>
    <row r="37" spans="4:11" ht="11.25" customHeight="1" x14ac:dyDescent="0.15">
      <c r="D37" s="44">
        <v>1916</v>
      </c>
      <c r="E37" s="21">
        <v>2.0550000000000002</v>
      </c>
      <c r="F37" s="8">
        <f t="shared" si="3"/>
        <v>3.8313E-2</v>
      </c>
      <c r="G37" s="8">
        <f t="shared" ca="1" si="0"/>
        <v>-6.2083889038747699</v>
      </c>
      <c r="I37" s="6">
        <f t="shared" ca="1" si="4"/>
        <v>239.80440591915431</v>
      </c>
      <c r="J37" s="6"/>
      <c r="K37" s="6">
        <f t="shared" ca="1" si="1"/>
        <v>-2.8768338440355663</v>
      </c>
    </row>
    <row r="38" spans="4:11" ht="11.25" customHeight="1" x14ac:dyDescent="0.15">
      <c r="D38" s="44">
        <v>1917</v>
      </c>
      <c r="E38" s="21">
        <v>2.3439999999999999</v>
      </c>
      <c r="F38" s="8">
        <f t="shared" si="3"/>
        <v>4.0656999999999999E-2</v>
      </c>
      <c r="G38" s="8">
        <f t="shared" ca="1" si="0"/>
        <v>-6.1488840136739693</v>
      </c>
      <c r="I38" s="6">
        <f t="shared" ca="1" si="4"/>
        <v>240.73691921825957</v>
      </c>
      <c r="J38" s="6"/>
      <c r="K38" s="6">
        <f t="shared" ca="1" si="1"/>
        <v>-2.8580431897074168</v>
      </c>
    </row>
    <row r="39" spans="4:11" ht="11.25" customHeight="1" x14ac:dyDescent="0.15">
      <c r="D39" s="44">
        <v>1918</v>
      </c>
      <c r="E39" s="21">
        <v>2.669</v>
      </c>
      <c r="F39" s="8">
        <f t="shared" si="3"/>
        <v>4.3325999999999996E-2</v>
      </c>
      <c r="G39" s="8">
        <f t="shared" ca="1" si="0"/>
        <v>-6.0851618975001411</v>
      </c>
      <c r="I39" s="6">
        <f t="shared" ca="1" si="4"/>
        <v>242.58598459900895</v>
      </c>
      <c r="J39" s="6"/>
      <c r="K39" s="6">
        <f t="shared" ca="1" si="1"/>
        <v>-2.837807907702619</v>
      </c>
    </row>
    <row r="40" spans="4:11" ht="11.25" customHeight="1" x14ac:dyDescent="0.15">
      <c r="D40" s="44">
        <v>1919</v>
      </c>
      <c r="E40" s="21">
        <v>2.5870000000000002</v>
      </c>
      <c r="F40" s="8">
        <f t="shared" si="3"/>
        <v>4.5912999999999995E-2</v>
      </c>
      <c r="G40" s="8">
        <f t="shared" ca="1" si="0"/>
        <v>-6.0270305797629806</v>
      </c>
      <c r="I40" s="6">
        <f t="shared" ca="1" si="4"/>
        <v>243.2199721115212</v>
      </c>
      <c r="J40" s="6"/>
      <c r="K40" s="6">
        <f t="shared" ca="1" si="1"/>
        <v>-2.8192446535819231</v>
      </c>
    </row>
    <row r="41" spans="4:11" ht="11.25" customHeight="1" x14ac:dyDescent="0.15">
      <c r="D41" s="44">
        <v>1920</v>
      </c>
      <c r="E41" s="21">
        <v>2.488</v>
      </c>
      <c r="F41" s="8">
        <f t="shared" si="3"/>
        <v>4.8400999999999993E-2</v>
      </c>
      <c r="G41" s="8">
        <f t="shared" ca="1" si="0"/>
        <v>-5.9741276578859663</v>
      </c>
      <c r="I41" s="6">
        <f t="shared" ca="1" si="4"/>
        <v>242.7176446293106</v>
      </c>
      <c r="J41" s="6"/>
      <c r="K41" s="6">
        <f t="shared" ca="1" si="1"/>
        <v>-2.802264054130494</v>
      </c>
    </row>
    <row r="42" spans="4:11" ht="11.25" customHeight="1" x14ac:dyDescent="0.15">
      <c r="D42" s="44">
        <v>1921</v>
      </c>
      <c r="E42" s="21">
        <v>2.6549999999999998</v>
      </c>
      <c r="F42" s="8">
        <f t="shared" si="3"/>
        <v>5.105599999999999E-2</v>
      </c>
      <c r="G42" s="8">
        <f t="shared" ca="1" si="0"/>
        <v>-5.9205855194505999</v>
      </c>
      <c r="I42" s="6">
        <f t="shared" ca="1" si="4"/>
        <v>242.35424147103913</v>
      </c>
      <c r="J42" s="6"/>
      <c r="K42" s="6">
        <f t="shared" ca="1" si="1"/>
        <v>-2.7849927719921332</v>
      </c>
    </row>
    <row r="43" spans="4:11" ht="11.25" customHeight="1" x14ac:dyDescent="0.15">
      <c r="D43" s="44">
        <v>1922</v>
      </c>
      <c r="E43" s="21">
        <v>2.718</v>
      </c>
      <c r="F43" s="8">
        <f t="shared" si="3"/>
        <v>5.3773999999999988E-2</v>
      </c>
      <c r="G43" s="8">
        <f t="shared" ca="1" si="0"/>
        <v>-5.8685756350647242</v>
      </c>
      <c r="I43" s="6">
        <f t="shared" ca="1" si="4"/>
        <v>241.65782541574481</v>
      </c>
      <c r="J43" s="6"/>
      <c r="K43" s="6">
        <f t="shared" ca="1" si="1"/>
        <v>-2.768132302499076</v>
      </c>
    </row>
    <row r="44" spans="4:11" ht="11.25" customHeight="1" x14ac:dyDescent="0.15">
      <c r="D44" s="44">
        <v>1923</v>
      </c>
      <c r="E44" s="21">
        <v>3.0289999999999999</v>
      </c>
      <c r="F44" s="8">
        <f t="shared" si="3"/>
        <v>5.6802999999999985E-2</v>
      </c>
      <c r="G44" s="8">
        <f t="shared" ca="1" si="0"/>
        <v>-5.8136173257236115</v>
      </c>
      <c r="I44" s="6">
        <f t="shared" ca="1" si="4"/>
        <v>241.60220618935455</v>
      </c>
      <c r="J44" s="6"/>
      <c r="K44" s="6">
        <f t="shared" ca="1" si="1"/>
        <v>-2.750225450971246</v>
      </c>
    </row>
    <row r="45" spans="4:11" ht="11.25" customHeight="1" x14ac:dyDescent="0.15">
      <c r="D45" s="44">
        <v>1924</v>
      </c>
      <c r="E45" s="21">
        <v>3.2440000000000002</v>
      </c>
      <c r="F45" s="8">
        <f t="shared" si="3"/>
        <v>6.0046999999999989E-2</v>
      </c>
      <c r="G45" s="8">
        <f t="shared" ca="1" si="0"/>
        <v>-5.7579082993914392</v>
      </c>
      <c r="I45" s="6">
        <f t="shared" ca="1" si="4"/>
        <v>241.70974426714565</v>
      </c>
      <c r="J45" s="6"/>
      <c r="K45" s="6">
        <f t="shared" ca="1" si="1"/>
        <v>-2.7319777170343569</v>
      </c>
    </row>
    <row r="46" spans="4:11" ht="11.25" customHeight="1" x14ac:dyDescent="0.15">
      <c r="D46" s="44">
        <v>1925</v>
      </c>
      <c r="E46" s="21">
        <v>3.4020000000000001</v>
      </c>
      <c r="F46" s="8">
        <f t="shared" si="3"/>
        <v>6.3448999999999992E-2</v>
      </c>
      <c r="G46" s="8">
        <f t="shared" ca="1" si="0"/>
        <v>-5.7026205367027822</v>
      </c>
      <c r="I46" s="6">
        <f t="shared" ca="1" si="4"/>
        <v>241.72572688363289</v>
      </c>
      <c r="J46" s="6"/>
      <c r="K46" s="6">
        <f t="shared" ca="1" si="1"/>
        <v>-2.713770788813255</v>
      </c>
    </row>
    <row r="47" spans="4:11" ht="11.25" customHeight="1" x14ac:dyDescent="0.15">
      <c r="D47" s="44">
        <v>1926</v>
      </c>
      <c r="E47" s="21">
        <v>3.347</v>
      </c>
      <c r="F47" s="8">
        <f t="shared" si="3"/>
        <v>6.6795999999999994E-2</v>
      </c>
      <c r="G47" s="8">
        <f t="shared" ca="1" si="0"/>
        <v>-5.6510377150990001</v>
      </c>
      <c r="I47" s="6">
        <f t="shared" ca="1" si="4"/>
        <v>240.93649500949869</v>
      </c>
      <c r="J47" s="6"/>
      <c r="K47" s="6">
        <f t="shared" ca="1" si="1"/>
        <v>-2.6966954379411741</v>
      </c>
    </row>
    <row r="48" spans="4:11" ht="11.25" customHeight="1" x14ac:dyDescent="0.15">
      <c r="D48" s="44">
        <v>1927</v>
      </c>
      <c r="E48" s="21">
        <v>3.0379999999999998</v>
      </c>
      <c r="F48" s="8">
        <f t="shared" si="3"/>
        <v>6.9833999999999993E-2</v>
      </c>
      <c r="G48" s="8">
        <f t="shared" ca="1" si="0"/>
        <v>-5.6064000867070769</v>
      </c>
      <c r="I48" s="6">
        <f t="shared" ca="1" si="4"/>
        <v>238.63782746925244</v>
      </c>
      <c r="J48" s="6"/>
      <c r="K48" s="6">
        <f t="shared" ca="1" si="1"/>
        <v>-2.6818492921747201</v>
      </c>
    </row>
    <row r="49" spans="4:11" ht="11.25" customHeight="1" x14ac:dyDescent="0.15">
      <c r="D49" s="44">
        <v>1928</v>
      </c>
      <c r="E49" s="21">
        <v>2.923</v>
      </c>
      <c r="F49" s="8">
        <f t="shared" si="3"/>
        <v>7.2756999999999988E-2</v>
      </c>
      <c r="G49" s="8">
        <f t="shared" ca="1" si="0"/>
        <v>-5.5652421588798449</v>
      </c>
      <c r="I49" s="6">
        <f t="shared" ca="1" si="4"/>
        <v>235.58289815492208</v>
      </c>
      <c r="J49" s="6"/>
      <c r="K49" s="6">
        <f t="shared" ca="1" si="1"/>
        <v>-2.6681023686667773</v>
      </c>
    </row>
    <row r="50" spans="4:11" ht="11.25" customHeight="1" x14ac:dyDescent="0.15">
      <c r="D50" s="44">
        <v>1929</v>
      </c>
      <c r="E50" s="21">
        <v>3.1749999999999998</v>
      </c>
      <c r="F50" s="8">
        <f t="shared" si="3"/>
        <v>7.5931999999999986E-2</v>
      </c>
      <c r="G50" s="8">
        <f t="shared" ca="1" si="0"/>
        <v>-5.5223619869940155</v>
      </c>
      <c r="I50" s="6">
        <f t="shared" ca="1" si="4"/>
        <v>232.90227327367484</v>
      </c>
      <c r="J50" s="6"/>
      <c r="K50" s="6">
        <f t="shared" ca="1" si="1"/>
        <v>-2.6537202607176771</v>
      </c>
    </row>
    <row r="51" spans="4:11" ht="11.25" customHeight="1" x14ac:dyDescent="0.15">
      <c r="D51" s="44">
        <v>1930</v>
      </c>
      <c r="E51" s="21">
        <v>3.331</v>
      </c>
      <c r="F51" s="8">
        <f t="shared" si="3"/>
        <v>7.9262999999999986E-2</v>
      </c>
      <c r="G51" s="8">
        <f t="shared" ca="1" si="0"/>
        <v>-5.4792534226437981</v>
      </c>
      <c r="I51" s="6">
        <f t="shared" ca="1" si="4"/>
        <v>230.2712861377122</v>
      </c>
      <c r="J51" s="6"/>
      <c r="K51" s="6">
        <f t="shared" ca="1" si="1"/>
        <v>-2.6391992071980339</v>
      </c>
    </row>
    <row r="52" spans="4:11" ht="11.25" customHeight="1" x14ac:dyDescent="0.15">
      <c r="D52" s="44">
        <v>1931</v>
      </c>
      <c r="E52" s="21">
        <v>2.6269999999999998</v>
      </c>
      <c r="F52" s="8">
        <f t="shared" si="3"/>
        <v>8.1889999999999991E-2</v>
      </c>
      <c r="G52" s="8">
        <f t="shared" ca="1" si="0"/>
        <v>-5.4465096803773436</v>
      </c>
      <c r="I52" s="6">
        <f t="shared" ca="1" si="4"/>
        <v>225.38765726106794</v>
      </c>
      <c r="J52" s="6"/>
      <c r="K52" s="6">
        <f t="shared" ca="1" si="1"/>
        <v>-2.6281273280540582</v>
      </c>
    </row>
    <row r="53" spans="4:11" ht="11.25" customHeight="1" x14ac:dyDescent="0.15">
      <c r="D53" s="44">
        <v>1932</v>
      </c>
      <c r="E53" s="21">
        <v>2.339</v>
      </c>
      <c r="F53" s="8">
        <f t="shared" si="3"/>
        <v>8.4228999999999984E-2</v>
      </c>
      <c r="G53" s="8">
        <f t="shared" ca="1" si="0"/>
        <v>-5.4182241329266478</v>
      </c>
      <c r="I53" s="6">
        <f t="shared" ca="1" si="4"/>
        <v>219.53510526650189</v>
      </c>
      <c r="J53" s="6"/>
      <c r="K53" s="6">
        <f t="shared" ca="1" si="1"/>
        <v>-2.618533335434988</v>
      </c>
    </row>
    <row r="54" spans="4:11" ht="11.25" customHeight="1" x14ac:dyDescent="0.15">
      <c r="D54" s="44">
        <v>1933</v>
      </c>
      <c r="E54" s="21">
        <v>2.9510000000000001</v>
      </c>
      <c r="F54" s="8">
        <f t="shared" si="3"/>
        <v>8.717999999999998E-2</v>
      </c>
      <c r="G54" s="8">
        <f t="shared" ca="1" si="0"/>
        <v>-5.3836330713245548</v>
      </c>
      <c r="I54" s="6">
        <f t="shared" ca="1" si="4"/>
        <v>215.05296409608309</v>
      </c>
      <c r="J54" s="6"/>
      <c r="K54" s="6">
        <f t="shared" ca="1" si="1"/>
        <v>-2.6067630178565726</v>
      </c>
    </row>
    <row r="55" spans="4:11" ht="11.25" customHeight="1" x14ac:dyDescent="0.15">
      <c r="D55" s="44">
        <v>1934</v>
      </c>
      <c r="E55" s="21">
        <v>3.601</v>
      </c>
      <c r="F55" s="8">
        <f t="shared" si="3"/>
        <v>9.0780999999999973E-2</v>
      </c>
      <c r="G55" s="8">
        <f t="shared" ca="1" si="0"/>
        <v>-5.3429683500852114</v>
      </c>
      <c r="I55" s="6">
        <f t="shared" ca="1" si="4"/>
        <v>211.89084357888532</v>
      </c>
      <c r="J55" s="6"/>
      <c r="K55" s="6">
        <f t="shared" ca="1" si="1"/>
        <v>-2.5928726333397609</v>
      </c>
    </row>
    <row r="56" spans="4:11" ht="11.25" customHeight="1" x14ac:dyDescent="0.15">
      <c r="D56" s="44">
        <v>1935</v>
      </c>
      <c r="E56" s="21">
        <v>4.4450000000000003</v>
      </c>
      <c r="F56" s="8">
        <f t="shared" si="3"/>
        <v>9.5225999999999977E-2</v>
      </c>
      <c r="G56" s="8">
        <f t="shared" ca="1" si="0"/>
        <v>-5.294931192571573</v>
      </c>
      <c r="I56" s="6">
        <f t="shared" ca="1" si="4"/>
        <v>210.33101372792771</v>
      </c>
      <c r="J56" s="6"/>
      <c r="K56" s="6">
        <f t="shared" ca="1" si="1"/>
        <v>-2.576388822303596</v>
      </c>
    </row>
    <row r="57" spans="4:11" ht="11.25" customHeight="1" x14ac:dyDescent="0.15">
      <c r="D57" s="44">
        <v>1936</v>
      </c>
      <c r="E57" s="21">
        <v>4.32</v>
      </c>
      <c r="F57" s="8">
        <f t="shared" si="3"/>
        <v>9.9545999999999982E-2</v>
      </c>
      <c r="G57" s="8">
        <f t="shared" ca="1" si="0"/>
        <v>-5.2503367333404167</v>
      </c>
      <c r="I57" s="6">
        <f t="shared" ca="1" si="4"/>
        <v>208.02296400507475</v>
      </c>
      <c r="J57" s="6"/>
      <c r="K57" s="6">
        <f t="shared" ca="1" si="1"/>
        <v>-2.561012678315187</v>
      </c>
    </row>
    <row r="58" spans="4:11" ht="11.25" customHeight="1" x14ac:dyDescent="0.15">
      <c r="D58" s="44">
        <v>1937</v>
      </c>
      <c r="E58" s="21">
        <v>4.4400000000000004</v>
      </c>
      <c r="F58" s="8">
        <f t="shared" si="3"/>
        <v>0.10398599999999998</v>
      </c>
      <c r="G58" s="8">
        <f t="shared" ca="1" si="0"/>
        <v>-5.2064663065433967</v>
      </c>
      <c r="I58" s="6">
        <f t="shared" ca="1" si="4"/>
        <v>205.55755647428759</v>
      </c>
      <c r="J58" s="6"/>
      <c r="K58" s="6">
        <f t="shared" ca="1" si="1"/>
        <v>-2.5458161196438684</v>
      </c>
    </row>
    <row r="59" spans="4:11" ht="11.25" customHeight="1" x14ac:dyDescent="0.15">
      <c r="D59" s="44">
        <v>1938</v>
      </c>
      <c r="E59" s="21">
        <v>4.4560000000000004</v>
      </c>
      <c r="F59" s="8">
        <f t="shared" si="3"/>
        <v>0.10844199999999998</v>
      </c>
      <c r="G59" s="8">
        <f t="shared" ca="1" si="0"/>
        <v>-5.1642722140959432</v>
      </c>
      <c r="I59" s="6">
        <f t="shared" ca="1" si="4"/>
        <v>202.7278223109106</v>
      </c>
      <c r="J59" s="6"/>
      <c r="K59" s="6">
        <f t="shared" ca="1" si="1"/>
        <v>-2.5311339249265532</v>
      </c>
    </row>
    <row r="60" spans="4:11" ht="11.25" customHeight="1" x14ac:dyDescent="0.15">
      <c r="D60" s="44">
        <v>1939</v>
      </c>
      <c r="E60" s="21">
        <v>4.2350000000000003</v>
      </c>
      <c r="F60" s="8">
        <f t="shared" si="3"/>
        <v>0.11267699999999999</v>
      </c>
      <c r="G60" s="8">
        <f t="shared" ca="1" si="0"/>
        <v>-5.1257390629714346</v>
      </c>
      <c r="I60" s="6">
        <f t="shared" ca="1" si="4"/>
        <v>199.10243635846928</v>
      </c>
      <c r="J60" s="6"/>
      <c r="K60" s="6">
        <f t="shared" ca="1" si="1"/>
        <v>-2.5176681903843514</v>
      </c>
    </row>
    <row r="61" spans="4:11" ht="11.25" customHeight="1" x14ac:dyDescent="0.15">
      <c r="D61" s="44">
        <v>1940</v>
      </c>
      <c r="E61" s="21">
        <v>4.7300000000000004</v>
      </c>
      <c r="F61" s="8">
        <f t="shared" si="3"/>
        <v>0.11740699999999998</v>
      </c>
      <c r="G61" s="8">
        <f t="shared" ca="1" si="0"/>
        <v>-5.0843683913451754</v>
      </c>
      <c r="I61" s="6">
        <f t="shared" ca="1" si="4"/>
        <v>196.09374378201028</v>
      </c>
      <c r="J61" s="6"/>
      <c r="K61" s="6">
        <f t="shared" ca="1" si="1"/>
        <v>-2.5031491678314874</v>
      </c>
    </row>
    <row r="62" spans="4:11" ht="11.25" customHeight="1" x14ac:dyDescent="0.15">
      <c r="D62" s="44">
        <v>1941</v>
      </c>
      <c r="E62" s="21">
        <v>4.851</v>
      </c>
      <c r="F62" s="8">
        <f t="shared" si="3"/>
        <v>0.12225799999999998</v>
      </c>
      <c r="G62" s="8">
        <f t="shared" ca="1" si="0"/>
        <v>-5.0436254507317599</v>
      </c>
      <c r="I62" s="6">
        <f t="shared" ca="1" si="4"/>
        <v>192.94862309612472</v>
      </c>
      <c r="J62" s="6"/>
      <c r="K62" s="6">
        <f t="shared" ca="1" si="1"/>
        <v>-2.4887873395317053</v>
      </c>
    </row>
    <row r="63" spans="4:11" ht="11.25" customHeight="1" x14ac:dyDescent="0.15">
      <c r="D63" s="44">
        <v>1942</v>
      </c>
      <c r="E63" s="21">
        <v>5.58</v>
      </c>
      <c r="F63" s="8">
        <f t="shared" si="3"/>
        <v>0.12783799999999998</v>
      </c>
      <c r="G63" s="8">
        <f t="shared" ca="1" si="0"/>
        <v>-4.9987007356602486</v>
      </c>
      <c r="I63" s="6">
        <f t="shared" ca="1" si="4"/>
        <v>190.71234962616563</v>
      </c>
      <c r="J63" s="6"/>
      <c r="K63" s="6">
        <f t="shared" ca="1" si="1"/>
        <v>-2.4728780211271824</v>
      </c>
    </row>
    <row r="64" spans="4:11" ht="11.25" customHeight="1" x14ac:dyDescent="0.15">
      <c r="D64" s="44">
        <v>1943</v>
      </c>
      <c r="E64" s="21">
        <v>6.0860000000000003</v>
      </c>
      <c r="F64" s="8">
        <f t="shared" si="3"/>
        <v>0.13392399999999999</v>
      </c>
      <c r="G64" s="8">
        <f t="shared" ca="1" si="0"/>
        <v>-4.9518708551886101</v>
      </c>
      <c r="I64" s="6">
        <f t="shared" ca="1" si="4"/>
        <v>188.89013585434441</v>
      </c>
      <c r="J64" s="6"/>
      <c r="K64" s="6">
        <f t="shared" ca="1" si="1"/>
        <v>-2.4562110759108893</v>
      </c>
    </row>
    <row r="65" spans="4:11" ht="11.25" customHeight="1" x14ac:dyDescent="0.15">
      <c r="D65" s="44">
        <v>1944</v>
      </c>
      <c r="E65" s="21">
        <v>5.7770000000000001</v>
      </c>
      <c r="F65" s="8">
        <f t="shared" si="3"/>
        <v>0.13970099999999999</v>
      </c>
      <c r="G65" s="8">
        <f t="shared" ca="1" si="0"/>
        <v>-4.9093338774213509</v>
      </c>
      <c r="I65" s="6">
        <f t="shared" ca="1" si="4"/>
        <v>186.13492277559453</v>
      </c>
      <c r="J65" s="6"/>
      <c r="K65" s="6">
        <f t="shared" ca="1" si="1"/>
        <v>-2.4409977265784057</v>
      </c>
    </row>
    <row r="66" spans="4:11" ht="11.25" customHeight="1" x14ac:dyDescent="0.15">
      <c r="D66" s="44">
        <v>1945</v>
      </c>
      <c r="E66" s="21">
        <v>5.8120000000000003</v>
      </c>
      <c r="F66" s="8">
        <f t="shared" si="3"/>
        <v>0.145513</v>
      </c>
      <c r="G66" s="8">
        <f t="shared" ca="1" si="0"/>
        <v>-4.8682659020141967</v>
      </c>
      <c r="I66" s="6">
        <f t="shared" ca="1" si="4"/>
        <v>183.06044362485682</v>
      </c>
      <c r="J66" s="6"/>
      <c r="K66" s="6">
        <f t="shared" ca="1" si="1"/>
        <v>-2.4262419007475367</v>
      </c>
    </row>
    <row r="67" spans="4:11" ht="11.25" customHeight="1" x14ac:dyDescent="0.15">
      <c r="D67" s="44">
        <v>1946</v>
      </c>
      <c r="E67" s="21">
        <v>5.6289999999999996</v>
      </c>
      <c r="F67" s="8">
        <f t="shared" si="3"/>
        <v>0.151142</v>
      </c>
      <c r="G67" s="8">
        <f t="shared" ca="1" si="0"/>
        <v>-4.8300141448888843</v>
      </c>
      <c r="I67" s="6">
        <f t="shared" ca="1" si="4"/>
        <v>179.37390082254205</v>
      </c>
      <c r="J67" s="6"/>
      <c r="K67" s="6">
        <f t="shared" ca="1" si="1"/>
        <v>-2.41243731917737</v>
      </c>
    </row>
    <row r="68" spans="4:11" ht="11.25" customHeight="1" x14ac:dyDescent="0.15">
      <c r="D68" s="44">
        <v>1947</v>
      </c>
      <c r="E68" s="21">
        <v>5.8440000000000003</v>
      </c>
      <c r="F68" s="8">
        <f t="shared" si="3"/>
        <v>0.15698599999999999</v>
      </c>
      <c r="G68" s="8">
        <f t="shared" ca="1" si="0"/>
        <v>-4.7917684605981528</v>
      </c>
      <c r="I68" s="6">
        <f t="shared" ca="1" si="4"/>
        <v>175.68603817888652</v>
      </c>
      <c r="J68" s="6"/>
      <c r="K68" s="6">
        <f t="shared" ca="1" si="1"/>
        <v>-2.3985758453775379</v>
      </c>
    </row>
    <row r="69" spans="4:11" ht="11.25" customHeight="1" x14ac:dyDescent="0.15">
      <c r="D69" s="44">
        <v>1948</v>
      </c>
      <c r="E69" s="21">
        <v>5.7990000000000004</v>
      </c>
      <c r="F69" s="8">
        <f t="shared" si="3"/>
        <v>0.16278499999999999</v>
      </c>
      <c r="G69" s="8">
        <f t="shared" ca="1" si="0"/>
        <v>-4.7551882149720939</v>
      </c>
      <c r="I69" s="6">
        <f t="shared" ca="1" si="4"/>
        <v>171.63621691960907</v>
      </c>
      <c r="J69" s="6"/>
      <c r="K69" s="6">
        <f t="shared" ca="1" si="1"/>
        <v>-2.3852621392283968</v>
      </c>
    </row>
    <row r="70" spans="4:11" ht="11.25" customHeight="1" x14ac:dyDescent="0.15">
      <c r="D70" s="44">
        <v>1949</v>
      </c>
      <c r="E70" s="21">
        <v>6.056</v>
      </c>
      <c r="F70" s="8">
        <f t="shared" si="3"/>
        <v>0.16884099999999999</v>
      </c>
      <c r="G70" s="8">
        <f t="shared" ca="1" si="0"/>
        <v>-4.7183408331269234</v>
      </c>
      <c r="I70" s="6">
        <f t="shared" ca="1" si="4"/>
        <v>167.64445379126482</v>
      </c>
      <c r="J70" s="6"/>
      <c r="K70" s="6">
        <f t="shared" ca="1" si="1"/>
        <v>-2.3717954505969105</v>
      </c>
    </row>
    <row r="71" spans="4:11" ht="11.25" customHeight="1" x14ac:dyDescent="0.15">
      <c r="D71" s="44">
        <v>1950</v>
      </c>
      <c r="E71" s="21">
        <v>6.3220000000000001</v>
      </c>
      <c r="F71" s="8">
        <f t="shared" si="3"/>
        <v>0.17516299999999999</v>
      </c>
      <c r="G71" s="8">
        <f t="shared" ca="1" si="0"/>
        <v>-4.6812468819822435</v>
      </c>
      <c r="I71" s="6">
        <f t="shared" ca="1" si="4"/>
        <v>163.70627887616229</v>
      </c>
      <c r="J71" s="6"/>
      <c r="K71" s="6">
        <f t="shared" ca="1" si="1"/>
        <v>-2.3581815598726461</v>
      </c>
    </row>
    <row r="72" spans="4:11" ht="11.25" customHeight="1" x14ac:dyDescent="0.15">
      <c r="D72" s="44">
        <v>1951</v>
      </c>
      <c r="E72" s="21">
        <v>6.6630000000000003</v>
      </c>
      <c r="F72" s="8">
        <f t="shared" si="3"/>
        <v>0.18182599999999999</v>
      </c>
      <c r="G72" s="8">
        <f t="shared" ca="1" si="0"/>
        <v>-4.6435610797596256</v>
      </c>
      <c r="I72" s="6">
        <f t="shared" ca="1" si="4"/>
        <v>159.89673409399074</v>
      </c>
      <c r="J72" s="6"/>
      <c r="K72" s="6">
        <f t="shared" ca="1" si="1"/>
        <v>-2.3442912025793365</v>
      </c>
    </row>
    <row r="73" spans="4:11" ht="11.25" customHeight="1" x14ac:dyDescent="0.15">
      <c r="D73" s="44">
        <v>1952</v>
      </c>
      <c r="E73" s="21">
        <v>7.0519999999999996</v>
      </c>
      <c r="F73" s="8">
        <f t="shared" si="3"/>
        <v>0.18887799999999999</v>
      </c>
      <c r="G73" s="8">
        <f t="shared" ca="1" si="0"/>
        <v>-4.6051366560596696</v>
      </c>
      <c r="I73" s="6">
        <f t="shared" ca="1" si="4"/>
        <v>156.2477178338695</v>
      </c>
      <c r="J73" s="6"/>
      <c r="K73" s="6">
        <f t="shared" ca="1" si="1"/>
        <v>-2.3300664824786899</v>
      </c>
    </row>
    <row r="74" spans="4:11" ht="11.25" customHeight="1" x14ac:dyDescent="0.15">
      <c r="D74" s="44">
        <v>1953</v>
      </c>
      <c r="E74" s="21">
        <v>7.2679999999999998</v>
      </c>
      <c r="F74" s="8">
        <f t="shared" si="3"/>
        <v>0.19614599999999999</v>
      </c>
      <c r="G74" s="8">
        <f t="shared" ca="1" si="0"/>
        <v>-4.566993794541812</v>
      </c>
      <c r="I74" s="6">
        <f t="shared" ca="1" si="4"/>
        <v>152.53750817178934</v>
      </c>
      <c r="J74" s="6"/>
      <c r="K74" s="6">
        <f t="shared" ca="1" si="1"/>
        <v>-2.3158833176515552</v>
      </c>
    </row>
    <row r="75" spans="4:11" ht="11.25" customHeight="1" x14ac:dyDescent="0.15">
      <c r="D75" s="44">
        <v>1954</v>
      </c>
      <c r="E75" s="21">
        <v>7.2569999999999997</v>
      </c>
      <c r="F75" s="8">
        <f t="shared" si="3"/>
        <v>0.203403</v>
      </c>
      <c r="G75" s="8">
        <f t="shared" ca="1" si="0"/>
        <v>-4.5302793907104197</v>
      </c>
      <c r="I75" s="6">
        <f t="shared" ca="1" si="4"/>
        <v>148.5168442266222</v>
      </c>
      <c r="J75" s="6"/>
      <c r="K75" s="6">
        <f t="shared" ca="1" si="1"/>
        <v>-2.3021717226920333</v>
      </c>
    </row>
    <row r="76" spans="4:11" ht="11.25" customHeight="1" x14ac:dyDescent="0.15">
      <c r="D76" s="44">
        <v>1955</v>
      </c>
      <c r="E76" s="21">
        <v>7.524</v>
      </c>
      <c r="F76" s="8">
        <f t="shared" si="3"/>
        <v>0.210927</v>
      </c>
      <c r="G76" s="8">
        <f t="shared" ref="G76:G130" ca="1" si="5" xml:space="preserve"> -LN(F$1/F76-1)</f>
        <v>-4.4935577696097839</v>
      </c>
      <c r="I76" s="6">
        <f t="shared" ca="1" si="4"/>
        <v>144.49774884885028</v>
      </c>
      <c r="J76" s="6"/>
      <c r="K76" s="6">
        <f t="shared" ref="K76:K107" ca="1" si="6">NORMSINV(F76/F$5)</f>
        <v>-2.2883983656117648</v>
      </c>
    </row>
    <row r="77" spans="4:11" ht="11.25" customHeight="1" x14ac:dyDescent="0.15">
      <c r="D77" s="44">
        <v>1956</v>
      </c>
      <c r="E77" s="21">
        <v>7.468</v>
      </c>
      <c r="F77" s="8">
        <f t="shared" ref="F77:F130" si="7">F76+E77/1000</f>
        <v>0.21839500000000001</v>
      </c>
      <c r="G77" s="8">
        <f t="shared" ca="1" si="5"/>
        <v>-4.4583685805604816</v>
      </c>
      <c r="I77" s="6">
        <f t="shared" ref="I77:I128" ca="1" si="8" xml:space="preserve"> (G77*(F$2-E$2)/LN(81) + AVERAGE(E$2:F$2) - D77)*12</f>
        <v>140.14560188797077</v>
      </c>
      <c r="J77" s="6"/>
      <c r="K77" s="6">
        <f t="shared" ca="1" si="6"/>
        <v>-2.2751438105359116</v>
      </c>
    </row>
    <row r="78" spans="4:11" ht="11.25" customHeight="1" x14ac:dyDescent="0.15">
      <c r="D78" s="44">
        <v>1957</v>
      </c>
      <c r="E78" s="21">
        <v>7.234</v>
      </c>
      <c r="F78" s="8">
        <f t="shared" si="7"/>
        <v>0.225629</v>
      </c>
      <c r="G78" s="8">
        <f t="shared" ca="1" si="5"/>
        <v>-4.4253981884356008</v>
      </c>
      <c r="I78" s="6">
        <f t="shared" ca="1" si="8"/>
        <v>135.31123202682102</v>
      </c>
      <c r="J78" s="6"/>
      <c r="K78" s="6">
        <f t="shared" ca="1" si="6"/>
        <v>-2.2626748152346896</v>
      </c>
    </row>
    <row r="79" spans="4:11" ht="11.25" customHeight="1" x14ac:dyDescent="0.15">
      <c r="D79" s="44">
        <v>1958</v>
      </c>
      <c r="E79" s="21">
        <v>7.3680000000000003</v>
      </c>
      <c r="F79" s="8">
        <f t="shared" si="7"/>
        <v>0.23299700000000001</v>
      </c>
      <c r="G79" s="8">
        <f t="shared" ca="1" si="5"/>
        <v>-4.3928737248311416</v>
      </c>
      <c r="I79" s="6">
        <f t="shared" ca="1" si="8"/>
        <v>130.37994615588741</v>
      </c>
      <c r="J79" s="6"/>
      <c r="K79" s="6">
        <f t="shared" ca="1" si="6"/>
        <v>-2.250326457799305</v>
      </c>
    </row>
    <row r="80" spans="4:11" ht="11.25" customHeight="1" x14ac:dyDescent="0.15">
      <c r="D80" s="44">
        <v>1959</v>
      </c>
      <c r="E80" s="21">
        <v>6.85</v>
      </c>
      <c r="F80" s="8">
        <f t="shared" si="7"/>
        <v>0.239847</v>
      </c>
      <c r="G80" s="8">
        <f t="shared" ca="1" si="5"/>
        <v>-4.3635344873291189</v>
      </c>
      <c r="I80" s="6">
        <f t="shared" ca="1" si="8"/>
        <v>124.75639820713968</v>
      </c>
      <c r="J80" s="6"/>
      <c r="K80" s="6">
        <f t="shared" ca="1" si="6"/>
        <v>-2.2391461572349964</v>
      </c>
    </row>
    <row r="81" spans="4:11" ht="11.25" customHeight="1" x14ac:dyDescent="0.15">
      <c r="D81" s="44">
        <v>1960</v>
      </c>
      <c r="E81" s="21">
        <v>6.6879999999999997</v>
      </c>
      <c r="F81" s="8">
        <f t="shared" si="7"/>
        <v>0.246535</v>
      </c>
      <c r="G81" s="8">
        <f t="shared" ca="1" si="5"/>
        <v>-4.3356766120566013</v>
      </c>
      <c r="I81" s="6">
        <f t="shared" ca="1" si="8"/>
        <v>118.81089795045227</v>
      </c>
      <c r="J81" s="6"/>
      <c r="K81" s="6">
        <f t="shared" ca="1" si="6"/>
        <v>-2.2284938437403499</v>
      </c>
    </row>
    <row r="82" spans="4:11" ht="11.25" customHeight="1" x14ac:dyDescent="0.15">
      <c r="D82" s="44">
        <v>1961</v>
      </c>
      <c r="E82" s="21">
        <v>7.1749999999999998</v>
      </c>
      <c r="F82" s="8">
        <f t="shared" si="7"/>
        <v>0.25370999999999999</v>
      </c>
      <c r="G82" s="8">
        <f t="shared" ca="1" si="5"/>
        <v>-4.3066075773950896</v>
      </c>
      <c r="I82" s="6">
        <f t="shared" ca="1" si="8"/>
        <v>113.12862538568606</v>
      </c>
      <c r="J82" s="6"/>
      <c r="K82" s="6">
        <f t="shared" ca="1" si="6"/>
        <v>-2.2173401853825352</v>
      </c>
    </row>
    <row r="83" spans="4:11" ht="11.25" customHeight="1" x14ac:dyDescent="0.15">
      <c r="D83" s="44">
        <v>1962</v>
      </c>
      <c r="E83" s="21">
        <v>7.8109999999999999</v>
      </c>
      <c r="F83" s="8">
        <f t="shared" si="7"/>
        <v>0.261521</v>
      </c>
      <c r="G83" s="8">
        <f t="shared" ca="1" si="5"/>
        <v>-4.2758698018052925</v>
      </c>
      <c r="I83" s="6">
        <f t="shared" ca="1" si="8"/>
        <v>107.80902913500086</v>
      </c>
      <c r="J83" s="6"/>
      <c r="K83" s="6">
        <f t="shared" ca="1" si="6"/>
        <v>-2.2055034401976408</v>
      </c>
    </row>
    <row r="84" spans="4:11" ht="11.25" customHeight="1" x14ac:dyDescent="0.15">
      <c r="D84" s="44">
        <v>1963</v>
      </c>
      <c r="E84" s="21">
        <v>7.9509999999999996</v>
      </c>
      <c r="F84" s="8">
        <f t="shared" si="7"/>
        <v>0.26947199999999999</v>
      </c>
      <c r="G84" s="8">
        <f t="shared" ca="1" si="5"/>
        <v>-4.2454972107872191</v>
      </c>
      <c r="I84" s="6">
        <f t="shared" ca="1" si="8"/>
        <v>102.41006538502916</v>
      </c>
      <c r="J84" s="6"/>
      <c r="K84" s="6">
        <f t="shared" ca="1" si="6"/>
        <v>-2.1937637568911033</v>
      </c>
    </row>
    <row r="85" spans="4:11" ht="11.25" customHeight="1" x14ac:dyDescent="0.15">
      <c r="D85" s="44">
        <v>1964</v>
      </c>
      <c r="E85" s="21">
        <v>8.2539999999999996</v>
      </c>
      <c r="F85" s="8">
        <f t="shared" si="7"/>
        <v>0.27772599999999997</v>
      </c>
      <c r="G85" s="8">
        <f t="shared" ca="1" si="5"/>
        <v>-4.2148876980370229</v>
      </c>
      <c r="I85" s="6">
        <f t="shared" ca="1" si="8"/>
        <v>97.062593091327471</v>
      </c>
      <c r="J85" s="6"/>
      <c r="K85" s="6">
        <f t="shared" ca="1" si="6"/>
        <v>-2.1818883186189719</v>
      </c>
    </row>
    <row r="86" spans="4:11" ht="11.25" customHeight="1" x14ac:dyDescent="0.15">
      <c r="D86" s="44">
        <v>1965</v>
      </c>
      <c r="E86" s="21">
        <v>8.3640000000000008</v>
      </c>
      <c r="F86" s="8">
        <f t="shared" si="7"/>
        <v>0.28608999999999996</v>
      </c>
      <c r="G86" s="8">
        <f t="shared" ca="1" si="5"/>
        <v>-4.18477123513102</v>
      </c>
      <c r="I86" s="6">
        <f t="shared" ca="1" si="8"/>
        <v>91.60796366069826</v>
      </c>
      <c r="J86" s="6"/>
      <c r="K86" s="6">
        <f t="shared" ca="1" si="6"/>
        <v>-2.1701605231441281</v>
      </c>
    </row>
    <row r="87" spans="4:11" ht="11.25" customHeight="1" x14ac:dyDescent="0.15">
      <c r="D87" s="44">
        <v>1966</v>
      </c>
      <c r="E87" s="21">
        <v>7.9880000000000004</v>
      </c>
      <c r="F87" s="8">
        <f t="shared" si="7"/>
        <v>0.29407799999999995</v>
      </c>
      <c r="G87" s="8">
        <f t="shared" ca="1" si="5"/>
        <v>-4.1568074323300221</v>
      </c>
      <c r="I87" s="6">
        <f t="shared" ca="1" si="8"/>
        <v>85.685485195433102</v>
      </c>
      <c r="J87" s="6"/>
      <c r="K87" s="6">
        <f t="shared" ca="1" si="6"/>
        <v>-2.1592319347495037</v>
      </c>
    </row>
    <row r="88" spans="4:11" ht="11.25" customHeight="1" x14ac:dyDescent="0.15">
      <c r="D88" s="44">
        <v>1967</v>
      </c>
      <c r="E88" s="21">
        <v>8.8279999999999994</v>
      </c>
      <c r="F88" s="8">
        <f t="shared" si="7"/>
        <v>0.30290599999999995</v>
      </c>
      <c r="G88" s="8">
        <f t="shared" ca="1" si="5"/>
        <v>-4.1267598084277344</v>
      </c>
      <c r="I88" s="6">
        <f t="shared" ca="1" si="8"/>
        <v>80.215894619121173</v>
      </c>
      <c r="J88" s="6"/>
      <c r="K88" s="6">
        <f t="shared" ca="1" si="6"/>
        <v>-2.1474466967049288</v>
      </c>
    </row>
    <row r="89" spans="4:11" ht="11.25" customHeight="1" x14ac:dyDescent="0.15">
      <c r="D89" s="44">
        <v>1968</v>
      </c>
      <c r="E89" s="21">
        <v>9.16</v>
      </c>
      <c r="F89" s="8">
        <f t="shared" si="7"/>
        <v>0.31206599999999995</v>
      </c>
      <c r="G89" s="8">
        <f t="shared" ca="1" si="5"/>
        <v>-4.0964795806104197</v>
      </c>
      <c r="I89" s="6">
        <f t="shared" ca="1" si="8"/>
        <v>74.796857084992553</v>
      </c>
      <c r="J89" s="6"/>
      <c r="K89" s="6">
        <f t="shared" ca="1" si="6"/>
        <v>-2.1355255772428556</v>
      </c>
    </row>
    <row r="90" spans="4:11" ht="11.25" customHeight="1" x14ac:dyDescent="0.15">
      <c r="D90" s="44">
        <v>1969</v>
      </c>
      <c r="E90" s="21">
        <v>10.47</v>
      </c>
      <c r="F90" s="8">
        <f t="shared" si="7"/>
        <v>0.32253599999999993</v>
      </c>
      <c r="G90" s="8">
        <f t="shared" ca="1" si="5"/>
        <v>-4.0629213868607614</v>
      </c>
      <c r="I90" s="6">
        <f t="shared" ca="1" si="8"/>
        <v>70.090237267644625</v>
      </c>
      <c r="J90" s="6"/>
      <c r="K90" s="6">
        <f t="shared" ca="1" si="6"/>
        <v>-2.1222611370750406</v>
      </c>
    </row>
    <row r="91" spans="4:11" ht="11.25" customHeight="1" x14ac:dyDescent="0.15">
      <c r="D91" s="44">
        <v>1970</v>
      </c>
      <c r="E91" s="21">
        <v>9.8140000000000001</v>
      </c>
      <c r="F91" s="8">
        <f t="shared" si="7"/>
        <v>0.33234999999999992</v>
      </c>
      <c r="G91" s="8">
        <f t="shared" ca="1" si="5"/>
        <v>-4.0324240619038862</v>
      </c>
      <c r="I91" s="6">
        <f t="shared" ca="1" si="8"/>
        <v>64.718382605968145</v>
      </c>
      <c r="J91" s="6"/>
      <c r="K91" s="6">
        <f t="shared" ca="1" si="6"/>
        <v>-2.1101579918207762</v>
      </c>
    </row>
    <row r="92" spans="4:11" ht="11.25" customHeight="1" x14ac:dyDescent="0.15">
      <c r="D92" s="44">
        <v>1971</v>
      </c>
      <c r="E92" s="21">
        <v>10.885999999999999</v>
      </c>
      <c r="F92" s="8">
        <f t="shared" si="7"/>
        <v>0.34323599999999993</v>
      </c>
      <c r="G92" s="8">
        <f t="shared" ca="1" si="5"/>
        <v>-3.9996134844812499</v>
      </c>
      <c r="I92" s="6">
        <f t="shared" ca="1" si="8"/>
        <v>59.849279368196221</v>
      </c>
      <c r="J92" s="6"/>
      <c r="K92" s="6">
        <f t="shared" ca="1" si="6"/>
        <v>-2.097084720833474</v>
      </c>
    </row>
    <row r="93" spans="4:11" ht="11.25" customHeight="1" x14ac:dyDescent="0.15">
      <c r="D93" s="44">
        <v>1972</v>
      </c>
      <c r="E93" s="21">
        <v>10.933999999999999</v>
      </c>
      <c r="F93" s="8">
        <f t="shared" si="7"/>
        <v>0.35416999999999993</v>
      </c>
      <c r="G93" s="8">
        <f t="shared" ca="1" si="5"/>
        <v>-3.9676708656129094</v>
      </c>
      <c r="I93" s="6">
        <f t="shared" ca="1" si="8"/>
        <v>54.791538095654687</v>
      </c>
      <c r="J93" s="6"/>
      <c r="K93" s="6">
        <f t="shared" ca="1" si="6"/>
        <v>-2.0843049704251619</v>
      </c>
    </row>
    <row r="94" spans="4:11" ht="11.25" customHeight="1" x14ac:dyDescent="0.15">
      <c r="D94" s="44">
        <v>1973</v>
      </c>
      <c r="E94" s="21">
        <v>11.683999999999999</v>
      </c>
      <c r="F94" s="8">
        <f t="shared" si="7"/>
        <v>0.3658539999999999</v>
      </c>
      <c r="G94" s="8">
        <f t="shared" ca="1" si="5"/>
        <v>-3.9345892651294001</v>
      </c>
      <c r="I94" s="6">
        <f t="shared" ca="1" si="8"/>
        <v>49.981337736744536</v>
      </c>
      <c r="J94" s="6"/>
      <c r="K94" s="6">
        <f t="shared" ca="1" si="6"/>
        <v>-2.0710146457353797</v>
      </c>
    </row>
    <row r="95" spans="4:11" ht="11.25" customHeight="1" x14ac:dyDescent="0.15">
      <c r="D95" s="44">
        <v>1974</v>
      </c>
      <c r="E95" s="21">
        <v>13.781000000000001</v>
      </c>
      <c r="F95" s="8">
        <f t="shared" si="7"/>
        <v>0.37963499999999989</v>
      </c>
      <c r="G95" s="8">
        <f t="shared" ca="1" si="5"/>
        <v>-3.896876525169136</v>
      </c>
      <c r="H95" s="60"/>
      <c r="I95" s="6">
        <f t="shared" ca="1" si="8"/>
        <v>46.177647475924459</v>
      </c>
      <c r="J95" s="6"/>
      <c r="K95" s="6">
        <f t="shared" ca="1" si="6"/>
        <v>-2.0557950414127251</v>
      </c>
    </row>
    <row r="96" spans="4:11" ht="11.25" customHeight="1" x14ac:dyDescent="0.15">
      <c r="D96" s="44">
        <v>1975</v>
      </c>
      <c r="E96" s="21">
        <v>13.548999999999999</v>
      </c>
      <c r="F96" s="8">
        <f t="shared" si="7"/>
        <v>0.39318399999999987</v>
      </c>
      <c r="G96" s="8">
        <f t="shared" ca="1" si="5"/>
        <v>-3.8610841469868435</v>
      </c>
      <c r="H96" s="60"/>
      <c r="I96" s="6">
        <f t="shared" ca="1" si="8"/>
        <v>41.956594807599686</v>
      </c>
      <c r="J96" s="6"/>
      <c r="K96" s="6">
        <f t="shared" ca="1" si="6"/>
        <v>-2.0412820391389697</v>
      </c>
    </row>
    <row r="97" spans="4:12" ht="11.25" customHeight="1" x14ac:dyDescent="0.15">
      <c r="D97" s="44">
        <v>1976</v>
      </c>
      <c r="E97" s="21">
        <v>14.680999999999999</v>
      </c>
      <c r="F97" s="8">
        <f t="shared" si="7"/>
        <v>0.40786499999999987</v>
      </c>
      <c r="G97" s="8">
        <f t="shared" ca="1" si="5"/>
        <v>-3.823639496040089</v>
      </c>
      <c r="H97" s="60"/>
      <c r="I97" s="6">
        <f t="shared" ca="1" si="8"/>
        <v>38.094639339992682</v>
      </c>
      <c r="J97" s="6"/>
      <c r="K97" s="6">
        <f t="shared" ca="1" si="6"/>
        <v>-2.0260270842159089</v>
      </c>
    </row>
    <row r="98" spans="4:12" ht="11.25" customHeight="1" x14ac:dyDescent="0.15">
      <c r="D98" s="44">
        <v>1977</v>
      </c>
      <c r="E98" s="21">
        <v>16.448</v>
      </c>
      <c r="F98" s="8">
        <f t="shared" si="7"/>
        <v>0.42431299999999988</v>
      </c>
      <c r="G98" s="8">
        <f t="shared" ca="1" si="5"/>
        <v>-3.7832228830867343</v>
      </c>
      <c r="H98" s="62"/>
      <c r="I98" s="6">
        <f t="shared" ca="1" si="8"/>
        <v>34.878596133461542</v>
      </c>
      <c r="J98" s="6"/>
      <c r="K98" s="6">
        <f t="shared" ca="1" si="6"/>
        <v>-2.0094779035449557</v>
      </c>
    </row>
    <row r="99" spans="4:12" ht="11.25" customHeight="1" x14ac:dyDescent="0.15">
      <c r="D99" s="44">
        <v>1978</v>
      </c>
      <c r="E99" s="21">
        <v>17.056999999999999</v>
      </c>
      <c r="F99" s="8">
        <f t="shared" si="7"/>
        <v>0.44136999999999987</v>
      </c>
      <c r="G99" s="8">
        <f t="shared" ca="1" si="5"/>
        <v>-3.7428958296295294</v>
      </c>
      <c r="H99" s="62"/>
      <c r="I99" s="6">
        <f t="shared" ca="1" si="8"/>
        <v>31.643088486765919</v>
      </c>
      <c r="J99" s="6"/>
      <c r="K99" s="6">
        <f t="shared" ca="1" si="6"/>
        <v>-1.9928781456321849</v>
      </c>
    </row>
    <row r="100" spans="4:12" ht="11.25" customHeight="1" x14ac:dyDescent="0.15">
      <c r="D100" s="44">
        <v>1979</v>
      </c>
      <c r="E100" s="21">
        <v>18.774000000000001</v>
      </c>
      <c r="F100" s="8">
        <f t="shared" si="7"/>
        <v>0.46014399999999989</v>
      </c>
      <c r="G100" s="8">
        <f t="shared" ca="1" si="5"/>
        <v>-3.7002318870899606</v>
      </c>
      <c r="H100" s="62"/>
      <c r="I100" s="6">
        <f t="shared" ca="1" si="8"/>
        <v>28.915469335183843</v>
      </c>
      <c r="J100" s="6"/>
      <c r="K100" s="6">
        <f t="shared" ca="1" si="6"/>
        <v>-1.9752205526898583</v>
      </c>
    </row>
    <row r="101" spans="4:12" ht="11.25" customHeight="1" x14ac:dyDescent="0.15">
      <c r="D101" s="44">
        <v>1980</v>
      </c>
      <c r="E101" s="21">
        <v>17.849</v>
      </c>
      <c r="F101" s="8">
        <f t="shared" si="7"/>
        <v>0.47799299999999989</v>
      </c>
      <c r="G101" s="8">
        <f t="shared" ca="1" si="5"/>
        <v>-3.6612160190872887</v>
      </c>
      <c r="H101" s="62"/>
      <c r="I101" s="6">
        <f t="shared" ca="1" si="8"/>
        <v>25.394994801376015</v>
      </c>
      <c r="J101" s="6"/>
      <c r="K101" s="6">
        <f t="shared" ca="1" si="6"/>
        <v>-1.958985569228286</v>
      </c>
    </row>
    <row r="102" spans="4:12" ht="11.25" customHeight="1" x14ac:dyDescent="0.15">
      <c r="D102" s="44">
        <v>1981</v>
      </c>
      <c r="E102" s="21">
        <v>14.459305106895885</v>
      </c>
      <c r="F102" s="8">
        <f t="shared" si="7"/>
        <v>0.49245230510689575</v>
      </c>
      <c r="G102" s="8">
        <f t="shared" ca="1" si="5"/>
        <v>-3.6306367278065221</v>
      </c>
      <c r="H102" s="62"/>
      <c r="I102" s="6">
        <f t="shared" ca="1" si="8"/>
        <v>20.040954315480121</v>
      </c>
      <c r="J102" s="6"/>
      <c r="K102" s="6">
        <f t="shared" ca="1" si="6"/>
        <v>-1.9462023188043078</v>
      </c>
    </row>
    <row r="103" spans="4:12" ht="11.25" customHeight="1" x14ac:dyDescent="0.15">
      <c r="D103" s="44">
        <v>1982</v>
      </c>
      <c r="E103" s="21">
        <v>16.048254260191666</v>
      </c>
      <c r="F103" s="8">
        <f t="shared" si="7"/>
        <v>0.50850055936708738</v>
      </c>
      <c r="G103" s="8">
        <f t="shared" ca="1" si="5"/>
        <v>-3.5977040815425401</v>
      </c>
      <c r="H103" s="52"/>
      <c r="I103" s="6">
        <f t="shared" ca="1" si="8"/>
        <v>15.198380946240832</v>
      </c>
      <c r="J103" s="6"/>
      <c r="K103" s="6">
        <f t="shared" ca="1" si="6"/>
        <v>-1.9323769473271839</v>
      </c>
      <c r="L103" s="52"/>
    </row>
    <row r="104" spans="4:12" ht="11.25" customHeight="1" x14ac:dyDescent="0.15">
      <c r="D104" s="44">
        <v>1983</v>
      </c>
      <c r="E104" s="21">
        <v>18.042440699588838</v>
      </c>
      <c r="F104" s="8">
        <f t="shared" si="7"/>
        <v>0.5265430000666762</v>
      </c>
      <c r="G104" s="8">
        <f t="shared" ca="1" si="5"/>
        <v>-3.5618652055742897</v>
      </c>
      <c r="H104" s="52"/>
      <c r="I104" s="6">
        <f t="shared" ca="1" si="8"/>
        <v>10.987433888280066</v>
      </c>
      <c r="J104" s="6"/>
      <c r="K104" s="6">
        <f t="shared" ca="1" si="6"/>
        <v>-1.9172621921784918</v>
      </c>
      <c r="L104" s="52"/>
    </row>
    <row r="105" spans="4:12" ht="11.25" customHeight="1" x14ac:dyDescent="0.15">
      <c r="D105" s="44">
        <v>1984</v>
      </c>
      <c r="E105" s="21">
        <v>21.074474598873351</v>
      </c>
      <c r="F105" s="8">
        <f t="shared" si="7"/>
        <v>0.54761747466554955</v>
      </c>
      <c r="G105" s="8">
        <f t="shared" ca="1" si="5"/>
        <v>-3.5214844344129173</v>
      </c>
      <c r="H105" s="52"/>
      <c r="I105" s="6">
        <f t="shared" ca="1" si="8"/>
        <v>7.7636009950565494</v>
      </c>
      <c r="J105" s="6"/>
      <c r="K105" s="6">
        <f t="shared" ca="1" si="6"/>
        <v>-1.9001445477258523</v>
      </c>
      <c r="L105" s="52"/>
    </row>
    <row r="106" spans="4:12" ht="11.25" customHeight="1" x14ac:dyDescent="0.15">
      <c r="D106" s="44">
        <v>1985</v>
      </c>
      <c r="E106" s="21">
        <v>23.734000017780367</v>
      </c>
      <c r="F106" s="8">
        <f t="shared" si="7"/>
        <v>0.57135147468332992</v>
      </c>
      <c r="G106" s="8">
        <f t="shared" ca="1" si="5"/>
        <v>-3.4777751043259979</v>
      </c>
      <c r="H106" s="52"/>
      <c r="I106" s="6">
        <f t="shared" ca="1" si="8"/>
        <v>5.2631814620835939</v>
      </c>
      <c r="J106" s="6">
        <f t="shared" ref="J106:J156" ca="1" si="9">F$1/(1+EXP((AVERAGE(E$2:F$2)-D106)*LN(81)/(F$2-E$2)))</f>
        <v>0.55808124936086179</v>
      </c>
      <c r="K106" s="6">
        <f t="shared" ca="1" si="6"/>
        <v>-1.8815104911261495</v>
      </c>
    </row>
    <row r="107" spans="4:12" ht="11.25" customHeight="1" x14ac:dyDescent="0.15">
      <c r="D107" s="44">
        <v>1986</v>
      </c>
      <c r="E107" s="21">
        <v>25.952406795859236</v>
      </c>
      <c r="F107" s="8">
        <f t="shared" si="7"/>
        <v>0.59730388147918911</v>
      </c>
      <c r="G107" s="8">
        <f t="shared" ca="1" si="5"/>
        <v>-3.4319502074748338</v>
      </c>
      <c r="H107" s="52"/>
      <c r="I107" s="6">
        <f t="shared" ca="1" si="8"/>
        <v>3.2225492713168933</v>
      </c>
      <c r="J107" s="6">
        <f t="shared" ca="1" si="9"/>
        <v>0.58878400930123342</v>
      </c>
      <c r="K107" s="6">
        <f t="shared" ca="1" si="6"/>
        <v>-1.86185556637011</v>
      </c>
    </row>
    <row r="108" spans="4:12" ht="11.25" customHeight="1" x14ac:dyDescent="0.15">
      <c r="D108" s="44">
        <v>1987</v>
      </c>
      <c r="E108" s="21">
        <v>30.010881372507122</v>
      </c>
      <c r="F108" s="8">
        <f t="shared" si="7"/>
        <v>0.62731476285169618</v>
      </c>
      <c r="G108" s="8">
        <f t="shared" ca="1" si="5"/>
        <v>-3.3813023804394771</v>
      </c>
      <c r="H108" s="52"/>
      <c r="I108" s="6">
        <f t="shared" ca="1" si="8"/>
        <v>2.2301100700187817</v>
      </c>
      <c r="J108" s="6">
        <f t="shared" ca="1" si="9"/>
        <v>0.62111922206072867</v>
      </c>
      <c r="K108" s="6">
        <f t="shared" ref="K108:K130" ca="1" si="10">NORMSINV(F108/F$5)</f>
        <v>-1.8399886845961266</v>
      </c>
    </row>
    <row r="109" spans="4:12" ht="11.25" customHeight="1" x14ac:dyDescent="0.15">
      <c r="D109" s="44">
        <v>1988</v>
      </c>
      <c r="E109" s="21">
        <v>32.357864429532505</v>
      </c>
      <c r="F109" s="8">
        <f t="shared" si="7"/>
        <v>0.65967262728122866</v>
      </c>
      <c r="G109" s="8">
        <f t="shared" ca="1" si="5"/>
        <v>-3.3292516420602385</v>
      </c>
      <c r="H109" s="52"/>
      <c r="I109" s="6">
        <f t="shared" ca="1" si="8"/>
        <v>1.542573029722007</v>
      </c>
      <c r="J109" s="6">
        <f t="shared" ca="1" si="9"/>
        <v>0.65516730797812606</v>
      </c>
      <c r="K109" s="6">
        <f t="shared" ca="1" si="10"/>
        <v>-1.8173573647839867</v>
      </c>
    </row>
    <row r="110" spans="4:12" ht="11.25" customHeight="1" x14ac:dyDescent="0.15">
      <c r="D110" s="44">
        <v>1989</v>
      </c>
      <c r="E110" s="21">
        <v>37.234559344862078</v>
      </c>
      <c r="F110" s="8">
        <f t="shared" si="7"/>
        <v>0.69690718662609075</v>
      </c>
      <c r="G110" s="8">
        <f t="shared" ca="1" si="5"/>
        <v>-3.2723192290806504</v>
      </c>
      <c r="H110" s="52"/>
      <c r="I110" s="6">
        <f t="shared" ca="1" si="8"/>
        <v>1.9159962143376106</v>
      </c>
      <c r="J110" s="6">
        <f t="shared" ca="1" si="9"/>
        <v>0.69101193347518464</v>
      </c>
      <c r="K110" s="6">
        <f t="shared" ca="1" si="10"/>
        <v>-1.7924168700360263</v>
      </c>
    </row>
    <row r="111" spans="4:12" ht="11.25" customHeight="1" x14ac:dyDescent="0.15">
      <c r="D111" s="44">
        <v>1990</v>
      </c>
      <c r="E111" s="21">
        <v>36.692271198721187</v>
      </c>
      <c r="F111" s="8">
        <f t="shared" si="7"/>
        <v>0.73359945782481195</v>
      </c>
      <c r="G111" s="8">
        <f t="shared" ca="1" si="5"/>
        <v>-3.2190098836249605</v>
      </c>
      <c r="H111" s="52"/>
      <c r="I111" s="6">
        <f t="shared" ca="1" si="8"/>
        <v>1.5019989234579043</v>
      </c>
      <c r="J111" s="6">
        <f t="shared" ca="1" si="9"/>
        <v>0.72874006001893221</v>
      </c>
      <c r="K111" s="6">
        <f t="shared" ca="1" si="10"/>
        <v>-1.7688844365532443</v>
      </c>
    </row>
    <row r="112" spans="4:12" ht="11.25" customHeight="1" x14ac:dyDescent="0.15">
      <c r="D112" s="44">
        <v>1991</v>
      </c>
      <c r="E112" s="21">
        <v>37.81252543668738</v>
      </c>
      <c r="F112" s="8">
        <f t="shared" si="7"/>
        <v>0.77141198326149929</v>
      </c>
      <c r="G112" s="8">
        <f t="shared" ca="1" si="5"/>
        <v>-3.1666868808457309</v>
      </c>
      <c r="H112" s="52"/>
      <c r="I112" s="6">
        <f t="shared" ca="1" si="8"/>
        <v>0.87363454883143277</v>
      </c>
      <c r="J112" s="6">
        <f t="shared" ca="1" si="9"/>
        <v>0.76844198313588796</v>
      </c>
      <c r="K112" s="6">
        <f t="shared" ca="1" si="10"/>
        <v>-1.7456168008456434</v>
      </c>
    </row>
    <row r="113" spans="4:11" ht="11.25" customHeight="1" x14ac:dyDescent="0.15">
      <c r="D113" s="44">
        <v>1992</v>
      </c>
      <c r="E113" s="21">
        <v>38.731694924219759</v>
      </c>
      <c r="F113" s="8">
        <f t="shared" si="7"/>
        <v>0.81014367818571908</v>
      </c>
      <c r="G113" s="8">
        <f t="shared" ca="1" si="5"/>
        <v>-3.1155796563336526</v>
      </c>
      <c r="H113" s="55">
        <f t="shared" ref="H113:H130" si="11">LOOKUP(QUOTIENT(D113,3)*3,N$11:N$103,O$11:O$103)</f>
        <v>12.141599457824812</v>
      </c>
      <c r="I113" s="6">
        <f t="shared" ca="1" si="8"/>
        <v>-1.8961362990921771E-2</v>
      </c>
      <c r="J113" s="6">
        <f t="shared" ca="1" si="9"/>
        <v>0.81021135991222482</v>
      </c>
      <c r="K113" s="6">
        <f t="shared" ca="1" si="10"/>
        <v>-1.7227246595746808</v>
      </c>
    </row>
    <row r="114" spans="4:11" ht="11.25" customHeight="1" x14ac:dyDescent="0.15">
      <c r="D114" s="44">
        <v>1993</v>
      </c>
      <c r="E114" s="21">
        <v>38.507796617628209</v>
      </c>
      <c r="F114" s="8">
        <f t="shared" si="7"/>
        <v>0.84865147480334735</v>
      </c>
      <c r="G114" s="8">
        <f t="shared" ca="1" si="5"/>
        <v>-3.0670322745597249</v>
      </c>
      <c r="H114" s="55">
        <f t="shared" si="11"/>
        <v>12.141599457824812</v>
      </c>
      <c r="I114" s="6">
        <f t="shared" ca="1" si="8"/>
        <v>-1.4679014701105189</v>
      </c>
      <c r="J114" s="6">
        <f t="shared" ca="1" si="9"/>
        <v>0.85414522328017017</v>
      </c>
      <c r="K114" s="6">
        <f t="shared" ca="1" si="10"/>
        <v>-1.7008262296592611</v>
      </c>
    </row>
    <row r="115" spans="4:11" ht="11.25" customHeight="1" x14ac:dyDescent="0.15">
      <c r="D115" s="44">
        <v>1994</v>
      </c>
      <c r="E115" s="21">
        <v>42.687457642563459</v>
      </c>
      <c r="F115" s="8">
        <f t="shared" si="7"/>
        <v>0.89133893244591078</v>
      </c>
      <c r="G115" s="8">
        <f t="shared" ca="1" si="5"/>
        <v>-3.01561142685811</v>
      </c>
      <c r="H115" s="55">
        <f t="shared" si="11"/>
        <v>12.141599457824812</v>
      </c>
      <c r="I115" s="6">
        <f t="shared" ca="1" si="8"/>
        <v>-2.2923359912329033</v>
      </c>
      <c r="J115" s="6">
        <f t="shared" ca="1" si="9"/>
        <v>0.90034398125413817</v>
      </c>
      <c r="K115" s="6">
        <f t="shared" ca="1" si="10"/>
        <v>-1.6774673627058565</v>
      </c>
    </row>
    <row r="116" spans="4:11" ht="11.25" customHeight="1" x14ac:dyDescent="0.15">
      <c r="D116" s="44">
        <v>1995</v>
      </c>
      <c r="E116" s="21">
        <v>45.973084759324017</v>
      </c>
      <c r="F116" s="8">
        <f t="shared" si="7"/>
        <v>0.93731201720523483</v>
      </c>
      <c r="G116" s="8">
        <f t="shared" ca="1" si="5"/>
        <v>-2.9627886355618913</v>
      </c>
      <c r="H116" s="55">
        <f t="shared" si="11"/>
        <v>12.256651474803347</v>
      </c>
      <c r="I116" s="6">
        <f t="shared" ca="1" si="8"/>
        <v>-2.8120786774406952</v>
      </c>
      <c r="J116" s="6">
        <f t="shared" ca="1" si="9"/>
        <v>0.94891139914159761</v>
      </c>
      <c r="K116" s="6">
        <f t="shared" ca="1" si="10"/>
        <v>-1.6532936868467498</v>
      </c>
    </row>
    <row r="117" spans="4:11" ht="11.25" customHeight="1" x14ac:dyDescent="0.15">
      <c r="D117" s="44">
        <v>1996</v>
      </c>
      <c r="E117" s="21">
        <v>50.689169505312748</v>
      </c>
      <c r="F117" s="8">
        <f t="shared" si="7"/>
        <v>0.9880011867105476</v>
      </c>
      <c r="G117" s="8">
        <f t="shared" ca="1" si="5"/>
        <v>-2.9073225209508586</v>
      </c>
      <c r="H117" s="55">
        <f t="shared" si="11"/>
        <v>12.256651474803347</v>
      </c>
      <c r="I117" s="6">
        <f t="shared" ca="1" si="8"/>
        <v>-2.7573338919910384</v>
      </c>
      <c r="J117" s="6">
        <f t="shared" ca="1" si="9"/>
        <v>0.99995456261527582</v>
      </c>
      <c r="K117" s="6">
        <f t="shared" ca="1" si="10"/>
        <v>-1.6277140193600761</v>
      </c>
    </row>
    <row r="118" spans="4:11" ht="11.25" customHeight="1" x14ac:dyDescent="0.15">
      <c r="D118" s="44">
        <v>1997</v>
      </c>
      <c r="E118" s="21">
        <v>54.959847468777525</v>
      </c>
      <c r="F118" s="8">
        <f t="shared" si="7"/>
        <v>1.0429610341793252</v>
      </c>
      <c r="G118" s="8">
        <f t="shared" ca="1" si="5"/>
        <v>-2.8501442365804621</v>
      </c>
      <c r="H118" s="55">
        <f t="shared" si="11"/>
        <v>12.256651474803347</v>
      </c>
      <c r="I118" s="6">
        <f t="shared" ca="1" si="8"/>
        <v>-2.3304741743304476</v>
      </c>
      <c r="J118" s="6">
        <f t="shared" ca="1" si="9"/>
        <v>1.0535838193970966</v>
      </c>
      <c r="K118" s="6">
        <f t="shared" ca="1" si="10"/>
        <v>-1.6011318289332206</v>
      </c>
    </row>
    <row r="119" spans="4:11" ht="11.25" customHeight="1" x14ac:dyDescent="0.15">
      <c r="D119" s="44">
        <v>1998</v>
      </c>
      <c r="E119" s="21">
        <v>58.211830521357811</v>
      </c>
      <c r="F119" s="8">
        <f t="shared" si="7"/>
        <v>1.1011728647006831</v>
      </c>
      <c r="G119" s="8">
        <f t="shared" ca="1" si="5"/>
        <v>-2.7925989212315292</v>
      </c>
      <c r="H119" s="55">
        <f t="shared" si="11"/>
        <v>23.773001186710548</v>
      </c>
      <c r="I119" s="6">
        <f t="shared" ca="1" si="8"/>
        <v>-1.8238456680037416</v>
      </c>
      <c r="J119" s="6">
        <f t="shared" ca="1" si="9"/>
        <v>1.1099126971728277</v>
      </c>
      <c r="K119" s="6">
        <f t="shared" ca="1" si="10"/>
        <v>-1.5741582959984954</v>
      </c>
    </row>
    <row r="120" spans="4:11" ht="11.25" customHeight="1" x14ac:dyDescent="0.15">
      <c r="D120" s="44">
        <v>1999</v>
      </c>
      <c r="E120" s="21">
        <v>56.166593235256421</v>
      </c>
      <c r="F120" s="8">
        <f t="shared" si="7"/>
        <v>1.1573394579359395</v>
      </c>
      <c r="G120" s="8">
        <f t="shared" ca="1" si="5"/>
        <v>-2.739721352933377</v>
      </c>
      <c r="H120" s="55">
        <f t="shared" si="11"/>
        <v>23.773001186710548</v>
      </c>
      <c r="I120" s="6">
        <f t="shared" ca="1" si="8"/>
        <v>-2.3316833779354056</v>
      </c>
      <c r="J120" s="6">
        <f t="shared" ca="1" si="9"/>
        <v>1.1690577952327248</v>
      </c>
      <c r="K120" s="6">
        <f t="shared" ca="1" si="10"/>
        <v>-1.5491753958659589</v>
      </c>
    </row>
    <row r="121" spans="4:11" ht="11.25" customHeight="1" x14ac:dyDescent="0.15">
      <c r="D121" s="44">
        <v>2000</v>
      </c>
      <c r="E121" s="21">
        <v>64.919322045425417</v>
      </c>
      <c r="F121" s="8">
        <f t="shared" si="7"/>
        <v>1.2222587799813649</v>
      </c>
      <c r="G121" s="8">
        <f t="shared" ca="1" si="5"/>
        <v>-2.6815149764133221</v>
      </c>
      <c r="H121" s="55">
        <f t="shared" si="11"/>
        <v>23.773001186710548</v>
      </c>
      <c r="I121" s="6">
        <f t="shared" ca="1" si="8"/>
        <v>-1.6813829421562332</v>
      </c>
      <c r="J121" s="6">
        <f t="shared" ca="1" si="9"/>
        <v>1.2311386472210168</v>
      </c>
      <c r="K121" s="6">
        <f t="shared" ca="1" si="10"/>
        <v>-1.5214540511213941</v>
      </c>
    </row>
    <row r="122" spans="4:11" ht="11.25" customHeight="1" x14ac:dyDescent="0.15">
      <c r="D122" s="44">
        <v>2001</v>
      </c>
      <c r="E122" s="21">
        <v>69.377240686253558</v>
      </c>
      <c r="F122" s="8">
        <f t="shared" si="7"/>
        <v>1.2916360206676185</v>
      </c>
      <c r="G122" s="8">
        <f t="shared" ca="1" si="5"/>
        <v>-2.6224125088731483</v>
      </c>
      <c r="H122" s="55">
        <f t="shared" si="11"/>
        <v>24.120339457935938</v>
      </c>
      <c r="I122" s="6">
        <f t="shared" ca="1" si="8"/>
        <v>-0.83633029364318645</v>
      </c>
      <c r="J122" s="6">
        <f t="shared" ca="1" si="9"/>
        <v>1.2962775522798575</v>
      </c>
      <c r="K122" s="6">
        <f t="shared" ca="1" si="10"/>
        <v>-1.4930668496591422</v>
      </c>
    </row>
    <row r="123" spans="4:11" ht="11.25" customHeight="1" x14ac:dyDescent="0.15">
      <c r="D123" s="44">
        <v>2002</v>
      </c>
      <c r="E123" s="21">
        <v>64.34381017378594</v>
      </c>
      <c r="F123" s="8">
        <f t="shared" si="7"/>
        <v>1.3559798308414044</v>
      </c>
      <c r="G123" s="8">
        <f t="shared" ca="1" si="5"/>
        <v>-2.5701732907888633</v>
      </c>
      <c r="H123" s="55">
        <f t="shared" si="11"/>
        <v>24.120339457935938</v>
      </c>
      <c r="I123" s="6">
        <f t="shared" ca="1" si="8"/>
        <v>-1.4829040402692044</v>
      </c>
      <c r="J123" s="6">
        <f t="shared" ca="1" si="9"/>
        <v>1.364599371795892</v>
      </c>
      <c r="K123" s="6">
        <f t="shared" ca="1" si="10"/>
        <v>-1.4677736338022582</v>
      </c>
    </row>
    <row r="124" spans="4:11" ht="11.25" customHeight="1" x14ac:dyDescent="0.15">
      <c r="D124" s="44">
        <v>2003</v>
      </c>
      <c r="E124" s="21">
        <v>71.993398003956045</v>
      </c>
      <c r="F124" s="8">
        <f t="shared" si="7"/>
        <v>1.4279732288453604</v>
      </c>
      <c r="G124" s="8">
        <f t="shared" ca="1" si="5"/>
        <v>-2.5143703961132107</v>
      </c>
      <c r="H124" s="55">
        <f t="shared" si="11"/>
        <v>24.120339457935938</v>
      </c>
      <c r="I124" s="6">
        <f t="shared" ca="1" si="8"/>
        <v>-1.3549650576742351</v>
      </c>
      <c r="J124" s="6">
        <f t="shared" ca="1" si="9"/>
        <v>1.4362312889049582</v>
      </c>
      <c r="K124" s="6">
        <f t="shared" ca="1" si="10"/>
        <v>-1.4405432456751883</v>
      </c>
    </row>
    <row r="125" spans="4:11" ht="11.25" customHeight="1" x14ac:dyDescent="0.15">
      <c r="D125" s="44">
        <v>2004</v>
      </c>
      <c r="E125" s="21">
        <v>77.343551459887337</v>
      </c>
      <c r="F125" s="8">
        <f t="shared" si="7"/>
        <v>1.5053167803052476</v>
      </c>
      <c r="G125" s="8">
        <f t="shared" ca="1" si="5"/>
        <v>-2.4572309699582506</v>
      </c>
      <c r="H125" s="55">
        <f t="shared" si="11"/>
        <v>22.459979830841405</v>
      </c>
      <c r="I125" s="6">
        <f t="shared" ca="1" si="8"/>
        <v>-0.93655060201035667</v>
      </c>
      <c r="J125" s="6">
        <f t="shared" ca="1" si="9"/>
        <v>1.5113025278882086</v>
      </c>
      <c r="K125" s="6">
        <f t="shared" ca="1" si="10"/>
        <v>-1.4124322178984454</v>
      </c>
    </row>
    <row r="126" spans="4:11" ht="11.25" customHeight="1" x14ac:dyDescent="0.15">
      <c r="D126" s="44">
        <v>2005</v>
      </c>
      <c r="E126" s="21">
        <v>83.727923729943683</v>
      </c>
      <c r="F126" s="8">
        <f t="shared" si="7"/>
        <v>1.5890447040351914</v>
      </c>
      <c r="G126" s="8">
        <f t="shared" ca="1" si="5"/>
        <v>-2.398324727133291</v>
      </c>
      <c r="H126" s="55">
        <f t="shared" si="11"/>
        <v>22.459979830841405</v>
      </c>
      <c r="I126" s="6">
        <f t="shared" ca="1" si="8"/>
        <v>-0.13414451129574445</v>
      </c>
      <c r="J126" s="6">
        <f t="shared" ca="1" si="9"/>
        <v>1.5899440306073562</v>
      </c>
      <c r="K126" s="6">
        <f t="shared" ca="1" si="10"/>
        <v>-1.3832080982787571</v>
      </c>
    </row>
    <row r="127" spans="4:11" ht="11.25" customHeight="1" x14ac:dyDescent="0.15">
      <c r="D127" s="44">
        <v>2006</v>
      </c>
      <c r="E127" s="21">
        <v>91.227477972354947</v>
      </c>
      <c r="F127" s="8">
        <f t="shared" si="7"/>
        <v>1.6802721820075464</v>
      </c>
      <c r="G127" s="8">
        <f t="shared" ca="1" si="5"/>
        <v>-2.3372714248049338</v>
      </c>
      <c r="H127" s="55">
        <f t="shared" si="11"/>
        <v>22.459979830841405</v>
      </c>
      <c r="I127" s="6">
        <f t="shared" ca="1" si="8"/>
        <v>1.1348934056095459</v>
      </c>
      <c r="J127" s="6">
        <f t="shared" ca="1" si="9"/>
        <v>1.6722880871843371</v>
      </c>
      <c r="K127" s="6">
        <f t="shared" ca="1" si="10"/>
        <v>-1.3526556070519558</v>
      </c>
    </row>
    <row r="128" spans="4:11" ht="11.25" customHeight="1" x14ac:dyDescent="0.15">
      <c r="D128" s="44">
        <v>2007</v>
      </c>
      <c r="E128" s="21">
        <v>96.524669496422561</v>
      </c>
      <c r="F128" s="8">
        <f t="shared" si="7"/>
        <v>1.7767968515039689</v>
      </c>
      <c r="G128" s="8">
        <f t="shared" ca="1" si="5"/>
        <v>-2.2758508022334021</v>
      </c>
      <c r="H128" s="55">
        <f t="shared" si="11"/>
        <v>19.076044704035191</v>
      </c>
      <c r="I128" s="6">
        <f t="shared" ca="1" si="8"/>
        <v>2.4837629786006801</v>
      </c>
      <c r="J128" s="6">
        <f t="shared" ca="1" si="9"/>
        <v>1.7584679182385377</v>
      </c>
      <c r="K128" s="6">
        <f t="shared" ca="1" si="10"/>
        <v>-1.3216471752053895</v>
      </c>
    </row>
    <row r="129" spans="4:11" ht="11.25" customHeight="1" x14ac:dyDescent="0.15">
      <c r="D129" s="44">
        <v>2008</v>
      </c>
      <c r="E129" s="21">
        <v>101.02186949642255</v>
      </c>
      <c r="F129" s="8">
        <f t="shared" si="7"/>
        <v>1.8778187210003914</v>
      </c>
      <c r="G129" s="8">
        <f t="shared" ca="1" si="5"/>
        <v>-2.2146953895406738</v>
      </c>
      <c r="H129" s="55">
        <f t="shared" si="11"/>
        <v>19.076044704035191</v>
      </c>
      <c r="I129" s="6">
        <f ca="1" xml:space="preserve"> (G129*(F$2-E$2)/LN(81) + AVERAGE(E$2:F$2) - D129)*12</f>
        <v>3.7749930824138573</v>
      </c>
      <c r="J129" s="6">
        <f t="shared" ca="1" si="9"/>
        <v>1.8486172061603046</v>
      </c>
      <c r="K129" s="6">
        <f t="shared" ca="1" si="10"/>
        <v>-1.2904998707593045</v>
      </c>
    </row>
    <row r="130" spans="4:11" ht="11.25" customHeight="1" x14ac:dyDescent="0.15">
      <c r="D130" s="44">
        <v>2009</v>
      </c>
      <c r="E130" s="21">
        <v>93.986964198422555</v>
      </c>
      <c r="F130" s="8">
        <f t="shared" si="7"/>
        <v>1.9718056851988139</v>
      </c>
      <c r="G130" s="8">
        <f t="shared" ca="1" si="5"/>
        <v>-2.1603766142179768</v>
      </c>
      <c r="H130" s="55">
        <f t="shared" si="11"/>
        <v>19.076044704035191</v>
      </c>
      <c r="I130" s="6">
        <f ca="1" xml:space="preserve"> (G130*(F$2-E$2)/LN(81) + AVERAGE(E$2:F$2) - D130)*12</f>
        <v>3.5803805368113899</v>
      </c>
      <c r="J130" s="6">
        <f t="shared" ca="1" si="9"/>
        <v>1.9428695731301935</v>
      </c>
      <c r="K130" s="6">
        <f t="shared" ca="1" si="10"/>
        <v>-1.2626052437915263</v>
      </c>
    </row>
    <row r="131" spans="4:11" ht="11.25" customHeight="1" x14ac:dyDescent="0.15">
      <c r="D131" s="44">
        <v>2010</v>
      </c>
      <c r="E131" s="21"/>
      <c r="F131" s="8"/>
      <c r="G131" s="8"/>
      <c r="H131" s="52"/>
      <c r="I131" s="6"/>
      <c r="J131" s="6">
        <f t="shared" ca="1" si="9"/>
        <v>2.0413580038970305</v>
      </c>
      <c r="K131" s="6"/>
    </row>
    <row r="132" spans="4:11" ht="11.25" customHeight="1" x14ac:dyDescent="0.15">
      <c r="D132" s="44">
        <v>2011</v>
      </c>
      <c r="E132" s="21"/>
      <c r="F132" s="8"/>
      <c r="G132" s="8"/>
      <c r="H132" s="52"/>
      <c r="I132" s="6"/>
      <c r="J132" s="6">
        <f t="shared" ca="1" si="9"/>
        <v>2.1442142117117524</v>
      </c>
      <c r="K132" s="6"/>
    </row>
    <row r="133" spans="4:11" ht="11.25" customHeight="1" x14ac:dyDescent="0.15">
      <c r="D133" s="44">
        <v>2012</v>
      </c>
      <c r="E133" s="21"/>
      <c r="F133" s="8"/>
      <c r="G133" s="8"/>
      <c r="H133" s="52"/>
      <c r="I133" s="6"/>
      <c r="J133" s="6">
        <f t="shared" ca="1" si="9"/>
        <v>2.2515679462851979</v>
      </c>
      <c r="K133" s="6"/>
    </row>
    <row r="134" spans="4:11" ht="11.25" customHeight="1" x14ac:dyDescent="0.15">
      <c r="D134" s="44">
        <v>2013</v>
      </c>
      <c r="E134" s="21"/>
      <c r="F134" s="8"/>
      <c r="G134" s="8"/>
      <c r="H134" s="52"/>
      <c r="I134" s="6"/>
      <c r="J134" s="6">
        <f t="shared" ca="1" si="9"/>
        <v>2.3635462432027059</v>
      </c>
      <c r="K134" s="6"/>
    </row>
    <row r="135" spans="4:11" ht="11.25" customHeight="1" x14ac:dyDescent="0.15">
      <c r="D135" s="44">
        <v>2014</v>
      </c>
      <c r="E135" s="21"/>
      <c r="F135" s="8"/>
      <c r="G135" s="8"/>
      <c r="H135" s="52"/>
      <c r="I135" s="6"/>
      <c r="J135" s="6">
        <f t="shared" ca="1" si="9"/>
        <v>2.4802726148918732</v>
      </c>
      <c r="K135" s="6"/>
    </row>
    <row r="136" spans="4:11" ht="11.25" customHeight="1" x14ac:dyDescent="0.15">
      <c r="D136" s="44">
        <v>2015</v>
      </c>
      <c r="E136" s="21"/>
      <c r="F136" s="8"/>
      <c r="G136" s="8"/>
      <c r="H136" s="52"/>
      <c r="I136" s="6"/>
      <c r="J136" s="6">
        <f t="shared" ca="1" si="9"/>
        <v>2.6018661840057469</v>
      </c>
      <c r="K136" s="6"/>
    </row>
    <row r="137" spans="4:11" ht="11.25" customHeight="1" x14ac:dyDescent="0.15">
      <c r="D137" s="44">
        <v>2016</v>
      </c>
      <c r="E137" s="21"/>
      <c r="F137" s="8"/>
      <c r="G137" s="8"/>
      <c r="H137" s="52"/>
      <c r="I137" s="6"/>
      <c r="J137" s="6">
        <f t="shared" ca="1" si="9"/>
        <v>2.7284407609538395</v>
      </c>
      <c r="K137" s="6"/>
    </row>
    <row r="138" spans="4:11" ht="11.25" customHeight="1" x14ac:dyDescent="0.15">
      <c r="D138" s="44">
        <v>2017</v>
      </c>
      <c r="E138" s="21"/>
      <c r="F138" s="8"/>
      <c r="G138" s="8"/>
      <c r="H138" s="52"/>
      <c r="I138" s="6"/>
      <c r="J138" s="6">
        <f t="shared" ca="1" si="9"/>
        <v>2.8601038682872857</v>
      </c>
      <c r="K138" s="6"/>
    </row>
    <row r="139" spans="4:11" ht="11.25" customHeight="1" x14ac:dyDescent="0.15">
      <c r="D139" s="44">
        <v>2018</v>
      </c>
      <c r="E139" s="21"/>
      <c r="F139" s="8"/>
      <c r="G139" s="8"/>
      <c r="H139" s="52"/>
      <c r="I139" s="6"/>
      <c r="J139" s="6">
        <f t="shared" ca="1" si="9"/>
        <v>2.99695571571851</v>
      </c>
      <c r="K139" s="6"/>
    </row>
    <row r="140" spans="4:11" ht="11.25" customHeight="1" x14ac:dyDescent="0.15">
      <c r="D140" s="44">
        <v>2019</v>
      </c>
      <c r="E140" s="21"/>
      <c r="F140" s="8"/>
      <c r="G140" s="8"/>
      <c r="H140" s="52"/>
      <c r="I140" s="6"/>
      <c r="J140" s="6">
        <f t="shared" ca="1" si="9"/>
        <v>3.1390881307235157</v>
      </c>
      <c r="K140" s="6"/>
    </row>
    <row r="141" spans="4:11" ht="11.25" customHeight="1" x14ac:dyDescent="0.15">
      <c r="D141" s="44">
        <v>2020</v>
      </c>
      <c r="E141" s="21"/>
      <c r="F141" s="8"/>
      <c r="G141" s="8"/>
      <c r="H141" s="52"/>
      <c r="I141" s="6"/>
      <c r="J141" s="6">
        <f t="shared" ca="1" si="9"/>
        <v>3.2865834509255762</v>
      </c>
      <c r="K141" s="6"/>
    </row>
    <row r="142" spans="4:11" ht="11.25" customHeight="1" x14ac:dyDescent="0.15">
      <c r="D142" s="44">
        <v>2021</v>
      </c>
      <c r="E142" s="21"/>
      <c r="F142" s="8"/>
      <c r="G142" s="8"/>
      <c r="H142" s="52"/>
      <c r="I142" s="6"/>
      <c r="J142" s="6">
        <f t="shared" ca="1" si="9"/>
        <v>3.4395133857780911</v>
      </c>
      <c r="K142" s="6"/>
    </row>
    <row r="143" spans="4:11" ht="11.25" customHeight="1" x14ac:dyDescent="0.15">
      <c r="D143" s="44">
        <v>2022</v>
      </c>
      <c r="E143" s="21"/>
      <c r="F143" s="8"/>
      <c r="G143" s="8"/>
      <c r="H143" s="52"/>
      <c r="I143" s="6"/>
      <c r="J143" s="6">
        <f t="shared" ca="1" si="9"/>
        <v>3.5979378564324507</v>
      </c>
      <c r="K143" s="6"/>
    </row>
    <row r="144" spans="4:11" ht="11.25" customHeight="1" x14ac:dyDescent="0.15">
      <c r="D144" s="44">
        <v>2023</v>
      </c>
      <c r="E144" s="21"/>
      <c r="F144" s="8"/>
      <c r="G144" s="8"/>
      <c r="H144" s="52"/>
      <c r="I144" s="6"/>
      <c r="J144" s="6">
        <f t="shared" ca="1" si="9"/>
        <v>3.7619038240697535</v>
      </c>
      <c r="K144" s="6"/>
    </row>
    <row r="145" spans="4:11" ht="11.25" customHeight="1" x14ac:dyDescent="0.15">
      <c r="D145" s="44">
        <v>2024</v>
      </c>
      <c r="E145" s="21"/>
      <c r="F145" s="8"/>
      <c r="G145" s="8"/>
      <c r="H145" s="52"/>
      <c r="I145" s="6"/>
      <c r="J145" s="6">
        <f t="shared" ca="1" si="9"/>
        <v>3.9314441183644622</v>
      </c>
      <c r="K145" s="6"/>
    </row>
    <row r="146" spans="4:11" ht="11.25" customHeight="1" x14ac:dyDescent="0.15">
      <c r="D146" s="44">
        <v>2025</v>
      </c>
      <c r="E146" s="21"/>
      <c r="F146" s="8"/>
      <c r="G146" s="8"/>
      <c r="H146" s="52"/>
      <c r="I146" s="6"/>
      <c r="J146" s="6">
        <f t="shared" ca="1" si="9"/>
        <v>4.1065762790998539</v>
      </c>
      <c r="K146" s="6"/>
    </row>
    <row r="147" spans="4:11" ht="11.25" customHeight="1" x14ac:dyDescent="0.15">
      <c r="D147" s="44">
        <v>2026</v>
      </c>
      <c r="E147" s="21"/>
      <c r="F147" s="8"/>
      <c r="G147" s="8"/>
      <c r="H147" s="52"/>
      <c r="I147" s="6"/>
      <c r="J147" s="6">
        <f t="shared" ca="1" si="9"/>
        <v>4.2873014252313473</v>
      </c>
      <c r="K147" s="6"/>
    </row>
    <row r="148" spans="4:11" ht="11.25" customHeight="1" x14ac:dyDescent="0.15">
      <c r="D148" s="44">
        <v>2027</v>
      </c>
      <c r="E148" s="21"/>
      <c r="F148" s="8"/>
      <c r="G148" s="8"/>
      <c r="H148" s="52"/>
      <c r="I148" s="6"/>
      <c r="J148" s="6">
        <f t="shared" ca="1" si="9"/>
        <v>4.4736031668528131</v>
      </c>
      <c r="K148" s="6"/>
    </row>
    <row r="149" spans="4:11" ht="11.25" customHeight="1" x14ac:dyDescent="0.15">
      <c r="D149" s="44">
        <v>2028</v>
      </c>
      <c r="E149" s="21"/>
      <c r="F149" s="8"/>
      <c r="G149" s="8"/>
      <c r="H149" s="52"/>
      <c r="I149" s="6"/>
      <c r="J149" s="6">
        <f t="shared" ca="1" si="9"/>
        <v>4.6654465765176276</v>
      </c>
      <c r="K149" s="6"/>
    </row>
    <row r="150" spans="4:11" ht="11.25" customHeight="1" x14ac:dyDescent="0.15">
      <c r="D150" s="44">
        <v>2029</v>
      </c>
      <c r="E150" s="21"/>
      <c r="F150" s="8"/>
      <c r="G150" s="8"/>
      <c r="H150" s="52"/>
      <c r="I150" s="6"/>
      <c r="J150" s="6">
        <f t="shared" ca="1" si="9"/>
        <v>4.8627772371540701</v>
      </c>
      <c r="K150" s="6"/>
    </row>
    <row r="151" spans="4:11" ht="11.25" customHeight="1" x14ac:dyDescent="0.15">
      <c r="D151" s="44">
        <v>2030</v>
      </c>
      <c r="E151" s="21"/>
      <c r="F151" s="8"/>
      <c r="G151" s="8"/>
      <c r="H151" s="52"/>
      <c r="I151" s="6"/>
      <c r="J151" s="6">
        <f t="shared" ca="1" si="9"/>
        <v>5.0655203843462013</v>
      </c>
      <c r="K151" s="6"/>
    </row>
    <row r="152" spans="4:11" ht="11.25" customHeight="1" x14ac:dyDescent="0.15">
      <c r="D152" s="44">
        <v>2031</v>
      </c>
      <c r="E152" s="21"/>
      <c r="F152" s="8"/>
      <c r="G152" s="8"/>
      <c r="H152" s="52"/>
      <c r="I152" s="6"/>
      <c r="J152" s="6">
        <f t="shared" ca="1" si="9"/>
        <v>5.2735801609809734</v>
      </c>
      <c r="K152" s="6"/>
    </row>
    <row r="153" spans="4:11" ht="11.25" customHeight="1" x14ac:dyDescent="0.15">
      <c r="D153" s="44">
        <v>2032</v>
      </c>
      <c r="E153" s="21"/>
      <c r="F153" s="8"/>
      <c r="G153" s="8"/>
      <c r="H153" s="52"/>
      <c r="I153" s="6"/>
      <c r="J153" s="6">
        <f t="shared" ca="1" si="9"/>
        <v>5.4868390021467794</v>
      </c>
      <c r="K153" s="6"/>
    </row>
    <row r="154" spans="4:11" ht="11.25" customHeight="1" x14ac:dyDescent="0.15">
      <c r="D154" s="44">
        <v>2033</v>
      </c>
      <c r="E154" s="21"/>
      <c r="F154" s="8"/>
      <c r="G154" s="8"/>
      <c r="H154" s="52"/>
      <c r="I154" s="6"/>
      <c r="J154" s="6">
        <f t="shared" ca="1" si="9"/>
        <v>5.7051571676708699</v>
      </c>
      <c r="K154" s="6"/>
    </row>
    <row r="155" spans="4:11" ht="11.25" customHeight="1" x14ac:dyDescent="0.15">
      <c r="D155" s="44">
        <v>2034</v>
      </c>
      <c r="E155" s="21"/>
      <c r="F155" s="8"/>
      <c r="G155" s="8"/>
      <c r="H155" s="52"/>
      <c r="I155" s="6"/>
      <c r="J155" s="6">
        <f t="shared" ca="1" si="9"/>
        <v>5.9283724387724845</v>
      </c>
      <c r="K155" s="6"/>
    </row>
    <row r="156" spans="4:11" ht="11.25" customHeight="1" x14ac:dyDescent="0.15">
      <c r="D156" s="44">
        <v>2035</v>
      </c>
      <c r="E156" s="21"/>
      <c r="F156" s="8"/>
      <c r="G156" s="8"/>
      <c r="H156" s="52"/>
      <c r="I156" s="6"/>
      <c r="J156" s="6">
        <f t="shared" ca="1" si="9"/>
        <v>6.1562999939649563</v>
      </c>
      <c r="K156" s="6"/>
    </row>
    <row r="157" spans="4:11" ht="11.25" customHeight="1" x14ac:dyDescent="0.15">
      <c r="D157" s="44">
        <v>2036</v>
      </c>
      <c r="E157" s="21"/>
      <c r="F157" s="8"/>
      <c r="G157" s="8"/>
      <c r="H157" s="52"/>
      <c r="I157" s="6"/>
      <c r="J157" s="6">
        <f t="shared" ref="J157:J220" ca="1" si="12">F$1/(1+EXP((AVERAGE(E$2:F$2)-D157)*LN(81)/(F$2-E$2)))</f>
        <v>6.3887324775544236</v>
      </c>
      <c r="K157" s="6"/>
    </row>
    <row r="158" spans="4:11" ht="11.25" customHeight="1" x14ac:dyDescent="0.15">
      <c r="D158" s="44">
        <v>2037</v>
      </c>
      <c r="E158" s="21"/>
      <c r="F158" s="8"/>
      <c r="G158" s="8"/>
      <c r="H158" s="52"/>
      <c r="I158" s="6"/>
      <c r="J158" s="6">
        <f t="shared" ca="1" si="12"/>
        <v>6.6254402718598193</v>
      </c>
      <c r="K158" s="6"/>
    </row>
    <row r="159" spans="4:11" ht="11.25" customHeight="1" x14ac:dyDescent="0.15">
      <c r="D159" s="44">
        <v>2038</v>
      </c>
      <c r="E159" s="21"/>
      <c r="F159" s="8"/>
      <c r="G159" s="8"/>
      <c r="H159" s="52"/>
      <c r="I159" s="6"/>
      <c r="J159" s="6">
        <f t="shared" ca="1" si="12"/>
        <v>6.8661719816378746</v>
      </c>
      <c r="K159" s="6"/>
    </row>
    <row r="160" spans="4:11" ht="11.25" customHeight="1" x14ac:dyDescent="0.15">
      <c r="D160" s="44">
        <v>2039</v>
      </c>
      <c r="E160" s="21"/>
      <c r="F160" s="8"/>
      <c r="G160" s="8"/>
      <c r="H160" s="52"/>
      <c r="I160" s="6"/>
      <c r="J160" s="6">
        <f t="shared" ca="1" si="12"/>
        <v>7.1106551361732766</v>
      </c>
      <c r="K160" s="6"/>
    </row>
    <row r="161" spans="4:11" ht="11.25" customHeight="1" x14ac:dyDescent="0.15">
      <c r="D161" s="44">
        <v>2040</v>
      </c>
      <c r="E161" s="21"/>
      <c r="F161" s="8"/>
      <c r="G161" s="8"/>
      <c r="H161" s="52"/>
      <c r="I161" s="6"/>
      <c r="J161" s="6">
        <f t="shared" ca="1" si="12"/>
        <v>7.3585971111389625</v>
      </c>
      <c r="K161" s="6"/>
    </row>
    <row r="162" spans="4:11" ht="11.25" customHeight="1" x14ac:dyDescent="0.15">
      <c r="D162" s="44">
        <v>2041</v>
      </c>
      <c r="E162" s="21"/>
      <c r="F162" s="8"/>
      <c r="G162" s="8"/>
      <c r="H162" s="52"/>
      <c r="I162" s="6"/>
      <c r="J162" s="6">
        <f t="shared" ca="1" si="12"/>
        <v>7.6096862687115463</v>
      </c>
      <c r="K162" s="6"/>
    </row>
    <row r="163" spans="4:11" ht="11.25" customHeight="1" x14ac:dyDescent="0.15">
      <c r="D163" s="44">
        <v>2042</v>
      </c>
      <c r="E163" s="21"/>
      <c r="F163" s="8"/>
      <c r="G163" s="8"/>
      <c r="H163" s="52"/>
      <c r="I163" s="6"/>
      <c r="J163" s="6">
        <f t="shared" ca="1" si="12"/>
        <v>7.8635933106229299</v>
      </c>
      <c r="K163" s="6"/>
    </row>
    <row r="164" spans="4:11" ht="11.25" customHeight="1" x14ac:dyDescent="0.15">
      <c r="D164" s="44">
        <v>2043</v>
      </c>
      <c r="E164" s="21"/>
      <c r="F164" s="8"/>
      <c r="G164" s="8"/>
      <c r="H164" s="52"/>
      <c r="I164" s="6"/>
      <c r="J164" s="6">
        <f t="shared" ca="1" si="12"/>
        <v>8.1199728349343552</v>
      </c>
      <c r="K164" s="6"/>
    </row>
    <row r="165" spans="4:11" ht="11.25" customHeight="1" x14ac:dyDescent="0.15">
      <c r="D165" s="44">
        <v>2044</v>
      </c>
      <c r="E165" s="21"/>
      <c r="F165" s="8"/>
      <c r="G165" s="8"/>
      <c r="H165" s="52"/>
      <c r="I165" s="6"/>
      <c r="J165" s="6">
        <f t="shared" ca="1" si="12"/>
        <v>8.3784650834358185</v>
      </c>
      <c r="K165" s="6"/>
    </row>
    <row r="166" spans="4:11" ht="11.25" customHeight="1" x14ac:dyDescent="0.15">
      <c r="D166" s="44">
        <v>2045</v>
      </c>
      <c r="E166" s="21"/>
      <c r="F166" s="8"/>
      <c r="G166" s="8"/>
      <c r="H166" s="52"/>
      <c r="I166" s="6"/>
      <c r="J166" s="6">
        <f t="shared" ca="1" si="12"/>
        <v>8.6386978628100373</v>
      </c>
      <c r="K166" s="6"/>
    </row>
    <row r="167" spans="4:11" ht="11.25" customHeight="1" x14ac:dyDescent="0.15">
      <c r="D167" s="44">
        <v>2046</v>
      </c>
      <c r="E167" s="21"/>
      <c r="F167" s="8"/>
      <c r="G167" s="8"/>
      <c r="H167" s="52"/>
      <c r="I167" s="6"/>
      <c r="J167" s="6">
        <f t="shared" ca="1" si="12"/>
        <v>8.9002886191660693</v>
      </c>
      <c r="K167" s="6"/>
    </row>
    <row r="168" spans="4:11" ht="11.25" customHeight="1" x14ac:dyDescent="0.15">
      <c r="D168" s="44">
        <v>2047</v>
      </c>
      <c r="E168" s="21"/>
      <c r="F168" s="8"/>
      <c r="G168" s="8"/>
      <c r="H168" s="52"/>
      <c r="I168" s="6"/>
      <c r="J168" s="6">
        <f t="shared" ca="1" si="12"/>
        <v>9.1628466423503117</v>
      </c>
      <c r="K168" s="6"/>
    </row>
    <row r="169" spans="4:11" ht="11.25" customHeight="1" x14ac:dyDescent="0.15">
      <c r="D169" s="44">
        <v>2048</v>
      </c>
      <c r="E169" s="21"/>
      <c r="F169" s="8"/>
      <c r="G169" s="8"/>
      <c r="H169" s="51"/>
      <c r="I169" s="6"/>
      <c r="J169" s="6">
        <f t="shared" ca="1" si="12"/>
        <v>9.425975373682375</v>
      </c>
      <c r="K169" s="6"/>
    </row>
    <row r="170" spans="4:11" ht="11.25" customHeight="1" x14ac:dyDescent="0.15">
      <c r="D170" s="44">
        <v>2049</v>
      </c>
      <c r="E170" s="21"/>
      <c r="F170" s="8"/>
      <c r="G170" s="8"/>
      <c r="H170" s="51"/>
      <c r="I170" s="6"/>
      <c r="J170" s="6">
        <f t="shared" ca="1" si="12"/>
        <v>9.6892747885287047</v>
      </c>
      <c r="K170" s="6"/>
    </row>
    <row r="171" spans="4:11" ht="11.25" customHeight="1" x14ac:dyDescent="0.15">
      <c r="D171" s="44">
        <v>2050</v>
      </c>
      <c r="E171" s="21"/>
      <c r="F171" s="8"/>
      <c r="G171" s="8"/>
      <c r="H171" s="51"/>
      <c r="I171" s="6"/>
      <c r="J171" s="6">
        <f t="shared" ca="1" si="12"/>
        <v>9.9523438234910842</v>
      </c>
      <c r="K171" s="6"/>
    </row>
    <row r="172" spans="4:11" ht="11.25" customHeight="1" x14ac:dyDescent="0.15">
      <c r="D172" s="44">
        <v>2051</v>
      </c>
      <c r="E172" s="21"/>
      <c r="F172" s="8"/>
      <c r="G172" s="8"/>
      <c r="H172" s="51"/>
      <c r="I172" s="6"/>
      <c r="J172" s="6">
        <f t="shared" ca="1" si="12"/>
        <v>10.21478281700464</v>
      </c>
      <c r="K172" s="6"/>
    </row>
    <row r="173" spans="4:11" ht="11.25" customHeight="1" x14ac:dyDescent="0.15">
      <c r="D173" s="44">
        <v>2052</v>
      </c>
      <c r="E173" s="21"/>
      <c r="F173" s="8"/>
      <c r="G173" s="8"/>
      <c r="H173" s="51"/>
      <c r="I173" s="6"/>
      <c r="J173" s="6">
        <f t="shared" ca="1" si="12"/>
        <v>10.476195931843591</v>
      </c>
      <c r="K173" s="6"/>
    </row>
    <row r="174" spans="4:11" ht="11.25" customHeight="1" x14ac:dyDescent="0.15">
      <c r="D174" s="44">
        <v>2053</v>
      </c>
      <c r="E174" s="21"/>
      <c r="F174" s="8"/>
      <c r="G174" s="8"/>
      <c r="H174" s="51"/>
      <c r="I174" s="6"/>
      <c r="J174" s="6">
        <f t="shared" ca="1" si="12"/>
        <v>10.736193528432795</v>
      </c>
      <c r="K174" s="6"/>
    </row>
    <row r="175" spans="4:11" ht="11.25" customHeight="1" x14ac:dyDescent="0.15">
      <c r="D175" s="44">
        <v>2054</v>
      </c>
      <c r="E175" s="21"/>
      <c r="F175" s="8"/>
      <c r="G175" s="8"/>
      <c r="H175" s="51"/>
      <c r="I175" s="6"/>
      <c r="J175" s="6">
        <f t="shared" ca="1" si="12"/>
        <v>10.99439445894544</v>
      </c>
      <c r="K175" s="6"/>
    </row>
    <row r="176" spans="4:11" ht="11.25" customHeight="1" x14ac:dyDescent="0.15">
      <c r="D176" s="44">
        <v>2055</v>
      </c>
      <c r="E176" s="21"/>
      <c r="F176" s="8"/>
      <c r="G176" s="8"/>
      <c r="H176" s="51"/>
      <c r="I176" s="6"/>
      <c r="J176" s="6">
        <f t="shared" ca="1" si="12"/>
        <v>11.250428253896221</v>
      </c>
      <c r="K176" s="6"/>
    </row>
    <row r="177" spans="4:11" ht="11.25" customHeight="1" x14ac:dyDescent="0.15">
      <c r="D177" s="44">
        <v>2056</v>
      </c>
      <c r="E177" s="21"/>
      <c r="F177" s="8"/>
      <c r="G177" s="8"/>
      <c r="H177" s="51"/>
      <c r="I177" s="6"/>
      <c r="J177" s="6">
        <f t="shared" ca="1" si="12"/>
        <v>11.503937175257192</v>
      </c>
      <c r="K177" s="6"/>
    </row>
    <row r="178" spans="4:11" ht="11.25" customHeight="1" x14ac:dyDescent="0.15">
      <c r="D178" s="44">
        <v>2057</v>
      </c>
      <c r="E178" s="21"/>
      <c r="F178" s="8"/>
      <c r="G178" s="8"/>
      <c r="H178" s="51"/>
      <c r="I178" s="6"/>
      <c r="J178" s="6">
        <f t="shared" ca="1" si="12"/>
        <v>11.754578112954821</v>
      </c>
      <c r="K178" s="6"/>
    </row>
    <row r="179" spans="4:11" ht="11.25" customHeight="1" x14ac:dyDescent="0.15">
      <c r="D179" s="44">
        <v>2058</v>
      </c>
      <c r="E179" s="21"/>
      <c r="F179" s="8"/>
      <c r="G179" s="8"/>
      <c r="H179" s="51"/>
      <c r="I179" s="6"/>
      <c r="J179" s="6">
        <f t="shared" ca="1" si="12"/>
        <v>12.002024304860814</v>
      </c>
      <c r="K179" s="6"/>
    </row>
    <row r="180" spans="4:11" ht="11.25" customHeight="1" x14ac:dyDescent="0.15">
      <c r="D180" s="44">
        <v>2059</v>
      </c>
      <c r="E180" s="21"/>
      <c r="F180" s="8"/>
      <c r="G180" s="8"/>
      <c r="H180" s="51"/>
      <c r="I180" s="6"/>
      <c r="J180" s="6">
        <f t="shared" ca="1" si="12"/>
        <v>12.245966863964554</v>
      </c>
      <c r="K180" s="6"/>
    </row>
    <row r="181" spans="4:11" ht="11.25" customHeight="1" x14ac:dyDescent="0.15">
      <c r="D181" s="44">
        <v>2060</v>
      </c>
      <c r="E181" s="21"/>
      <c r="F181" s="8"/>
      <c r="G181" s="8"/>
      <c r="H181" s="51"/>
      <c r="I181" s="6"/>
      <c r="J181" s="6">
        <f t="shared" ca="1" si="12"/>
        <v>12.486116100203402</v>
      </c>
      <c r="K181" s="6"/>
    </row>
    <row r="182" spans="4:11" ht="11.25" customHeight="1" x14ac:dyDescent="0.15">
      <c r="D182" s="44">
        <v>2061</v>
      </c>
      <c r="E182" s="21"/>
      <c r="F182" s="8"/>
      <c r="G182" s="8"/>
      <c r="H182" s="51"/>
      <c r="I182" s="6"/>
      <c r="J182" s="6">
        <f t="shared" ca="1" si="12"/>
        <v>12.722202628319009</v>
      </c>
      <c r="K182" s="6"/>
    </row>
    <row r="183" spans="4:11" ht="11.25" customHeight="1" x14ac:dyDescent="0.15">
      <c r="D183" s="44">
        <v>2062</v>
      </c>
      <c r="E183" s="21"/>
      <c r="F183" s="8"/>
      <c r="G183" s="8"/>
      <c r="H183" s="51"/>
      <c r="I183" s="6"/>
      <c r="J183" s="6">
        <f t="shared" ca="1" si="12"/>
        <v>12.95397825699529</v>
      </c>
      <c r="K183" s="6"/>
    </row>
    <row r="184" spans="4:11" ht="11.25" customHeight="1" x14ac:dyDescent="0.15">
      <c r="D184" s="44">
        <v>2063</v>
      </c>
      <c r="E184" s="21"/>
      <c r="F184" s="8"/>
      <c r="G184" s="8"/>
      <c r="H184" s="51"/>
      <c r="I184" s="6"/>
      <c r="J184" s="6">
        <f t="shared" ca="1" si="12"/>
        <v>13.181216658315916</v>
      </c>
      <c r="K184" s="6"/>
    </row>
    <row r="185" spans="4:11" ht="11.25" customHeight="1" x14ac:dyDescent="0.15">
      <c r="D185" s="44">
        <v>2064</v>
      </c>
      <c r="E185" s="21"/>
      <c r="F185" s="8"/>
      <c r="G185" s="8"/>
      <c r="H185" s="51"/>
      <c r="I185" s="6"/>
      <c r="J185" s="6">
        <f t="shared" ca="1" si="12"/>
        <v>13.403713820164532</v>
      </c>
      <c r="K185" s="6"/>
    </row>
    <row r="186" spans="4:11" ht="11.25" customHeight="1" x14ac:dyDescent="0.15">
      <c r="D186" s="44">
        <v>2065</v>
      </c>
      <c r="E186" s="21"/>
      <c r="F186" s="8"/>
      <c r="G186" s="8"/>
      <c r="H186" s="51"/>
      <c r="I186" s="6"/>
      <c r="J186" s="6">
        <f t="shared" ca="1" si="12"/>
        <v>13.621288287500494</v>
      </c>
      <c r="K186" s="6"/>
    </row>
    <row r="187" spans="4:11" ht="11.25" customHeight="1" x14ac:dyDescent="0.15">
      <c r="D187" s="44">
        <v>2066</v>
      </c>
      <c r="E187" s="21"/>
      <c r="F187" s="8"/>
      <c r="G187" s="8"/>
      <c r="H187" s="51"/>
      <c r="I187" s="6"/>
      <c r="J187" s="6">
        <f t="shared" ca="1" si="12"/>
        <v>13.833781201412537</v>
      </c>
      <c r="K187" s="6"/>
    </row>
    <row r="188" spans="4:11" ht="11.25" customHeight="1" x14ac:dyDescent="0.15">
      <c r="D188" s="44">
        <v>2067</v>
      </c>
      <c r="E188" s="21"/>
      <c r="F188" s="8"/>
      <c r="G188" s="8"/>
      <c r="H188" s="51"/>
      <c r="I188" s="6"/>
      <c r="J188" s="6">
        <f t="shared" ca="1" si="12"/>
        <v>14.041056147433085</v>
      </c>
      <c r="K188" s="6"/>
    </row>
    <row r="189" spans="4:11" ht="11.25" customHeight="1" x14ac:dyDescent="0.15">
      <c r="D189" s="44">
        <v>2068</v>
      </c>
      <c r="E189" s="21"/>
      <c r="F189" s="8"/>
      <c r="G189" s="8"/>
      <c r="H189" s="51"/>
      <c r="I189" s="6"/>
      <c r="J189" s="6">
        <f t="shared" ca="1" si="12"/>
        <v>14.242998826754851</v>
      </c>
      <c r="K189" s="6"/>
    </row>
    <row r="190" spans="4:11" ht="11.25" customHeight="1" x14ac:dyDescent="0.15">
      <c r="D190" s="44">
        <v>2069</v>
      </c>
      <c r="E190" s="21"/>
      <c r="F190" s="8"/>
      <c r="G190" s="8"/>
      <c r="H190" s="51"/>
      <c r="I190" s="6"/>
      <c r="J190" s="6">
        <f t="shared" ca="1" si="12"/>
        <v>14.439516565710944</v>
      </c>
      <c r="K190" s="6"/>
    </row>
    <row r="191" spans="4:11" ht="11.25" customHeight="1" x14ac:dyDescent="0.15">
      <c r="D191" s="44">
        <v>2070</v>
      </c>
      <c r="E191" s="21"/>
      <c r="F191" s="8"/>
      <c r="G191" s="8"/>
      <c r="H191" s="51"/>
      <c r="I191" s="6"/>
      <c r="J191" s="6">
        <f t="shared" ca="1" si="12"/>
        <v>14.630537680158051</v>
      </c>
      <c r="K191" s="6"/>
    </row>
    <row r="192" spans="4:11" ht="11.25" customHeight="1" x14ac:dyDescent="0.15">
      <c r="D192" s="44">
        <v>2071</v>
      </c>
      <c r="E192" s="21"/>
      <c r="F192" s="8"/>
      <c r="G192" s="8"/>
      <c r="H192" s="8"/>
      <c r="I192" s="6"/>
      <c r="J192" s="6">
        <f t="shared" ca="1" si="12"/>
        <v>14.816010712249698</v>
      </c>
      <c r="K192" s="6"/>
    </row>
    <row r="193" spans="4:11" ht="11.25" customHeight="1" x14ac:dyDescent="0.15">
      <c r="D193" s="44">
        <v>2072</v>
      </c>
      <c r="E193" s="21"/>
      <c r="F193" s="8"/>
      <c r="G193" s="8"/>
      <c r="H193" s="52"/>
      <c r="I193" s="6"/>
      <c r="J193" s="6">
        <f t="shared" ca="1" si="12"/>
        <v>14.995903557525486</v>
      </c>
      <c r="K193" s="6"/>
    </row>
    <row r="194" spans="4:11" ht="11.25" customHeight="1" x14ac:dyDescent="0.15">
      <c r="D194" s="44">
        <v>2073</v>
      </c>
      <c r="E194" s="21"/>
      <c r="F194" s="8"/>
      <c r="G194" s="8"/>
      <c r="H194" s="52"/>
      <c r="I194" s="6"/>
      <c r="J194" s="6">
        <f t="shared" ca="1" si="12"/>
        <v>15.170202500303661</v>
      </c>
      <c r="K194" s="6"/>
    </row>
    <row r="195" spans="4:11" ht="11.25" customHeight="1" x14ac:dyDescent="0.15">
      <c r="D195" s="44">
        <v>2074</v>
      </c>
      <c r="E195" s="21"/>
      <c r="F195" s="8"/>
      <c r="G195" s="8"/>
      <c r="H195" s="52"/>
      <c r="I195" s="6"/>
      <c r="J195" s="6">
        <f t="shared" ca="1" si="12"/>
        <v>15.338911175087098</v>
      </c>
      <c r="K195" s="6"/>
    </row>
    <row r="196" spans="4:11" ht="11.25" customHeight="1" x14ac:dyDescent="0.15">
      <c r="D196" s="44">
        <v>2075</v>
      </c>
      <c r="E196" s="21"/>
      <c r="F196" s="8"/>
      <c r="G196" s="8"/>
      <c r="H196" s="52"/>
      <c r="I196" s="6"/>
      <c r="J196" s="6">
        <f t="shared" ca="1" si="12"/>
        <v>15.502049471120017</v>
      </c>
      <c r="K196" s="6"/>
    </row>
    <row r="197" spans="4:11" ht="11.25" customHeight="1" x14ac:dyDescent="0.15">
      <c r="D197" s="44">
        <v>2076</v>
      </c>
      <c r="E197" s="21"/>
      <c r="F197" s="8"/>
      <c r="G197" s="8"/>
      <c r="H197" s="53"/>
      <c r="I197" s="6"/>
      <c r="J197" s="6">
        <f t="shared" ca="1" si="12"/>
        <v>15.659652396410937</v>
      </c>
      <c r="K197" s="6"/>
    </row>
    <row r="198" spans="4:11" ht="11.25" customHeight="1" x14ac:dyDescent="0.15">
      <c r="D198" s="44">
        <v>2077</v>
      </c>
      <c r="E198" s="21"/>
      <c r="F198" s="8"/>
      <c r="G198" s="8"/>
      <c r="H198" s="53"/>
      <c r="I198" s="6"/>
      <c r="J198" s="6">
        <f t="shared" ca="1" si="12"/>
        <v>15.811768916513476</v>
      </c>
      <c r="K198" s="6"/>
    </row>
    <row r="199" spans="4:11" ht="11.25" customHeight="1" x14ac:dyDescent="0.15">
      <c r="D199" s="44">
        <v>2078</v>
      </c>
      <c r="E199" s="21"/>
      <c r="F199" s="8"/>
      <c r="G199" s="8"/>
      <c r="H199" s="53"/>
      <c r="I199" s="6"/>
      <c r="J199" s="6">
        <f t="shared" ca="1" si="12"/>
        <v>15.958460782177411</v>
      </c>
      <c r="K199" s="6"/>
    </row>
    <row r="200" spans="4:11" ht="11.25" customHeight="1" x14ac:dyDescent="0.15">
      <c r="D200" s="44">
        <v>2079</v>
      </c>
      <c r="E200" s="21"/>
      <c r="F200" s="8"/>
      <c r="G200" s="8"/>
      <c r="H200" s="53"/>
      <c r="I200" s="6"/>
      <c r="J200" s="6">
        <f t="shared" ca="1" si="12"/>
        <v>16.099801358692428</v>
      </c>
      <c r="K200" s="6"/>
    </row>
    <row r="201" spans="4:11" ht="11.25" customHeight="1" x14ac:dyDescent="0.15">
      <c r="D201" s="44">
        <v>2080</v>
      </c>
      <c r="E201" s="21"/>
      <c r="F201" s="8"/>
      <c r="G201" s="8"/>
      <c r="H201" s="53"/>
      <c r="I201" s="6"/>
      <c r="J201" s="6">
        <f t="shared" ca="1" si="12"/>
        <v>16.235874468387156</v>
      </c>
      <c r="K201" s="6"/>
    </row>
    <row r="202" spans="4:11" ht="11.25" customHeight="1" x14ac:dyDescent="0.15">
      <c r="D202" s="44">
        <v>2081</v>
      </c>
      <c r="E202" s="21"/>
      <c r="F202" s="8"/>
      <c r="G202" s="8"/>
      <c r="H202" s="53"/>
      <c r="I202" s="6"/>
      <c r="J202" s="6">
        <f t="shared" ca="1" si="12"/>
        <v>16.366773256354488</v>
      </c>
      <c r="K202" s="6"/>
    </row>
    <row r="203" spans="4:11" ht="11.25" customHeight="1" x14ac:dyDescent="0.15">
      <c r="D203" s="44">
        <v>2082</v>
      </c>
      <c r="E203" s="21"/>
      <c r="F203" s="8"/>
      <c r="G203" s="8"/>
      <c r="H203" s="53"/>
      <c r="I203" s="6"/>
      <c r="J203" s="6">
        <f t="shared" ca="1" si="12"/>
        <v>16.492599088083022</v>
      </c>
      <c r="K203" s="6"/>
    </row>
    <row r="204" spans="4:11" ht="11.25" customHeight="1" x14ac:dyDescent="0.15">
      <c r="D204" s="44">
        <v>2083</v>
      </c>
      <c r="E204" s="21"/>
      <c r="F204" s="8"/>
      <c r="G204" s="8"/>
      <c r="H204" s="53"/>
      <c r="I204" s="6"/>
      <c r="J204" s="6">
        <f t="shared" ca="1" si="12"/>
        <v>16.613460486312295</v>
      </c>
      <c r="K204" s="6"/>
    </row>
    <row r="205" spans="4:11" ht="11.25" customHeight="1" x14ac:dyDescent="0.15">
      <c r="D205" s="44">
        <v>2084</v>
      </c>
      <c r="E205" s="21"/>
      <c r="F205" s="8"/>
      <c r="G205" s="8"/>
      <c r="H205" s="53"/>
      <c r="I205" s="6"/>
      <c r="J205" s="6">
        <f t="shared" ca="1" si="12"/>
        <v>16.729472113119712</v>
      </c>
      <c r="K205" s="6"/>
    </row>
    <row r="206" spans="4:11" ht="11.25" customHeight="1" x14ac:dyDescent="0.15">
      <c r="D206" s="44">
        <v>2085</v>
      </c>
      <c r="E206" s="21"/>
      <c r="F206" s="8"/>
      <c r="G206" s="8"/>
      <c r="H206" s="53"/>
      <c r="I206" s="6"/>
      <c r="J206" s="6">
        <f t="shared" ca="1" si="12"/>
        <v>16.840753802007718</v>
      </c>
      <c r="K206" s="6"/>
    </row>
    <row r="207" spans="4:11" ht="11.25" customHeight="1" x14ac:dyDescent="0.15">
      <c r="D207" s="44">
        <v>2086</v>
      </c>
      <c r="E207" s="21"/>
      <c r="F207" s="8"/>
      <c r="G207" s="8"/>
      <c r="H207" s="53"/>
      <c r="I207" s="6"/>
      <c r="J207" s="6">
        <f t="shared" ca="1" si="12"/>
        <v>16.947429643605556</v>
      </c>
      <c r="K207" s="6"/>
    </row>
    <row r="208" spans="4:11" ht="11.25" customHeight="1" x14ac:dyDescent="0.15">
      <c r="D208" s="44">
        <v>2087</v>
      </c>
      <c r="E208" s="21"/>
      <c r="F208" s="8"/>
      <c r="G208" s="8"/>
      <c r="H208" s="53"/>
      <c r="I208" s="6"/>
      <c r="J208" s="6">
        <f t="shared" ca="1" si="12"/>
        <v>17.049627127540418</v>
      </c>
      <c r="K208" s="6"/>
    </row>
    <row r="209" spans="4:11" ht="11.25" customHeight="1" x14ac:dyDescent="0.15">
      <c r="D209" s="44">
        <v>2088</v>
      </c>
      <c r="E209" s="21"/>
      <c r="F209" s="8"/>
      <c r="G209" s="8"/>
      <c r="H209" s="53"/>
      <c r="I209" s="6"/>
      <c r="J209" s="6">
        <f t="shared" ca="1" si="12"/>
        <v>17.147476342074157</v>
      </c>
      <c r="K209" s="6"/>
    </row>
    <row r="210" spans="4:11" ht="11.25" customHeight="1" x14ac:dyDescent="0.15">
      <c r="D210" s="44">
        <v>2089</v>
      </c>
      <c r="E210" s="21"/>
      <c r="F210" s="8"/>
      <c r="G210" s="8"/>
      <c r="H210" s="53"/>
      <c r="I210" s="6"/>
      <c r="J210" s="6">
        <f t="shared" ca="1" si="12"/>
        <v>17.241109232247243</v>
      </c>
      <c r="K210" s="6"/>
    </row>
    <row r="211" spans="4:11" ht="11.25" customHeight="1" x14ac:dyDescent="0.15">
      <c r="D211" s="44">
        <v>2090</v>
      </c>
      <c r="E211" s="21"/>
      <c r="F211" s="8"/>
      <c r="G211" s="8"/>
      <c r="H211" s="53"/>
      <c r="I211" s="6"/>
      <c r="J211" s="6">
        <f t="shared" ca="1" si="12"/>
        <v>17.330658916521017</v>
      </c>
      <c r="K211" s="6"/>
    </row>
    <row r="212" spans="4:11" ht="11.25" customHeight="1" x14ac:dyDescent="0.15">
      <c r="D212" s="44">
        <v>2091</v>
      </c>
      <c r="E212" s="21"/>
      <c r="F212" s="8"/>
      <c r="G212" s="8"/>
      <c r="H212" s="52"/>
      <c r="I212" s="6"/>
      <c r="J212" s="6">
        <f t="shared" ca="1" si="12"/>
        <v>17.416259061260899</v>
      </c>
      <c r="K212" s="6"/>
    </row>
    <row r="213" spans="4:11" ht="11.25" customHeight="1" x14ac:dyDescent="0.15">
      <c r="D213" s="44">
        <v>2092</v>
      </c>
      <c r="E213" s="21"/>
      <c r="F213" s="8"/>
      <c r="G213" s="8"/>
      <c r="H213" s="52"/>
      <c r="I213" s="6"/>
      <c r="J213" s="6">
        <f t="shared" ca="1" si="12"/>
        <v>17.498043311852786</v>
      </c>
      <c r="K213" s="6"/>
    </row>
    <row r="214" spans="4:11" ht="11.25" customHeight="1" x14ac:dyDescent="0.15">
      <c r="D214" s="44">
        <v>2093</v>
      </c>
      <c r="E214" s="21"/>
      <c r="F214" s="8"/>
      <c r="G214" s="8"/>
      <c r="H214" s="52"/>
      <c r="I214" s="6"/>
      <c r="J214" s="6">
        <f t="shared" ca="1" si="12"/>
        <v>17.576144778787043</v>
      </c>
      <c r="K214" s="6"/>
    </row>
    <row r="215" spans="4:11" ht="11.25" customHeight="1" x14ac:dyDescent="0.15">
      <c r="D215" s="44">
        <v>2094</v>
      </c>
      <c r="E215" s="21"/>
      <c r="F215" s="8"/>
      <c r="G215" s="8"/>
      <c r="H215" s="52"/>
      <c r="I215" s="6"/>
      <c r="J215" s="6">
        <f t="shared" ca="1" si="12"/>
        <v>17.650695576672977</v>
      </c>
      <c r="K215" s="6"/>
    </row>
    <row r="216" spans="4:11" ht="11.25" customHeight="1" x14ac:dyDescent="0.15">
      <c r="D216" s="44">
        <v>2095</v>
      </c>
      <c r="E216" s="21"/>
      <c r="F216" s="8"/>
      <c r="G216" s="8"/>
      <c r="H216" s="52"/>
      <c r="I216" s="6"/>
      <c r="J216" s="6">
        <f t="shared" ca="1" si="12"/>
        <v>17.721826413854615</v>
      </c>
      <c r="K216" s="6"/>
    </row>
    <row r="217" spans="4:11" ht="11.25" customHeight="1" x14ac:dyDescent="0.15">
      <c r="D217" s="44">
        <v>2096</v>
      </c>
      <c r="E217" s="21"/>
      <c r="F217" s="8"/>
      <c r="G217" s="8"/>
      <c r="H217" s="52"/>
      <c r="I217" s="6"/>
      <c r="J217" s="6">
        <f t="shared" ca="1" si="12"/>
        <v>17.78966623007771</v>
      </c>
      <c r="K217" s="6"/>
    </row>
    <row r="218" spans="4:11" ht="11.25" customHeight="1" x14ac:dyDescent="0.15">
      <c r="D218" s="44">
        <v>2097</v>
      </c>
      <c r="E218" s="21"/>
      <c r="F218" s="8"/>
      <c r="G218" s="8"/>
      <c r="H218" s="52"/>
      <c r="I218" s="6"/>
      <c r="J218" s="6">
        <f t="shared" ca="1" si="12"/>
        <v>17.854341879501735</v>
      </c>
      <c r="K218" s="6"/>
    </row>
    <row r="219" spans="4:11" ht="11.25" customHeight="1" x14ac:dyDescent="0.15">
      <c r="D219" s="44">
        <v>2098</v>
      </c>
      <c r="E219" s="21"/>
      <c r="F219" s="8"/>
      <c r="G219" s="8"/>
      <c r="H219" s="52"/>
      <c r="I219" s="6"/>
      <c r="J219" s="6">
        <f t="shared" ca="1" si="12"/>
        <v>17.915977856250482</v>
      </c>
      <c r="K219" s="6"/>
    </row>
    <row r="220" spans="4:11" ht="11.25" customHeight="1" x14ac:dyDescent="0.15">
      <c r="D220" s="44">
        <v>2099</v>
      </c>
      <c r="E220" s="21"/>
      <c r="F220" s="8"/>
      <c r="G220" s="8"/>
      <c r="H220" s="52"/>
      <c r="I220" s="6"/>
      <c r="J220" s="6">
        <f t="shared" ca="1" si="12"/>
        <v>17.974696059644309</v>
      </c>
      <c r="K220" s="6"/>
    </row>
    <row r="221" spans="4:11" ht="11.25" customHeight="1" x14ac:dyDescent="0.15">
      <c r="D221" s="44">
        <v>2100</v>
      </c>
      <c r="E221" s="21"/>
      <c r="F221" s="8"/>
      <c r="G221" s="8"/>
      <c r="H221" s="50"/>
      <c r="I221" s="6"/>
      <c r="J221" s="6">
        <f t="shared" ref="J221:J271" ca="1" si="13">F$1/(1+EXP((AVERAGE(E$2:F$2)-D221)*LN(81)/(F$2-E$2)))</f>
        <v>18.030615596248431</v>
      </c>
      <c r="K221" s="6"/>
    </row>
    <row r="222" spans="4:11" ht="11.25" customHeight="1" x14ac:dyDescent="0.15">
      <c r="D222" s="44">
        <v>2101</v>
      </c>
      <c r="E222" s="21"/>
      <c r="G222" s="8"/>
      <c r="H222" s="50"/>
      <c r="I222" s="56"/>
      <c r="J222" s="6">
        <f t="shared" ca="1" si="13"/>
        <v>18.083852615898831</v>
      </c>
      <c r="K222" s="6"/>
    </row>
    <row r="223" spans="4:11" ht="11.25" customHeight="1" x14ac:dyDescent="0.15">
      <c r="D223" s="44">
        <v>2102</v>
      </c>
      <c r="E223" s="21"/>
      <c r="H223" s="50"/>
      <c r="I223" s="56"/>
      <c r="J223" s="6">
        <f t="shared" ca="1" si="13"/>
        <v>18.134520178924042</v>
      </c>
      <c r="K223" s="6"/>
    </row>
    <row r="224" spans="4:11" ht="11.25" customHeight="1" x14ac:dyDescent="0.15">
      <c r="D224" s="44">
        <v>2103</v>
      </c>
      <c r="E224" s="21"/>
      <c r="H224" s="50"/>
      <c r="I224" s="56"/>
      <c r="J224" s="6">
        <f t="shared" ca="1" si="13"/>
        <v>18.182728151861784</v>
      </c>
      <c r="K224" s="6"/>
    </row>
    <row r="225" spans="4:11" ht="11.25" customHeight="1" x14ac:dyDescent="0.15">
      <c r="D225" s="44">
        <v>2104</v>
      </c>
      <c r="E225" s="21"/>
      <c r="H225" s="50"/>
      <c r="I225" s="56"/>
      <c r="J225" s="6">
        <f t="shared" ca="1" si="13"/>
        <v>18.228583129069115</v>
      </c>
      <c r="K225" s="6"/>
    </row>
    <row r="226" spans="4:11" ht="11.25" customHeight="1" x14ac:dyDescent="0.15">
      <c r="D226" s="44">
        <v>2105</v>
      </c>
      <c r="E226" s="21"/>
      <c r="H226" s="50"/>
      <c r="I226" s="56"/>
      <c r="J226" s="6">
        <f t="shared" ca="1" si="13"/>
        <v>18.272188377739301</v>
      </c>
      <c r="K226" s="6"/>
    </row>
    <row r="227" spans="4:11" ht="11.25" customHeight="1" x14ac:dyDescent="0.15">
      <c r="D227" s="44">
        <v>2106</v>
      </c>
      <c r="E227" s="21"/>
      <c r="H227" s="50"/>
      <c r="I227" s="56"/>
      <c r="J227" s="6">
        <f t="shared" ca="1" si="13"/>
        <v>18.313643803963402</v>
      </c>
      <c r="K227" s="6"/>
    </row>
    <row r="228" spans="4:11" ht="11.25" customHeight="1" x14ac:dyDescent="0.15">
      <c r="D228" s="44">
        <v>2107</v>
      </c>
      <c r="E228" s="21"/>
      <c r="H228" s="50"/>
      <c r="I228" s="56"/>
      <c r="J228" s="6">
        <f t="shared" ca="1" si="13"/>
        <v>18.353045937607114</v>
      </c>
      <c r="K228" s="6"/>
    </row>
    <row r="229" spans="4:11" ht="11.25" customHeight="1" x14ac:dyDescent="0.15">
      <c r="D229" s="44">
        <v>2108</v>
      </c>
      <c r="E229" s="21"/>
      <c r="H229" s="50"/>
      <c r="I229" s="56"/>
      <c r="J229" s="6">
        <f t="shared" ca="1" si="13"/>
        <v>18.39048793390997</v>
      </c>
      <c r="K229" s="6"/>
    </row>
    <row r="230" spans="4:11" ht="11.25" customHeight="1" x14ac:dyDescent="0.15">
      <c r="D230" s="44">
        <v>2109</v>
      </c>
      <c r="E230" s="21"/>
      <c r="H230" s="50"/>
      <c r="I230" s="56"/>
      <c r="J230" s="6">
        <f t="shared" ca="1" si="13"/>
        <v>18.426059589852553</v>
      </c>
      <c r="K230" s="6"/>
    </row>
    <row r="231" spans="4:11" ht="11.25" customHeight="1" x14ac:dyDescent="0.15">
      <c r="D231" s="44">
        <v>2110</v>
      </c>
      <c r="E231" s="21"/>
      <c r="H231" s="50"/>
      <c r="I231" s="56"/>
      <c r="J231" s="6">
        <f t="shared" ca="1" si="13"/>
        <v>18.45984737347576</v>
      </c>
      <c r="K231" s="6"/>
    </row>
    <row r="232" spans="4:11" ht="11.25" customHeight="1" x14ac:dyDescent="0.15">
      <c r="D232" s="44">
        <v>2111</v>
      </c>
      <c r="E232" s="21"/>
      <c r="H232" s="50"/>
      <c r="I232" s="56"/>
      <c r="J232" s="6">
        <f t="shared" ca="1" si="13"/>
        <v>18.4919344644725</v>
      </c>
      <c r="K232" s="6"/>
    </row>
    <row r="233" spans="4:11" ht="11.25" customHeight="1" x14ac:dyDescent="0.15">
      <c r="D233" s="44">
        <v>2112</v>
      </c>
      <c r="E233" s="21"/>
      <c r="H233" s="50"/>
      <c r="I233" s="56"/>
      <c r="J233" s="6">
        <f t="shared" ca="1" si="13"/>
        <v>18.522400804505498</v>
      </c>
      <c r="K233" s="6"/>
    </row>
    <row r="234" spans="4:11" ht="11.25" customHeight="1" x14ac:dyDescent="0.15">
      <c r="D234" s="44">
        <v>2113</v>
      </c>
      <c r="E234" s="21"/>
      <c r="H234" s="50"/>
      <c r="I234" s="56"/>
      <c r="J234" s="6">
        <f t="shared" ca="1" si="13"/>
        <v>18.551323155833426</v>
      </c>
      <c r="K234" s="6"/>
    </row>
    <row r="235" spans="4:11" ht="11.25" customHeight="1" x14ac:dyDescent="0.15">
      <c r="D235" s="44">
        <v>2114</v>
      </c>
      <c r="E235" s="21"/>
      <c r="H235" s="50"/>
      <c r="I235" s="56"/>
      <c r="J235" s="6">
        <f t="shared" ca="1" si="13"/>
        <v>18.578775166951299</v>
      </c>
      <c r="K235" s="6"/>
    </row>
    <row r="236" spans="4:11" ht="11.25" customHeight="1" x14ac:dyDescent="0.15">
      <c r="D236" s="44">
        <v>2115</v>
      </c>
      <c r="E236" s="21"/>
      <c r="H236" s="50"/>
      <c r="I236" s="56"/>
      <c r="J236" s="6">
        <f t="shared" ca="1" si="13"/>
        <v>18.604827444068675</v>
      </c>
      <c r="K236" s="6"/>
    </row>
    <row r="237" spans="4:11" ht="11.25" customHeight="1" x14ac:dyDescent="0.15">
      <c r="D237" s="44">
        <v>2116</v>
      </c>
      <c r="E237" s="21"/>
      <c r="H237" s="50"/>
      <c r="I237" s="56"/>
      <c r="J237" s="6">
        <f t="shared" ca="1" si="13"/>
        <v>18.62954762736074</v>
      </c>
      <c r="K237" s="6"/>
    </row>
    <row r="238" spans="4:11" ht="11.25" customHeight="1" x14ac:dyDescent="0.15">
      <c r="D238" s="44">
        <v>2117</v>
      </c>
      <c r="E238" s="21"/>
      <c r="H238" s="50"/>
      <c r="I238" s="56"/>
      <c r="J238" s="6">
        <f t="shared" ca="1" si="13"/>
        <v>18.653000471032193</v>
      </c>
      <c r="K238" s="6"/>
    </row>
    <row r="239" spans="4:11" ht="11.25" customHeight="1" x14ac:dyDescent="0.15">
      <c r="D239" s="44">
        <v>2118</v>
      </c>
      <c r="E239" s="21"/>
      <c r="H239" s="50"/>
      <c r="I239" s="56"/>
      <c r="J239" s="6">
        <f t="shared" ca="1" si="13"/>
        <v>18.675247926332311</v>
      </c>
      <c r="K239" s="6"/>
    </row>
    <row r="240" spans="4:11" ht="11.25" customHeight="1" x14ac:dyDescent="0.15">
      <c r="D240" s="44">
        <v>2119</v>
      </c>
      <c r="E240" s="21"/>
      <c r="I240" s="56"/>
      <c r="J240" s="6">
        <f t="shared" ca="1" si="13"/>
        <v>18.696349226750971</v>
      </c>
      <c r="K240" s="6"/>
    </row>
    <row r="241" spans="4:11" ht="11.25" customHeight="1" x14ac:dyDescent="0.15">
      <c r="D241" s="44">
        <v>2120</v>
      </c>
      <c r="E241" s="21"/>
      <c r="I241" s="56"/>
      <c r="J241" s="6">
        <f t="shared" ca="1" si="13"/>
        <v>18.716360974710813</v>
      </c>
      <c r="K241" s="6"/>
    </row>
    <row r="242" spans="4:11" ht="11.25" customHeight="1" x14ac:dyDescent="0.15">
      <c r="D242" s="44">
        <v>2121</v>
      </c>
      <c r="E242" s="21"/>
      <c r="I242" s="56"/>
      <c r="J242" s="6">
        <f t="shared" ca="1" si="13"/>
        <v>18.735337229148886</v>
      </c>
      <c r="K242" s="6"/>
    </row>
    <row r="243" spans="4:11" ht="11.25" customHeight="1" x14ac:dyDescent="0.15">
      <c r="D243" s="44">
        <v>2122</v>
      </c>
      <c r="E243" s="21"/>
      <c r="I243" s="56"/>
      <c r="J243" s="6">
        <f t="shared" ca="1" si="13"/>
        <v>18.753329593453994</v>
      </c>
      <c r="K243" s="6"/>
    </row>
    <row r="244" spans="4:11" ht="11.25" customHeight="1" x14ac:dyDescent="0.15">
      <c r="D244" s="44">
        <v>2123</v>
      </c>
      <c r="E244" s="21"/>
      <c r="I244" s="56"/>
      <c r="J244" s="6">
        <f t="shared" ca="1" si="13"/>
        <v>18.770387303291891</v>
      </c>
      <c r="K244" s="6"/>
    </row>
    <row r="245" spans="4:11" ht="11.25" customHeight="1" x14ac:dyDescent="0.15">
      <c r="D245" s="44">
        <v>2124</v>
      </c>
      <c r="E245" s="16"/>
      <c r="I245" s="56"/>
      <c r="J245" s="6">
        <f t="shared" ca="1" si="13"/>
        <v>18.786557313911445</v>
      </c>
      <c r="K245" s="6"/>
    </row>
    <row r="246" spans="4:11" ht="11.25" customHeight="1" x14ac:dyDescent="0.15">
      <c r="D246" s="44">
        <v>2125</v>
      </c>
      <c r="E246" s="16"/>
      <c r="I246" s="56"/>
      <c r="J246" s="6">
        <f t="shared" ca="1" si="13"/>
        <v>18.80188438657995</v>
      </c>
      <c r="K246" s="6"/>
    </row>
    <row r="247" spans="4:11" ht="11.25" customHeight="1" x14ac:dyDescent="0.15">
      <c r="D247" s="44">
        <v>2126</v>
      </c>
      <c r="E247" s="16"/>
      <c r="I247" s="56"/>
      <c r="J247" s="6">
        <f t="shared" ca="1" si="13"/>
        <v>18.816411173846131</v>
      </c>
      <c r="K247" s="6"/>
    </row>
    <row r="248" spans="4:11" ht="11.25" customHeight="1" x14ac:dyDescent="0.15">
      <c r="D248" s="44">
        <v>2127</v>
      </c>
      <c r="E248" s="16"/>
      <c r="I248" s="56"/>
      <c r="J248" s="6">
        <f t="shared" ca="1" si="13"/>
        <v>18.830178303374367</v>
      </c>
      <c r="K248" s="6"/>
    </row>
    <row r="249" spans="4:11" ht="11.25" customHeight="1" x14ac:dyDescent="0.15">
      <c r="D249" s="44">
        <v>2128</v>
      </c>
      <c r="E249" s="16"/>
      <c r="I249" s="56"/>
      <c r="J249" s="6">
        <f t="shared" ca="1" si="13"/>
        <v>18.843224460135009</v>
      </c>
      <c r="K249" s="6"/>
    </row>
    <row r="250" spans="4:11" ht="11.25" customHeight="1" x14ac:dyDescent="0.15">
      <c r="D250" s="44">
        <v>2129</v>
      </c>
      <c r="E250" s="16"/>
      <c r="I250" s="56"/>
      <c r="J250" s="6">
        <f t="shared" ca="1" si="13"/>
        <v>18.855586466771982</v>
      </c>
      <c r="K250" s="6"/>
    </row>
    <row r="251" spans="4:11" ht="11.25" customHeight="1" x14ac:dyDescent="0.15">
      <c r="D251" s="44">
        <v>2130</v>
      </c>
      <c r="E251" s="16"/>
      <c r="I251" s="56"/>
      <c r="J251" s="6">
        <f t="shared" ca="1" si="13"/>
        <v>18.867299362002012</v>
      </c>
      <c r="K251" s="6"/>
    </row>
    <row r="252" spans="4:11" ht="11.25" customHeight="1" x14ac:dyDescent="0.15">
      <c r="D252" s="44">
        <v>2131</v>
      </c>
      <c r="E252" s="16"/>
      <c r="I252" s="56"/>
      <c r="J252" s="6">
        <f t="shared" ca="1" si="13"/>
        <v>18.878396476929062</v>
      </c>
      <c r="K252" s="6"/>
    </row>
    <row r="253" spans="4:11" ht="11.25" customHeight="1" x14ac:dyDescent="0.15">
      <c r="D253" s="44">
        <v>2132</v>
      </c>
      <c r="E253" s="16"/>
      <c r="I253" s="56"/>
      <c r="J253" s="6">
        <f t="shared" ca="1" si="13"/>
        <v>18.888909509183616</v>
      </c>
      <c r="K253" s="6"/>
    </row>
    <row r="254" spans="4:11" ht="11.25" customHeight="1" x14ac:dyDescent="0.15">
      <c r="D254" s="44">
        <v>2133</v>
      </c>
      <c r="E254" s="16"/>
      <c r="I254" s="56"/>
      <c r="J254" s="6">
        <f t="shared" ca="1" si="13"/>
        <v>18.898868594819596</v>
      </c>
      <c r="K254" s="6"/>
    </row>
    <row r="255" spans="4:11" ht="11.25" customHeight="1" x14ac:dyDescent="0.15">
      <c r="D255" s="44">
        <v>2134</v>
      </c>
      <c r="E255" s="16"/>
      <c r="I255" s="56"/>
      <c r="J255" s="6">
        <f t="shared" ca="1" si="13"/>
        <v>18.90830237792202</v>
      </c>
      <c r="K255" s="6"/>
    </row>
    <row r="256" spans="4:11" ht="11.25" customHeight="1" x14ac:dyDescent="0.15">
      <c r="D256" s="44">
        <v>2135</v>
      </c>
      <c r="E256" s="16"/>
      <c r="I256" s="56"/>
      <c r="J256" s="6">
        <f t="shared" ca="1" si="13"/>
        <v>18.917238077896425</v>
      </c>
      <c r="K256" s="6"/>
    </row>
    <row r="257" spans="4:11" ht="11.25" customHeight="1" x14ac:dyDescent="0.15">
      <c r="D257" s="44">
        <v>2136</v>
      </c>
      <c r="E257" s="16"/>
      <c r="I257" s="56"/>
      <c r="J257" s="6">
        <f t="shared" ca="1" si="13"/>
        <v>18.925701554426606</v>
      </c>
      <c r="K257" s="6"/>
    </row>
    <row r="258" spans="4:11" ht="11.25" customHeight="1" x14ac:dyDescent="0.15">
      <c r="D258" s="44">
        <v>2137</v>
      </c>
      <c r="E258" s="16"/>
      <c r="I258" s="56"/>
      <c r="J258" s="6">
        <f t="shared" ca="1" si="13"/>
        <v>18.933717370100936</v>
      </c>
      <c r="K258" s="6"/>
    </row>
    <row r="259" spans="4:11" ht="11.25" customHeight="1" x14ac:dyDescent="0.15">
      <c r="D259" s="44">
        <v>2138</v>
      </c>
      <c r="E259" s="16"/>
      <c r="I259" s="56"/>
      <c r="J259" s="6">
        <f t="shared" ca="1" si="13"/>
        <v>18.941308850719125</v>
      </c>
      <c r="K259" s="6"/>
    </row>
    <row r="260" spans="4:11" ht="11.25" customHeight="1" x14ac:dyDescent="0.15">
      <c r="D260" s="44">
        <v>2139</v>
      </c>
      <c r="E260" s="16"/>
      <c r="I260" s="56"/>
      <c r="J260" s="6">
        <f t="shared" ca="1" si="13"/>
        <v>18.94849814330145</v>
      </c>
      <c r="K260" s="6"/>
    </row>
    <row r="261" spans="4:11" ht="11.25" customHeight="1" x14ac:dyDescent="0.15">
      <c r="D261" s="44">
        <v>2140</v>
      </c>
      <c r="E261" s="16"/>
      <c r="I261" s="56"/>
      <c r="J261" s="6">
        <f t="shared" ca="1" si="13"/>
        <v>18.955306271830935</v>
      </c>
      <c r="K261" s="6"/>
    </row>
    <row r="262" spans="4:11" ht="11.25" customHeight="1" x14ac:dyDescent="0.15">
      <c r="D262" s="44">
        <v>2141</v>
      </c>
      <c r="E262" s="16"/>
      <c r="I262" s="56"/>
      <c r="J262" s="6">
        <f t="shared" ca="1" si="13"/>
        <v>18.96175319076637</v>
      </c>
      <c r="K262" s="6"/>
    </row>
    <row r="263" spans="4:11" ht="11.25" customHeight="1" x14ac:dyDescent="0.15">
      <c r="D263" s="44">
        <v>2142</v>
      </c>
      <c r="E263" s="16"/>
      <c r="I263" s="56"/>
      <c r="J263" s="6">
        <f t="shared" ca="1" si="13"/>
        <v>18.96785783636993</v>
      </c>
      <c r="K263" s="6"/>
    </row>
    <row r="264" spans="4:11" ht="11.25" customHeight="1" x14ac:dyDescent="0.15">
      <c r="D264" s="44">
        <v>2143</v>
      </c>
      <c r="E264" s="16"/>
      <c r="I264" s="56"/>
      <c r="J264" s="6">
        <f t="shared" ca="1" si="13"/>
        <v>18.973638175898206</v>
      </c>
      <c r="K264" s="6"/>
    </row>
    <row r="265" spans="4:11" ht="11.25" customHeight="1" x14ac:dyDescent="0.15">
      <c r="D265" s="44">
        <v>2144</v>
      </c>
      <c r="E265" s="16"/>
      <c r="I265" s="56"/>
      <c r="J265" s="6">
        <f t="shared" ca="1" si="13"/>
        <v>18.979111254709512</v>
      </c>
      <c r="K265" s="6"/>
    </row>
    <row r="266" spans="4:11" ht="11.25" customHeight="1" x14ac:dyDescent="0.15">
      <c r="D266" s="44">
        <v>2145</v>
      </c>
      <c r="E266" s="16"/>
      <c r="I266" s="56"/>
      <c r="J266" s="6">
        <f t="shared" ca="1" si="13"/>
        <v>18.984293241343529</v>
      </c>
      <c r="K266" s="6"/>
    </row>
    <row r="267" spans="4:11" ht="11.25" customHeight="1" x14ac:dyDescent="0.15">
      <c r="D267" s="44">
        <v>2146</v>
      </c>
      <c r="E267" s="16"/>
      <c r="I267" s="56"/>
      <c r="J267" s="6">
        <f t="shared" ca="1" si="13"/>
        <v>18.989199470631668</v>
      </c>
      <c r="K267" s="6"/>
    </row>
    <row r="268" spans="4:11" ht="11.25" customHeight="1" x14ac:dyDescent="0.15">
      <c r="D268" s="44">
        <v>2147</v>
      </c>
      <c r="E268" s="16"/>
      <c r="I268" s="56"/>
      <c r="J268" s="6">
        <f t="shared" ca="1" si="13"/>
        <v>18.99384448489862</v>
      </c>
      <c r="K268" s="6"/>
    </row>
    <row r="269" spans="4:11" ht="11.25" customHeight="1" x14ac:dyDescent="0.15">
      <c r="D269" s="44">
        <v>2148</v>
      </c>
      <c r="E269" s="16"/>
      <c r="I269" s="56"/>
      <c r="J269" s="6">
        <f t="shared" ca="1" si="13"/>
        <v>18.998242073316494</v>
      </c>
      <c r="K269" s="6"/>
    </row>
    <row r="270" spans="4:11" ht="11.25" customHeight="1" x14ac:dyDescent="0.15">
      <c r="D270" s="44">
        <v>2149</v>
      </c>
      <c r="E270" s="16"/>
      <c r="I270" s="56"/>
      <c r="J270" s="6">
        <f t="shared" ca="1" si="13"/>
        <v>19.002405309473918</v>
      </c>
      <c r="K270" s="6"/>
    </row>
    <row r="271" spans="4:11" ht="11.25" customHeight="1" x14ac:dyDescent="0.15">
      <c r="D271" s="44">
        <v>2150</v>
      </c>
      <c r="E271" s="16"/>
      <c r="I271" s="56"/>
      <c r="J271" s="6">
        <f t="shared" ca="1" si="13"/>
        <v>19.006346587222737</v>
      </c>
      <c r="K271" s="6"/>
    </row>
    <row r="272" spans="4:11" ht="11.25" customHeight="1" x14ac:dyDescent="0.15">
      <c r="D272" s="44"/>
      <c r="E272" s="16"/>
      <c r="I272" s="56"/>
      <c r="J272" s="6"/>
      <c r="K272" s="6"/>
    </row>
    <row r="273" spans="4:11" ht="11.25" customHeight="1" x14ac:dyDescent="0.15">
      <c r="D273" s="44"/>
      <c r="E273" s="16"/>
      <c r="I273" s="56"/>
      <c r="J273" s="6"/>
      <c r="K273" s="6"/>
    </row>
    <row r="274" spans="4:11" ht="11.25" customHeight="1" x14ac:dyDescent="0.15">
      <c r="D274" s="44"/>
      <c r="E274" s="16"/>
      <c r="I274" s="56"/>
      <c r="J274" s="6"/>
      <c r="K274" s="6"/>
    </row>
    <row r="275" spans="4:11" ht="11.25" customHeight="1" x14ac:dyDescent="0.15">
      <c r="D275" s="44"/>
      <c r="E275" s="16"/>
      <c r="I275" s="56"/>
      <c r="J275" s="6"/>
      <c r="K275" s="6"/>
    </row>
    <row r="276" spans="4:11" ht="11.25" customHeight="1" x14ac:dyDescent="0.15">
      <c r="D276" s="44"/>
      <c r="E276" s="16"/>
      <c r="I276" s="56"/>
      <c r="J276" s="6"/>
      <c r="K276" s="6"/>
    </row>
    <row r="277" spans="4:11" ht="11.25" customHeight="1" x14ac:dyDescent="0.15">
      <c r="D277" s="44"/>
      <c r="E277" s="16"/>
      <c r="I277" s="56"/>
      <c r="J277" s="6"/>
      <c r="K277" s="6"/>
    </row>
    <row r="278" spans="4:11" ht="11.25" customHeight="1" x14ac:dyDescent="0.15">
      <c r="D278" s="44"/>
      <c r="E278" s="16"/>
      <c r="I278" s="56"/>
      <c r="J278" s="6"/>
      <c r="K278" s="6"/>
    </row>
    <row r="279" spans="4:11" ht="11.25" customHeight="1" x14ac:dyDescent="0.15">
      <c r="D279" s="44"/>
      <c r="E279" s="16"/>
      <c r="I279" s="56"/>
      <c r="J279" s="6"/>
      <c r="K279" s="6"/>
    </row>
    <row r="280" spans="4:11" ht="11.25" customHeight="1" x14ac:dyDescent="0.15">
      <c r="D280" s="44"/>
      <c r="E280" s="16"/>
      <c r="I280" s="56"/>
      <c r="J280" s="6"/>
      <c r="K280" s="6"/>
    </row>
    <row r="281" spans="4:11" ht="11.25" customHeight="1" x14ac:dyDescent="0.15">
      <c r="D281" s="44"/>
      <c r="E281" s="16"/>
      <c r="I281" s="56"/>
      <c r="J281" s="6"/>
      <c r="K281" s="6"/>
    </row>
    <row r="282" spans="4:11" ht="11.25" customHeight="1" x14ac:dyDescent="0.15">
      <c r="D282" s="44"/>
      <c r="E282" s="16"/>
      <c r="I282" s="56"/>
      <c r="J282" s="6"/>
      <c r="K282" s="6"/>
    </row>
    <row r="283" spans="4:11" ht="11.25" customHeight="1" x14ac:dyDescent="0.15">
      <c r="D283" s="44"/>
      <c r="E283" s="16"/>
      <c r="I283" s="56"/>
      <c r="J283" s="6"/>
      <c r="K283" s="6"/>
    </row>
    <row r="284" spans="4:11" ht="11.25" customHeight="1" x14ac:dyDescent="0.15">
      <c r="D284" s="44"/>
      <c r="E284" s="16"/>
      <c r="I284" s="56"/>
      <c r="J284" s="6"/>
      <c r="K284" s="6"/>
    </row>
    <row r="285" spans="4:11" ht="11.25" customHeight="1" x14ac:dyDescent="0.15">
      <c r="D285" s="44"/>
      <c r="E285" s="16"/>
      <c r="I285" s="56"/>
      <c r="J285" s="6"/>
      <c r="K285" s="6"/>
    </row>
    <row r="286" spans="4:11" ht="11.25" customHeight="1" x14ac:dyDescent="0.15">
      <c r="D286" s="44"/>
      <c r="E286" s="16"/>
      <c r="I286" s="56"/>
      <c r="J286" s="6"/>
      <c r="K286" s="6"/>
    </row>
    <row r="287" spans="4:11" ht="11.25" customHeight="1" x14ac:dyDescent="0.15">
      <c r="D287" s="44"/>
      <c r="E287" s="16"/>
      <c r="I287" s="56"/>
      <c r="J287" s="6"/>
      <c r="K287" s="6"/>
    </row>
    <row r="288" spans="4:11" ht="11.25" customHeight="1" x14ac:dyDescent="0.15">
      <c r="D288" s="44"/>
      <c r="E288" s="16"/>
      <c r="I288" s="56"/>
      <c r="J288" s="6"/>
      <c r="K288" s="6"/>
    </row>
    <row r="289" spans="4:11" ht="11.25" customHeight="1" x14ac:dyDescent="0.15">
      <c r="D289" s="44"/>
      <c r="E289" s="16"/>
      <c r="I289" s="56"/>
      <c r="J289" s="6"/>
      <c r="K289" s="6"/>
    </row>
    <row r="290" spans="4:11" ht="11.25" customHeight="1" x14ac:dyDescent="0.15">
      <c r="D290" s="44"/>
      <c r="E290" s="16"/>
      <c r="I290" s="56"/>
      <c r="J290" s="6"/>
      <c r="K290" s="6"/>
    </row>
    <row r="291" spans="4:11" ht="11.25" customHeight="1" x14ac:dyDescent="0.15">
      <c r="D291" s="44"/>
      <c r="E291" s="16"/>
      <c r="I291" s="56"/>
      <c r="J291" s="6"/>
      <c r="K291" s="6"/>
    </row>
    <row r="292" spans="4:11" ht="11.25" customHeight="1" x14ac:dyDescent="0.15">
      <c r="D292" s="44"/>
      <c r="E292" s="16"/>
      <c r="I292" s="56"/>
      <c r="J292" s="6"/>
      <c r="K292" s="6"/>
    </row>
    <row r="293" spans="4:11" ht="11.25" customHeight="1" x14ac:dyDescent="0.15">
      <c r="D293" s="44"/>
      <c r="E293" s="16"/>
      <c r="I293" s="56"/>
      <c r="J293" s="6"/>
      <c r="K293" s="6"/>
    </row>
    <row r="294" spans="4:11" ht="11.25" customHeight="1" x14ac:dyDescent="0.15">
      <c r="D294" s="44"/>
      <c r="E294" s="16"/>
      <c r="I294" s="56"/>
      <c r="J294" s="6"/>
      <c r="K294" s="6"/>
    </row>
    <row r="295" spans="4:11" ht="11.25" customHeight="1" x14ac:dyDescent="0.15">
      <c r="D295" s="44"/>
      <c r="E295" s="16"/>
      <c r="I295" s="56"/>
      <c r="J295" s="6"/>
      <c r="K295" s="6"/>
    </row>
    <row r="296" spans="4:11" ht="11.25" customHeight="1" x14ac:dyDescent="0.15">
      <c r="D296" s="44"/>
      <c r="E296" s="16"/>
      <c r="I296" s="56"/>
      <c r="J296" s="6"/>
      <c r="K296" s="6"/>
    </row>
    <row r="297" spans="4:11" ht="11.25" customHeight="1" x14ac:dyDescent="0.15">
      <c r="D297" s="44"/>
      <c r="E297" s="16"/>
      <c r="I297" s="56"/>
      <c r="J297" s="6"/>
      <c r="K297" s="6"/>
    </row>
    <row r="298" spans="4:11" ht="11.25" customHeight="1" x14ac:dyDescent="0.15">
      <c r="D298" s="44"/>
      <c r="E298" s="16"/>
      <c r="I298" s="56"/>
      <c r="J298" s="6"/>
      <c r="K298" s="6"/>
    </row>
    <row r="299" spans="4:11" ht="11.25" customHeight="1" x14ac:dyDescent="0.15">
      <c r="D299" s="44"/>
      <c r="E299" s="16"/>
      <c r="I299" s="56"/>
      <c r="J299" s="6"/>
      <c r="K299" s="6"/>
    </row>
    <row r="300" spans="4:11" ht="11.25" customHeight="1" x14ac:dyDescent="0.15">
      <c r="D300" s="44"/>
      <c r="E300" s="16"/>
      <c r="I300" s="56"/>
      <c r="J300" s="6"/>
      <c r="K300" s="6"/>
    </row>
    <row r="301" spans="4:11" ht="11.25" customHeight="1" x14ac:dyDescent="0.15">
      <c r="D301" s="44"/>
      <c r="E301" s="16"/>
      <c r="I301" s="56"/>
      <c r="J301" s="6"/>
      <c r="K301" s="6"/>
    </row>
    <row r="302" spans="4:11" ht="11.25" customHeight="1" x14ac:dyDescent="0.15">
      <c r="D302" s="44"/>
      <c r="E302" s="16"/>
      <c r="I302" s="56"/>
      <c r="J302" s="6"/>
      <c r="K302" s="6"/>
    </row>
    <row r="303" spans="4:11" ht="11.25" customHeight="1" x14ac:dyDescent="0.15">
      <c r="D303" s="44"/>
      <c r="E303" s="16"/>
      <c r="I303" s="56"/>
      <c r="J303" s="6"/>
      <c r="K303" s="6"/>
    </row>
    <row r="304" spans="4:11" ht="11.25" customHeight="1" x14ac:dyDescent="0.15">
      <c r="D304" s="44"/>
      <c r="E304" s="16"/>
      <c r="I304" s="56"/>
      <c r="J304" s="6"/>
      <c r="K304" s="6"/>
    </row>
    <row r="305" spans="4:11" ht="11.25" customHeight="1" x14ac:dyDescent="0.15">
      <c r="D305" s="44"/>
      <c r="E305" s="16"/>
      <c r="I305" s="56"/>
      <c r="J305" s="6"/>
      <c r="K305" s="6"/>
    </row>
    <row r="306" spans="4:11" ht="11.25" customHeight="1" x14ac:dyDescent="0.15">
      <c r="D306" s="44"/>
      <c r="E306" s="16"/>
      <c r="I306" s="56"/>
      <c r="J306" s="6"/>
      <c r="K306" s="6"/>
    </row>
    <row r="307" spans="4:11" ht="11.25" customHeight="1" x14ac:dyDescent="0.15">
      <c r="D307" s="44"/>
      <c r="E307" s="16"/>
      <c r="I307" s="56"/>
      <c r="J307" s="6"/>
      <c r="K307" s="6"/>
    </row>
    <row r="308" spans="4:11" ht="11.25" customHeight="1" x14ac:dyDescent="0.15">
      <c r="D308" s="44"/>
      <c r="E308" s="16"/>
      <c r="I308" s="56"/>
      <c r="J308" s="6"/>
      <c r="K308" s="6"/>
    </row>
    <row r="309" spans="4:11" ht="11.25" customHeight="1" x14ac:dyDescent="0.15">
      <c r="D309" s="44"/>
      <c r="E309" s="16"/>
      <c r="I309" s="56"/>
      <c r="J309" s="6"/>
      <c r="K309" s="6"/>
    </row>
    <row r="310" spans="4:11" ht="11.25" customHeight="1" x14ac:dyDescent="0.15">
      <c r="D310" s="44"/>
      <c r="E310" s="16"/>
      <c r="I310" s="56"/>
      <c r="J310" s="6"/>
      <c r="K310" s="6"/>
    </row>
    <row r="311" spans="4:11" ht="11.25" customHeight="1" x14ac:dyDescent="0.15">
      <c r="D311" s="44"/>
      <c r="E311" s="16"/>
      <c r="I311" s="56"/>
      <c r="J311" s="6"/>
      <c r="K311" s="6"/>
    </row>
    <row r="312" spans="4:11" ht="11.25" customHeight="1" x14ac:dyDescent="0.15">
      <c r="D312" s="44"/>
      <c r="E312" s="16"/>
      <c r="I312" s="56"/>
      <c r="J312" s="6"/>
      <c r="K312" s="6"/>
    </row>
    <row r="313" spans="4:11" ht="11.25" customHeight="1" x14ac:dyDescent="0.15">
      <c r="D313" s="44"/>
      <c r="E313" s="16"/>
      <c r="I313" s="56"/>
      <c r="J313" s="6"/>
      <c r="K313" s="6"/>
    </row>
    <row r="314" spans="4:11" ht="11.25" customHeight="1" x14ac:dyDescent="0.15">
      <c r="D314" s="44"/>
      <c r="E314" s="16"/>
      <c r="I314" s="56"/>
      <c r="J314" s="6"/>
      <c r="K314" s="6"/>
    </row>
    <row r="315" spans="4:11" ht="11.25" customHeight="1" x14ac:dyDescent="0.15">
      <c r="D315" s="44"/>
      <c r="E315" s="16"/>
      <c r="I315" s="56"/>
      <c r="J315" s="6"/>
      <c r="K315" s="6"/>
    </row>
    <row r="316" spans="4:11" ht="11.25" customHeight="1" x14ac:dyDescent="0.15">
      <c r="D316" s="44"/>
      <c r="E316" s="16"/>
      <c r="I316" s="56"/>
      <c r="J316" s="6"/>
      <c r="K316" s="6"/>
    </row>
    <row r="317" spans="4:11" ht="11.25" customHeight="1" x14ac:dyDescent="0.15">
      <c r="D317" s="44"/>
      <c r="E317" s="16"/>
      <c r="I317" s="56"/>
      <c r="J317" s="6"/>
      <c r="K317" s="6"/>
    </row>
    <row r="318" spans="4:11" ht="11.25" customHeight="1" x14ac:dyDescent="0.15">
      <c r="D318" s="44"/>
      <c r="E318" s="16"/>
      <c r="I318" s="56"/>
      <c r="J318" s="6"/>
      <c r="K318" s="6"/>
    </row>
    <row r="319" spans="4:11" ht="11.25" customHeight="1" x14ac:dyDescent="0.15">
      <c r="D319" s="44"/>
      <c r="E319" s="16"/>
      <c r="I319" s="56"/>
      <c r="J319" s="6"/>
      <c r="K319" s="6"/>
    </row>
    <row r="320" spans="4:11" ht="11.25" customHeight="1" x14ac:dyDescent="0.15">
      <c r="D320" s="44"/>
      <c r="E320" s="16"/>
      <c r="I320" s="56"/>
      <c r="J320" s="6"/>
      <c r="K320" s="6"/>
    </row>
    <row r="321" spans="4:11" ht="11.25" customHeight="1" x14ac:dyDescent="0.15">
      <c r="D321" s="44"/>
      <c r="E321" s="16"/>
      <c r="I321" s="56"/>
      <c r="J321" s="6"/>
      <c r="K321" s="6"/>
    </row>
    <row r="322" spans="4:11" ht="11.25" customHeight="1" x14ac:dyDescent="0.15">
      <c r="D322" s="44"/>
      <c r="E322" s="16"/>
      <c r="I322" s="56"/>
      <c r="J322" s="6"/>
      <c r="K322" s="6"/>
    </row>
    <row r="323" spans="4:11" ht="11.25" customHeight="1" x14ac:dyDescent="0.15">
      <c r="D323" s="44"/>
      <c r="E323" s="16"/>
      <c r="I323" s="56"/>
      <c r="J323" s="6"/>
      <c r="K323" s="6"/>
    </row>
    <row r="324" spans="4:11" ht="11.25" customHeight="1" x14ac:dyDescent="0.15">
      <c r="D324" s="44"/>
      <c r="E324" s="16"/>
      <c r="I324" s="56"/>
      <c r="J324" s="6"/>
      <c r="K324" s="6"/>
    </row>
    <row r="325" spans="4:11" ht="11.25" customHeight="1" x14ac:dyDescent="0.15">
      <c r="D325" s="44"/>
      <c r="E325" s="16"/>
      <c r="I325" s="56"/>
      <c r="J325" s="6"/>
      <c r="K325" s="6"/>
    </row>
    <row r="326" spans="4:11" ht="11.25" customHeight="1" x14ac:dyDescent="0.15">
      <c r="D326" s="44"/>
      <c r="E326" s="16"/>
      <c r="I326" s="56"/>
      <c r="J326" s="6"/>
      <c r="K326" s="6"/>
    </row>
    <row r="327" spans="4:11" ht="11.25" customHeight="1" x14ac:dyDescent="0.15">
      <c r="D327" s="44"/>
      <c r="E327" s="16"/>
      <c r="I327" s="56"/>
      <c r="J327" s="6"/>
      <c r="K327" s="6"/>
    </row>
    <row r="328" spans="4:11" ht="11.25" customHeight="1" x14ac:dyDescent="0.15">
      <c r="D328" s="44"/>
      <c r="E328" s="16"/>
      <c r="I328" s="56"/>
      <c r="J328" s="6"/>
      <c r="K328" s="6"/>
    </row>
    <row r="329" spans="4:11" ht="11.25" customHeight="1" x14ac:dyDescent="0.15">
      <c r="D329" s="44"/>
      <c r="E329" s="16"/>
      <c r="I329" s="56"/>
      <c r="J329" s="6"/>
      <c r="K329" s="6"/>
    </row>
    <row r="330" spans="4:11" ht="11.25" customHeight="1" x14ac:dyDescent="0.15">
      <c r="D330" s="44"/>
      <c r="E330" s="16"/>
      <c r="I330" s="56"/>
      <c r="J330" s="6"/>
      <c r="K330" s="6"/>
    </row>
    <row r="331" spans="4:11" ht="11.25" customHeight="1" x14ac:dyDescent="0.15">
      <c r="D331" s="44"/>
      <c r="E331" s="16"/>
      <c r="I331" s="56"/>
      <c r="J331" s="6"/>
      <c r="K331" s="6"/>
    </row>
    <row r="332" spans="4:11" ht="11.25" customHeight="1" x14ac:dyDescent="0.15">
      <c r="D332" s="44"/>
      <c r="E332" s="16"/>
      <c r="I332" s="56"/>
      <c r="J332" s="6"/>
      <c r="K332" s="6"/>
    </row>
    <row r="333" spans="4:11" ht="11.25" customHeight="1" x14ac:dyDescent="0.15">
      <c r="D333" s="44"/>
      <c r="E333" s="16"/>
      <c r="I333" s="56"/>
      <c r="J333" s="6"/>
      <c r="K333" s="6"/>
    </row>
    <row r="334" spans="4:11" ht="11.25" customHeight="1" x14ac:dyDescent="0.15">
      <c r="D334" s="44"/>
      <c r="E334" s="16"/>
      <c r="I334" s="56"/>
      <c r="J334" s="6"/>
      <c r="K334" s="6"/>
    </row>
    <row r="335" spans="4:11" ht="11.25" customHeight="1" x14ac:dyDescent="0.15">
      <c r="D335" s="44"/>
      <c r="E335" s="16"/>
      <c r="I335" s="56"/>
      <c r="J335" s="6"/>
      <c r="K335" s="6"/>
    </row>
    <row r="336" spans="4:11" ht="11.25" customHeight="1" x14ac:dyDescent="0.15">
      <c r="D336" s="44"/>
      <c r="E336" s="16"/>
      <c r="I336" s="56"/>
      <c r="J336" s="6"/>
      <c r="K336" s="6"/>
    </row>
    <row r="337" spans="4:11" ht="11.25" customHeight="1" x14ac:dyDescent="0.15">
      <c r="D337" s="44"/>
      <c r="E337" s="16"/>
      <c r="I337" s="56"/>
      <c r="J337" s="6"/>
      <c r="K337" s="6"/>
    </row>
    <row r="338" spans="4:11" ht="11.25" customHeight="1" x14ac:dyDescent="0.15">
      <c r="D338" s="44"/>
      <c r="E338" s="16"/>
      <c r="I338" s="56"/>
      <c r="J338" s="6"/>
      <c r="K338" s="6"/>
    </row>
    <row r="339" spans="4:11" ht="11.25" customHeight="1" x14ac:dyDescent="0.15">
      <c r="D339" s="44"/>
      <c r="E339" s="16"/>
      <c r="J339" s="6"/>
      <c r="K339" s="6"/>
    </row>
    <row r="340" spans="4:11" ht="11.25" customHeight="1" x14ac:dyDescent="0.15">
      <c r="D340" s="44"/>
      <c r="E340" s="16"/>
      <c r="J340" s="6"/>
      <c r="K340" s="6"/>
    </row>
    <row r="341" spans="4:11" ht="11.25" customHeight="1" x14ac:dyDescent="0.15">
      <c r="D341" s="44"/>
      <c r="E341" s="16"/>
      <c r="J341" s="6"/>
      <c r="K341" s="6"/>
    </row>
    <row r="342" spans="4:11" ht="11.25" customHeight="1" x14ac:dyDescent="0.15">
      <c r="D342" s="44"/>
      <c r="E342" s="16"/>
      <c r="J342" s="6"/>
      <c r="K342" s="6"/>
    </row>
    <row r="343" spans="4:11" ht="11.25" customHeight="1" x14ac:dyDescent="0.15">
      <c r="D343" s="44"/>
      <c r="E343" s="16"/>
      <c r="J343" s="6"/>
      <c r="K343" s="6"/>
    </row>
    <row r="344" spans="4:11" ht="11.25" customHeight="1" x14ac:dyDescent="0.15">
      <c r="D344" s="44"/>
      <c r="E344" s="16"/>
      <c r="J344" s="6"/>
      <c r="K344" s="6"/>
    </row>
    <row r="345" spans="4:11" ht="11.25" customHeight="1" x14ac:dyDescent="0.15">
      <c r="D345" s="44"/>
      <c r="E345" s="16"/>
      <c r="J345" s="6"/>
      <c r="K345" s="6"/>
    </row>
    <row r="346" spans="4:11" ht="11.25" customHeight="1" x14ac:dyDescent="0.15">
      <c r="D346" s="44"/>
      <c r="E346" s="16"/>
      <c r="J346" s="6"/>
      <c r="K346" s="6"/>
    </row>
    <row r="347" spans="4:11" ht="11.25" customHeight="1" x14ac:dyDescent="0.15">
      <c r="D347" s="44"/>
      <c r="E347" s="16"/>
      <c r="J347" s="6"/>
      <c r="K347" s="6"/>
    </row>
    <row r="348" spans="4:11" ht="11.25" customHeight="1" x14ac:dyDescent="0.15">
      <c r="D348" s="44"/>
      <c r="E348" s="16"/>
      <c r="J348" s="6"/>
      <c r="K348" s="6"/>
    </row>
    <row r="349" spans="4:11" ht="11.25" customHeight="1" x14ac:dyDescent="0.15">
      <c r="D349" s="44"/>
      <c r="E349" s="16"/>
      <c r="J349" s="6"/>
      <c r="K349" s="6"/>
    </row>
    <row r="350" spans="4:11" ht="11.25" customHeight="1" x14ac:dyDescent="0.15">
      <c r="D350" s="44"/>
      <c r="E350" s="16"/>
      <c r="J350" s="6"/>
      <c r="K350" s="6"/>
    </row>
    <row r="351" spans="4:11" ht="11.25" customHeight="1" x14ac:dyDescent="0.15">
      <c r="D351" s="44"/>
      <c r="E351" s="16"/>
      <c r="J351" s="6"/>
      <c r="K351" s="6"/>
    </row>
    <row r="352" spans="4:11" ht="11.25" customHeight="1" x14ac:dyDescent="0.15">
      <c r="D352" s="44"/>
      <c r="E352" s="16"/>
      <c r="J352" s="6"/>
      <c r="K352" s="6"/>
    </row>
    <row r="353" spans="4:11" ht="11.25" customHeight="1" x14ac:dyDescent="0.15">
      <c r="D353" s="44"/>
      <c r="E353" s="16"/>
      <c r="J353" s="6"/>
      <c r="K353" s="6"/>
    </row>
    <row r="354" spans="4:11" ht="11.25" customHeight="1" x14ac:dyDescent="0.15">
      <c r="D354" s="44"/>
      <c r="E354" s="16"/>
      <c r="J354" s="6"/>
      <c r="K354" s="6"/>
    </row>
    <row r="355" spans="4:11" ht="11.25" customHeight="1" x14ac:dyDescent="0.15">
      <c r="D355" s="44"/>
      <c r="E355" s="16"/>
      <c r="J355" s="6"/>
      <c r="K355" s="6"/>
    </row>
    <row r="356" spans="4:11" ht="11.25" customHeight="1" x14ac:dyDescent="0.15">
      <c r="D356" s="44"/>
      <c r="E356" s="16"/>
      <c r="J356" s="6"/>
      <c r="K356" s="6"/>
    </row>
    <row r="357" spans="4:11" ht="11.25" customHeight="1" x14ac:dyDescent="0.15">
      <c r="D357" s="44"/>
      <c r="E357" s="16"/>
      <c r="J357" s="6"/>
      <c r="K357" s="6"/>
    </row>
    <row r="358" spans="4:11" ht="11.25" customHeight="1" x14ac:dyDescent="0.15">
      <c r="D358" s="44"/>
      <c r="E358" s="16"/>
      <c r="J358" s="6"/>
      <c r="K358" s="6"/>
    </row>
    <row r="359" spans="4:11" ht="11.25" customHeight="1" x14ac:dyDescent="0.15">
      <c r="D359" s="44"/>
      <c r="E359" s="16"/>
      <c r="J359" s="6"/>
      <c r="K359" s="6"/>
    </row>
    <row r="360" spans="4:11" ht="11.25" customHeight="1" x14ac:dyDescent="0.15">
      <c r="D360" s="44"/>
      <c r="E360" s="16"/>
      <c r="J360" s="6"/>
      <c r="K360" s="6"/>
    </row>
    <row r="361" spans="4:11" ht="11.25" customHeight="1" x14ac:dyDescent="0.15">
      <c r="D361" s="44"/>
      <c r="E361" s="16"/>
      <c r="J361" s="6"/>
      <c r="K361" s="6"/>
    </row>
    <row r="362" spans="4:11" ht="11.25" customHeight="1" x14ac:dyDescent="0.15">
      <c r="D362" s="44"/>
      <c r="E362" s="16"/>
      <c r="J362" s="6"/>
      <c r="K362" s="6"/>
    </row>
  </sheetData>
  <sortState xmlns:xlrd2="http://schemas.microsoft.com/office/spreadsheetml/2017/richdata2" ref="M10:Y21">
    <sortCondition ref="M10:M21"/>
  </sortState>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1"/>
  </sheetPr>
  <dimension ref="A2:BB354"/>
  <sheetViews>
    <sheetView zoomScaleNormal="100" workbookViewId="0">
      <selection activeCell="M19" sqref="M19"/>
    </sheetView>
  </sheetViews>
  <sheetFormatPr baseColWidth="10" defaultColWidth="9.1640625" defaultRowHeight="11" x14ac:dyDescent="0.15"/>
  <cols>
    <col min="1" max="1" width="6.6640625" style="15" customWidth="1"/>
    <col min="2" max="2" width="90.6640625" style="15" customWidth="1"/>
    <col min="3" max="3" width="7.5" style="15" customWidth="1"/>
    <col min="4" max="4" width="4.5" style="16" bestFit="1" customWidth="1"/>
    <col min="5" max="5" width="6.1640625" style="16" bestFit="1" customWidth="1"/>
    <col min="6" max="6" width="3.6640625" style="16" bestFit="1" customWidth="1"/>
    <col min="7" max="7" width="5.1640625" style="15" bestFit="1" customWidth="1"/>
    <col min="8" max="8" width="5" style="15" bestFit="1" customWidth="1"/>
    <col min="9" max="9" width="7" style="15" customWidth="1"/>
    <col min="10" max="10" width="6" style="15" bestFit="1" customWidth="1"/>
    <col min="11" max="11" width="12" style="15" bestFit="1" customWidth="1"/>
    <col min="12" max="12" width="8.1640625" style="15" bestFit="1" customWidth="1"/>
    <col min="13" max="13" width="11.1640625" style="15" customWidth="1"/>
    <col min="14" max="14" width="4.83203125" style="15" customWidth="1"/>
    <col min="15" max="15" width="6.5" style="15" bestFit="1" customWidth="1"/>
    <col min="16" max="16" width="11.33203125" style="15" bestFit="1" customWidth="1"/>
    <col min="17" max="18" width="7.1640625" style="15" bestFit="1" customWidth="1"/>
    <col min="19" max="19" width="5.83203125" style="15" bestFit="1" customWidth="1"/>
    <col min="20" max="20" width="6.5" style="15" bestFit="1" customWidth="1"/>
    <col min="21" max="21" width="5.83203125" style="15" bestFit="1" customWidth="1"/>
    <col min="22" max="22" width="4" style="15" bestFit="1" customWidth="1"/>
    <col min="23" max="23" width="9.5" style="15" bestFit="1" customWidth="1"/>
    <col min="24" max="24" width="6.1640625" style="15" bestFit="1" customWidth="1"/>
    <col min="25" max="25" width="5.6640625" style="15" bestFit="1" customWidth="1"/>
    <col min="26" max="26" width="6.6640625" style="15" bestFit="1" customWidth="1"/>
    <col min="27" max="27" width="7" style="15" bestFit="1" customWidth="1"/>
    <col min="28" max="28" width="4.6640625" style="15" bestFit="1" customWidth="1"/>
    <col min="29" max="29" width="6.33203125" style="15" bestFit="1" customWidth="1"/>
    <col min="30" max="30" width="5.5" style="15" bestFit="1" customWidth="1"/>
    <col min="31" max="31" width="6.33203125" style="15" bestFit="1" customWidth="1"/>
    <col min="32" max="32" width="8.1640625" style="15" bestFit="1" customWidth="1"/>
    <col min="33" max="16384" width="9.1640625" style="15"/>
  </cols>
  <sheetData>
    <row r="2" spans="1:54" x14ac:dyDescent="0.15">
      <c r="E2" s="16" t="s">
        <v>0</v>
      </c>
      <c r="F2" s="29" t="s">
        <v>1</v>
      </c>
      <c r="G2" s="291" t="s">
        <v>220</v>
      </c>
      <c r="H2" s="291" t="s">
        <v>230</v>
      </c>
      <c r="J2" s="29"/>
      <c r="K2" s="16" t="s">
        <v>166</v>
      </c>
      <c r="L2" s="29" t="s">
        <v>67</v>
      </c>
      <c r="M2" s="29" t="s">
        <v>26</v>
      </c>
      <c r="N2" s="29" t="s">
        <v>40</v>
      </c>
    </row>
    <row r="3" spans="1:54" x14ac:dyDescent="0.15">
      <c r="A3" s="75"/>
      <c r="B3" s="82"/>
      <c r="C3" s="75"/>
      <c r="D3" s="195">
        <v>1799</v>
      </c>
      <c r="E3" s="196"/>
      <c r="F3" s="292">
        <f>SUM(IFERROR(LOOKUP(D3,'Pennsylvania anthracite'!D$8:D$300,'Pennsylvania anthracite'!F$8:F$300),0),IFERROR(LOOKUP(D3,'Western United States'!D$13:D$300,'Western United States'!F$13:F$300),0),IFERROR(LOOKUP(D3,'Eastern United States'!D$13:D$300,'Eastern United States'!F$13:F$300),0))</f>
        <v>0</v>
      </c>
      <c r="G3" s="75"/>
      <c r="H3" s="75"/>
      <c r="J3" s="146" t="s">
        <v>7</v>
      </c>
      <c r="K3" s="16">
        <v>1913</v>
      </c>
      <c r="L3" s="138">
        <f>N3+LOOKUP(M3,D4:D354,F4:F354)</f>
        <v>3847.6307159623266</v>
      </c>
      <c r="M3" s="133">
        <v>1913</v>
      </c>
      <c r="N3" s="138">
        <v>3838.6570000000002</v>
      </c>
      <c r="O3" s="22"/>
      <c r="P3" s="22"/>
      <c r="Q3" s="22"/>
      <c r="R3" s="22"/>
      <c r="S3" s="22"/>
      <c r="T3" s="22"/>
      <c r="U3" s="22"/>
      <c r="V3" s="22"/>
      <c r="W3" s="22"/>
      <c r="X3" s="22"/>
      <c r="Y3" s="22"/>
      <c r="Z3" s="22"/>
      <c r="AA3" s="22"/>
      <c r="AB3" s="22"/>
      <c r="AC3" s="22"/>
      <c r="AD3" s="22"/>
      <c r="AE3" s="22"/>
      <c r="AF3" s="22"/>
      <c r="AH3" s="23"/>
      <c r="AI3" s="23"/>
      <c r="AJ3" s="23"/>
      <c r="AK3" s="23"/>
      <c r="AL3" s="23"/>
      <c r="AM3" s="23"/>
      <c r="AN3" s="23"/>
      <c r="AO3" s="23"/>
      <c r="AP3" s="23"/>
      <c r="AQ3" s="23"/>
      <c r="AR3" s="23"/>
      <c r="AS3" s="23"/>
      <c r="AT3" s="23"/>
      <c r="AU3" s="23"/>
      <c r="AV3" s="23"/>
      <c r="AW3" s="23"/>
      <c r="AX3" s="23"/>
      <c r="AY3" s="23"/>
      <c r="AZ3" s="23"/>
      <c r="BA3" s="23"/>
      <c r="BB3" s="23"/>
    </row>
    <row r="4" spans="1:54" x14ac:dyDescent="0.15">
      <c r="A4" s="75"/>
      <c r="B4" s="75"/>
      <c r="C4" s="75"/>
      <c r="D4" s="195">
        <v>1800</v>
      </c>
      <c r="E4" s="196">
        <f>(F4-F3)*1000</f>
        <v>9.5662630913221774E-2</v>
      </c>
      <c r="F4" s="292">
        <f>SUM(IFERROR(LOOKUP(D4,'Pennsylvania anthracite'!D$8:D$300,'Pennsylvania anthracite'!F$8:F$300),0),IFERROR(LOOKUP(D4,'Western United States'!D$13:D$300,'Western United States'!F$13:F$300),0),IFERROR(LOOKUP(D4,'Eastern United States'!D$13:D$300,'Eastern United States'!F$13:F$300),0))</f>
        <v>9.5662630913221779E-5</v>
      </c>
      <c r="G4" s="75"/>
      <c r="H4" s="75"/>
      <c r="J4" s="146" t="s">
        <v>99</v>
      </c>
      <c r="K4" s="16">
        <v>1936</v>
      </c>
      <c r="L4" s="138">
        <f t="shared" ref="L4:L23" si="0">N4+LOOKUP(M4,D5:D355,F5:F355)</f>
        <v>2929.6319102151915</v>
      </c>
      <c r="M4" s="133">
        <v>1928</v>
      </c>
      <c r="N4" s="138">
        <v>2912.681</v>
      </c>
      <c r="O4" s="23"/>
      <c r="P4" s="23"/>
      <c r="Q4" s="23"/>
      <c r="R4" s="23"/>
      <c r="S4" s="23"/>
      <c r="T4" s="23"/>
      <c r="U4" s="23"/>
      <c r="V4" s="23"/>
      <c r="W4" s="23"/>
      <c r="X4" s="23"/>
      <c r="Y4" s="23"/>
      <c r="Z4" s="23"/>
      <c r="AA4" s="23"/>
      <c r="AB4" s="23"/>
      <c r="AC4" s="23"/>
      <c r="AD4" s="23"/>
      <c r="AE4" s="23"/>
      <c r="AF4" s="23"/>
      <c r="AH4" s="23"/>
      <c r="AI4" s="23"/>
      <c r="AJ4" s="23"/>
      <c r="AK4" s="23"/>
      <c r="AL4" s="23"/>
      <c r="AM4" s="23"/>
      <c r="AN4" s="23"/>
      <c r="AO4" s="23"/>
      <c r="AP4" s="23"/>
      <c r="AQ4" s="23"/>
      <c r="AR4" s="23"/>
      <c r="AS4" s="23"/>
      <c r="AT4" s="23"/>
      <c r="AU4" s="23"/>
      <c r="AV4" s="23"/>
      <c r="AW4" s="23"/>
      <c r="AX4" s="23"/>
      <c r="AY4" s="23"/>
      <c r="AZ4" s="23"/>
      <c r="BA4" s="23"/>
      <c r="BB4" s="23"/>
    </row>
    <row r="5" spans="1:54" x14ac:dyDescent="0.15">
      <c r="A5" s="75"/>
      <c r="B5" s="75"/>
      <c r="C5" s="75"/>
      <c r="D5" s="195">
        <v>1801</v>
      </c>
      <c r="E5" s="196">
        <f t="shared" ref="E5:E68" si="1">(F5-F4)*1000</f>
        <v>0.1011057393577863</v>
      </c>
      <c r="F5" s="292">
        <f>SUM(IFERROR(LOOKUP(D5,'Pennsylvania anthracite'!D$8:D$300,'Pennsylvania anthracite'!F$8:F$300),0),IFERROR(LOOKUP(D5,'Western United States'!D$13:D$300,'Western United States'!F$13:F$300),0),IFERROR(LOOKUP(D5,'Eastern United States'!D$13:D$300,'Eastern United States'!F$13:F$300),0))</f>
        <v>1.9676837027100808E-4</v>
      </c>
      <c r="G5" s="75"/>
      <c r="H5" s="75"/>
      <c r="J5" s="146" t="s">
        <v>100</v>
      </c>
      <c r="K5" s="16">
        <v>1937</v>
      </c>
      <c r="L5" s="138">
        <f t="shared" si="0"/>
        <v>2929.3529003732619</v>
      </c>
      <c r="M5" s="133">
        <v>1935</v>
      </c>
      <c r="N5" s="138">
        <v>2909.5250000000001</v>
      </c>
      <c r="O5" s="23"/>
      <c r="P5" s="23"/>
      <c r="Q5" s="23"/>
      <c r="R5" s="23"/>
      <c r="S5" s="23"/>
      <c r="T5" s="23"/>
      <c r="U5" s="23"/>
      <c r="V5" s="23"/>
      <c r="W5" s="23"/>
      <c r="X5" s="23"/>
      <c r="Y5" s="23"/>
      <c r="Z5" s="23"/>
      <c r="AA5" s="23"/>
      <c r="AB5" s="23"/>
      <c r="AC5" s="23"/>
      <c r="AD5" s="23"/>
      <c r="AE5" s="23"/>
      <c r="AF5" s="23"/>
      <c r="AH5" s="23"/>
      <c r="AI5" s="23"/>
      <c r="AJ5" s="23"/>
      <c r="AK5" s="23"/>
      <c r="AL5" s="23"/>
      <c r="AM5" s="23"/>
      <c r="AN5" s="23"/>
      <c r="AO5" s="23"/>
      <c r="AP5" s="23"/>
      <c r="AQ5" s="23"/>
      <c r="AR5" s="23"/>
      <c r="AS5" s="23"/>
      <c r="AT5" s="23"/>
      <c r="AU5" s="23"/>
      <c r="AV5" s="23"/>
      <c r="AW5" s="23"/>
      <c r="AX5" s="23"/>
      <c r="AY5" s="23"/>
      <c r="AZ5" s="23"/>
      <c r="BA5" s="23"/>
      <c r="BB5" s="23"/>
    </row>
    <row r="6" spans="1:54" x14ac:dyDescent="0.15">
      <c r="A6" s="75"/>
      <c r="B6" s="75"/>
      <c r="C6" s="75"/>
      <c r="D6" s="195">
        <v>1802</v>
      </c>
      <c r="E6" s="196">
        <f t="shared" si="1"/>
        <v>0.10745603254311162</v>
      </c>
      <c r="F6" s="292">
        <f>SUM(IFERROR(LOOKUP(D6,'Pennsylvania anthracite'!D$8:D$300,'Pennsylvania anthracite'!F$8:F$300),0),IFERROR(LOOKUP(D6,'Western United States'!D$13:D$300,'Western United States'!F$13:F$300),0),IFERROR(LOOKUP(D6,'Eastern United States'!D$13:D$300,'Eastern United States'!F$13:F$300),0))</f>
        <v>3.042244028141197E-4</v>
      </c>
      <c r="G6" s="75"/>
      <c r="H6" s="75"/>
      <c r="J6" s="146" t="s">
        <v>101</v>
      </c>
      <c r="K6" s="16">
        <v>1938</v>
      </c>
      <c r="L6" s="138">
        <f t="shared" si="0"/>
        <v>2923.0050864717155</v>
      </c>
      <c r="M6" s="133">
        <v>1936</v>
      </c>
      <c r="N6" s="138">
        <v>2902.73</v>
      </c>
      <c r="O6" s="23"/>
      <c r="P6" s="23"/>
      <c r="Q6" s="23"/>
      <c r="R6" s="23"/>
      <c r="S6" s="23"/>
      <c r="T6" s="23"/>
      <c r="U6" s="23"/>
      <c r="V6" s="23"/>
      <c r="W6" s="23"/>
      <c r="X6" s="23"/>
      <c r="Y6" s="23"/>
      <c r="Z6" s="23"/>
      <c r="AA6" s="23"/>
      <c r="AB6" s="23"/>
      <c r="AC6" s="23"/>
      <c r="AD6" s="23"/>
      <c r="AE6" s="23"/>
      <c r="AF6" s="23"/>
    </row>
    <row r="7" spans="1:54" x14ac:dyDescent="0.15">
      <c r="A7" s="75"/>
      <c r="B7" s="75"/>
      <c r="C7" s="75"/>
      <c r="D7" s="195">
        <v>1803</v>
      </c>
      <c r="E7" s="196">
        <f t="shared" si="1"/>
        <v>0.11267234480248602</v>
      </c>
      <c r="F7" s="292">
        <f>SUM(IFERROR(LOOKUP(D7,'Pennsylvania anthracite'!D$8:D$300,'Pennsylvania anthracite'!F$8:F$300),0),IFERROR(LOOKUP(D7,'Western United States'!D$13:D$300,'Western United States'!F$13:F$300),0),IFERROR(LOOKUP(D7,'Eastern United States'!D$13:D$300,'Eastern United States'!F$13:F$300),0))</f>
        <v>4.1689674761660571E-4</v>
      </c>
      <c r="G7" s="75"/>
      <c r="H7" s="75"/>
      <c r="J7" s="146" t="s">
        <v>102</v>
      </c>
      <c r="K7" s="16">
        <v>1948</v>
      </c>
      <c r="L7" s="138">
        <f t="shared" si="0"/>
        <v>2992.6713003133023</v>
      </c>
      <c r="M7" s="133">
        <v>1946</v>
      </c>
      <c r="N7" s="138">
        <v>2967.2959999999998</v>
      </c>
      <c r="O7" s="23"/>
      <c r="P7" s="23"/>
      <c r="Q7" s="23"/>
      <c r="R7" s="23"/>
      <c r="S7" s="23"/>
      <c r="T7" s="23"/>
      <c r="U7" s="23"/>
      <c r="V7" s="23"/>
      <c r="W7" s="23"/>
      <c r="X7" s="23"/>
      <c r="Y7" s="23"/>
      <c r="Z7" s="23"/>
      <c r="AA7" s="23"/>
      <c r="AB7" s="23"/>
      <c r="AC7" s="23"/>
      <c r="AD7" s="23"/>
      <c r="AE7" s="23"/>
      <c r="AF7" s="23"/>
    </row>
    <row r="8" spans="1:54" x14ac:dyDescent="0.15">
      <c r="A8" s="75"/>
      <c r="B8" s="75"/>
      <c r="C8" s="75"/>
      <c r="D8" s="195">
        <v>1804</v>
      </c>
      <c r="E8" s="196">
        <f t="shared" si="1"/>
        <v>0.12550900888425065</v>
      </c>
      <c r="F8" s="292">
        <f>SUM(IFERROR(LOOKUP(D8,'Pennsylvania anthracite'!D$8:D$300,'Pennsylvania anthracite'!F$8:F$300),0),IFERROR(LOOKUP(D8,'Western United States'!D$13:D$300,'Western United States'!F$13:F$300),0),IFERROR(LOOKUP(D8,'Eastern United States'!D$13:D$300,'Eastern United States'!F$13:F$300),0))</f>
        <v>5.4240575650085635E-4</v>
      </c>
      <c r="G8" s="75"/>
      <c r="H8" s="75"/>
      <c r="J8" s="146" t="s">
        <v>103</v>
      </c>
      <c r="K8" s="16">
        <v>1950</v>
      </c>
      <c r="L8" s="138">
        <f t="shared" si="0"/>
        <v>2924.3344398244449</v>
      </c>
      <c r="M8" s="133">
        <v>1949</v>
      </c>
      <c r="N8" s="138">
        <v>2897.3</v>
      </c>
      <c r="O8" s="23"/>
      <c r="P8" s="23"/>
      <c r="Q8" s="23"/>
      <c r="R8" s="23"/>
      <c r="S8" s="23"/>
      <c r="T8" s="23"/>
      <c r="U8" s="23"/>
      <c r="V8" s="23"/>
      <c r="W8" s="23"/>
      <c r="X8" s="23"/>
      <c r="Y8" s="23"/>
      <c r="Z8" s="23"/>
      <c r="AA8" s="23"/>
      <c r="AB8" s="23"/>
      <c r="AC8" s="23"/>
      <c r="AD8" s="23"/>
      <c r="AE8" s="23"/>
      <c r="AF8" s="23"/>
    </row>
    <row r="9" spans="1:54" x14ac:dyDescent="0.15">
      <c r="A9" s="75"/>
      <c r="B9" s="75"/>
      <c r="C9" s="75"/>
      <c r="D9" s="195">
        <v>1805</v>
      </c>
      <c r="E9" s="196">
        <f t="shared" si="1"/>
        <v>0.1297274179287882</v>
      </c>
      <c r="F9" s="292">
        <f>SUM(IFERROR(LOOKUP(D9,'Pennsylvania anthracite'!D$8:D$300,'Pennsylvania anthracite'!F$8:F$300),0),IFERROR(LOOKUP(D9,'Western United States'!D$13:D$300,'Western United States'!F$13:F$300),0),IFERROR(LOOKUP(D9,'Eastern United States'!D$13:D$300,'Eastern United States'!F$13:F$300),0))</f>
        <v>6.7213317442964455E-4</v>
      </c>
      <c r="G9" s="75"/>
      <c r="H9" s="75"/>
      <c r="J9" s="146" t="s">
        <v>105</v>
      </c>
      <c r="K9" s="16">
        <v>1954</v>
      </c>
      <c r="L9" s="138">
        <f t="shared" si="0"/>
        <v>1751.9419848944124</v>
      </c>
      <c r="M9" s="133">
        <v>1952</v>
      </c>
      <c r="N9" s="138">
        <v>1723.4159999999999</v>
      </c>
      <c r="O9" s="23"/>
      <c r="P9" s="23"/>
      <c r="Q9" s="23"/>
      <c r="R9" s="23"/>
      <c r="S9" s="23"/>
      <c r="T9" s="23"/>
      <c r="U9" s="23"/>
      <c r="V9" s="23"/>
      <c r="W9" s="23"/>
      <c r="X9" s="23"/>
      <c r="Y9" s="23"/>
      <c r="Z9" s="23"/>
      <c r="AA9" s="23"/>
      <c r="AB9" s="23"/>
      <c r="AC9" s="23"/>
      <c r="AD9" s="23"/>
      <c r="AE9" s="23"/>
      <c r="AF9" s="23"/>
    </row>
    <row r="10" spans="1:54" x14ac:dyDescent="0.15">
      <c r="A10" s="75"/>
      <c r="B10" s="75"/>
      <c r="C10" s="75"/>
      <c r="D10" s="195">
        <v>1806</v>
      </c>
      <c r="E10" s="196">
        <f t="shared" si="1"/>
        <v>0.13458085629185831</v>
      </c>
      <c r="F10" s="292">
        <f>SUM(IFERROR(LOOKUP(D10,'Pennsylvania anthracite'!D$8:D$300,'Pennsylvania anthracite'!F$8:F$300),0),IFERROR(LOOKUP(D10,'Western United States'!D$13:D$300,'Western United States'!F$13:F$300),0),IFERROR(LOOKUP(D10,'Eastern United States'!D$13:D$300,'Eastern United States'!F$13:F$300),0))</f>
        <v>8.0671403072150286E-4</v>
      </c>
      <c r="G10" s="75"/>
      <c r="H10" s="75"/>
      <c r="J10" s="146" t="s">
        <v>106</v>
      </c>
      <c r="K10" s="16">
        <v>1958</v>
      </c>
      <c r="L10" s="138">
        <f t="shared" si="0"/>
        <v>1751.5906412249367</v>
      </c>
      <c r="M10" s="133">
        <v>1954</v>
      </c>
      <c r="N10" s="138">
        <v>1722.24</v>
      </c>
      <c r="O10" s="23"/>
      <c r="P10" s="23"/>
      <c r="Q10" s="23"/>
      <c r="R10" s="23"/>
      <c r="S10" s="23"/>
      <c r="T10" s="23"/>
      <c r="U10" s="23"/>
      <c r="V10" s="23"/>
      <c r="W10" s="23"/>
      <c r="X10" s="23"/>
      <c r="Y10" s="23"/>
      <c r="Z10" s="23"/>
      <c r="AA10" s="23"/>
      <c r="AB10" s="23"/>
      <c r="AC10" s="23"/>
      <c r="AD10" s="23"/>
      <c r="AE10" s="23"/>
      <c r="AF10" s="23"/>
    </row>
    <row r="11" spans="1:54" x14ac:dyDescent="0.15">
      <c r="A11" s="75"/>
      <c r="B11" s="75"/>
      <c r="C11" s="75"/>
      <c r="D11" s="195">
        <v>1807</v>
      </c>
      <c r="E11" s="196">
        <f t="shared" si="1"/>
        <v>0.13934357618085216</v>
      </c>
      <c r="F11" s="292">
        <f>SUM(IFERROR(LOOKUP(D11,'Pennsylvania anthracite'!D$8:D$300,'Pennsylvania anthracite'!F$8:F$300),0),IFERROR(LOOKUP(D11,'Western United States'!D$13:D$300,'Western United States'!F$13:F$300),0),IFERROR(LOOKUP(D11,'Eastern United States'!D$13:D$300,'Eastern United States'!F$13:F$300),0))</f>
        <v>9.4605760690235502E-4</v>
      </c>
      <c r="G11" s="75"/>
      <c r="H11" s="75"/>
      <c r="J11" s="146" t="s">
        <v>107</v>
      </c>
      <c r="K11" s="16">
        <v>1960</v>
      </c>
      <c r="L11" s="138">
        <f t="shared" si="0"/>
        <v>1703.526524857574</v>
      </c>
      <c r="M11" s="133">
        <v>1956</v>
      </c>
      <c r="N11" s="138">
        <v>1673.25</v>
      </c>
      <c r="O11" s="23"/>
      <c r="P11" s="23"/>
      <c r="Q11" s="23"/>
      <c r="R11" s="23"/>
      <c r="S11" s="23"/>
      <c r="T11" s="23"/>
      <c r="U11" s="23"/>
      <c r="V11" s="23"/>
      <c r="W11" s="23"/>
      <c r="X11" s="23"/>
      <c r="Y11" s="23"/>
      <c r="Z11" s="23"/>
      <c r="AA11" s="23"/>
      <c r="AB11" s="23"/>
      <c r="AC11" s="23"/>
      <c r="AD11" s="23"/>
      <c r="AE11" s="23"/>
      <c r="AF11" s="23"/>
    </row>
    <row r="12" spans="1:54" x14ac:dyDescent="0.15">
      <c r="D12" s="195">
        <v>1808</v>
      </c>
      <c r="E12" s="196">
        <f t="shared" si="1"/>
        <v>0.14451452920318841</v>
      </c>
      <c r="F12" s="292">
        <f>SUM(IFERROR(LOOKUP(D12,'Pennsylvania anthracite'!D$8:D$300,'Pennsylvania anthracite'!F$8:F$300),0),IFERROR(LOOKUP(D12,'Western United States'!D$13:D$300,'Western United States'!F$13:F$300),0),IFERROR(LOOKUP(D12,'Eastern United States'!D$13:D$300,'Eastern United States'!F$13:F$300),0))</f>
        <v>1.0905721361055434E-3</v>
      </c>
      <c r="J12" s="146" t="s">
        <v>108</v>
      </c>
      <c r="K12" s="16">
        <v>1962</v>
      </c>
      <c r="L12" s="138">
        <f t="shared" si="0"/>
        <v>1131.9245756246482</v>
      </c>
      <c r="M12" s="133">
        <v>1960</v>
      </c>
      <c r="N12" s="138">
        <v>1100</v>
      </c>
      <c r="O12" s="23"/>
      <c r="P12" s="23"/>
      <c r="Q12" s="23"/>
      <c r="R12" s="23"/>
      <c r="S12" s="23"/>
      <c r="T12" s="23"/>
      <c r="U12" s="23"/>
      <c r="V12" s="23"/>
      <c r="W12" s="23"/>
      <c r="X12" s="23"/>
      <c r="Y12" s="23"/>
      <c r="Z12" s="23"/>
      <c r="AA12" s="23"/>
      <c r="AB12" s="23"/>
      <c r="AC12" s="23"/>
      <c r="AD12" s="23"/>
      <c r="AE12" s="23"/>
      <c r="AF12" s="23"/>
    </row>
    <row r="13" spans="1:54" x14ac:dyDescent="0.15">
      <c r="D13" s="195">
        <v>1809</v>
      </c>
      <c r="E13" s="196">
        <f t="shared" si="1"/>
        <v>0.14977620069960093</v>
      </c>
      <c r="F13" s="292">
        <f>SUM(IFERROR(LOOKUP(D13,'Pennsylvania anthracite'!D$8:D$300,'Pennsylvania anthracite'!F$8:F$300),0),IFERROR(LOOKUP(D13,'Western United States'!D$13:D$300,'Western United States'!F$13:F$300),0),IFERROR(LOOKUP(D13,'Eastern United States'!D$13:D$300,'Eastern United States'!F$13:F$300),0))</f>
        <v>1.2403483368051444E-3</v>
      </c>
      <c r="J13" s="146" t="s">
        <v>8</v>
      </c>
      <c r="K13" s="16">
        <v>1974</v>
      </c>
      <c r="L13" s="138">
        <f t="shared" si="0"/>
        <v>219.49636897140246</v>
      </c>
      <c r="M13" s="133">
        <v>1972</v>
      </c>
      <c r="N13" s="138">
        <v>181.78100000000001</v>
      </c>
      <c r="O13" s="23"/>
      <c r="P13" s="23"/>
      <c r="Q13" s="23"/>
      <c r="R13" s="23"/>
      <c r="S13" s="23"/>
      <c r="T13" s="23"/>
      <c r="U13" s="23"/>
      <c r="V13" s="23"/>
      <c r="W13" s="23"/>
      <c r="X13" s="23"/>
      <c r="Y13" s="23"/>
      <c r="Z13" s="23"/>
      <c r="AA13" s="23"/>
      <c r="AB13" s="23"/>
      <c r="AC13" s="23"/>
      <c r="AD13" s="23"/>
      <c r="AE13" s="23"/>
      <c r="AF13" s="23"/>
    </row>
    <row r="14" spans="1:54" x14ac:dyDescent="0.15">
      <c r="D14" s="195">
        <v>1810</v>
      </c>
      <c r="E14" s="196">
        <f t="shared" si="1"/>
        <v>0.15576361998862204</v>
      </c>
      <c r="F14" s="292">
        <f>SUM(IFERROR(LOOKUP(D14,'Pennsylvania anthracite'!D$8:D$300,'Pennsylvania anthracite'!F$8:F$300),0),IFERROR(LOOKUP(D14,'Western United States'!D$13:D$300,'Western United States'!F$13:F$300),0),IFERROR(LOOKUP(D14,'Eastern United States'!D$13:D$300,'Eastern United States'!F$13:F$300),0))</f>
        <v>1.3961119567937664E-3</v>
      </c>
      <c r="J14" s="146" t="s">
        <v>9</v>
      </c>
      <c r="K14" s="16">
        <v>1980</v>
      </c>
      <c r="L14" s="138">
        <f t="shared" si="0"/>
        <v>262.07078428442321</v>
      </c>
      <c r="M14" s="133">
        <v>1974</v>
      </c>
      <c r="N14" s="138">
        <v>223.25899999999999</v>
      </c>
      <c r="O14" s="23"/>
      <c r="P14" s="23"/>
      <c r="Q14" s="23"/>
      <c r="R14" s="23"/>
      <c r="S14" s="23"/>
      <c r="T14" s="23"/>
      <c r="U14" s="23"/>
      <c r="V14" s="23"/>
      <c r="W14" s="23"/>
      <c r="X14" s="23"/>
      <c r="Y14" s="23"/>
      <c r="Z14" s="23"/>
      <c r="AA14" s="23"/>
      <c r="AB14" s="23"/>
      <c r="AC14" s="23"/>
      <c r="AD14" s="23"/>
      <c r="AE14" s="23"/>
      <c r="AF14" s="23"/>
    </row>
    <row r="15" spans="1:54" x14ac:dyDescent="0.15">
      <c r="D15" s="195">
        <v>1811</v>
      </c>
      <c r="E15" s="196">
        <f t="shared" si="1"/>
        <v>0.16619624450737047</v>
      </c>
      <c r="F15" s="292">
        <f>SUM(IFERROR(LOOKUP(D15,'Pennsylvania anthracite'!D$8:D$300,'Pennsylvania anthracite'!F$8:F$300),0),IFERROR(LOOKUP(D15,'Western United States'!D$13:D$300,'Western United States'!F$13:F$300),0),IFERROR(LOOKUP(D15,'Eastern United States'!D$13:D$300,'Eastern United States'!F$13:F$300),0))</f>
        <v>1.5623082013011369E-3</v>
      </c>
      <c r="J15" s="146" t="s">
        <v>10</v>
      </c>
      <c r="K15" s="16">
        <v>1986</v>
      </c>
      <c r="L15" s="138">
        <f t="shared" si="0"/>
        <v>309.60169386480305</v>
      </c>
      <c r="M15" s="133">
        <v>1984</v>
      </c>
      <c r="N15" s="138">
        <v>263.84300000000002</v>
      </c>
      <c r="O15" s="23"/>
      <c r="P15" s="23"/>
      <c r="Q15" s="23"/>
      <c r="R15" s="23"/>
      <c r="S15" s="23"/>
      <c r="T15" s="23"/>
      <c r="U15" s="23"/>
      <c r="V15" s="23"/>
      <c r="W15" s="23"/>
      <c r="X15" s="23"/>
      <c r="Y15" s="23"/>
      <c r="Z15" s="23"/>
      <c r="AA15" s="23"/>
      <c r="AB15" s="23"/>
      <c r="AC15" s="23"/>
      <c r="AD15" s="23"/>
      <c r="AE15" s="23"/>
      <c r="AF15" s="23"/>
    </row>
    <row r="16" spans="1:54" x14ac:dyDescent="0.15">
      <c r="D16" s="195">
        <v>1812</v>
      </c>
      <c r="E16" s="196">
        <f t="shared" si="1"/>
        <v>0.17953186019655365</v>
      </c>
      <c r="F16" s="292">
        <f>SUM(IFERROR(LOOKUP(D16,'Pennsylvania anthracite'!D$8:D$300,'Pennsylvania anthracite'!F$8:F$300),0),IFERROR(LOOKUP(D16,'Western United States'!D$13:D$300,'Western United States'!F$13:F$300),0),IFERROR(LOOKUP(D16,'Eastern United States'!D$13:D$300,'Eastern United States'!F$13:F$300),0))</f>
        <v>1.7418400614976905E-3</v>
      </c>
      <c r="J16" s="146" t="s">
        <v>11</v>
      </c>
      <c r="K16" s="16">
        <v>1989</v>
      </c>
      <c r="L16" s="138">
        <f t="shared" si="0"/>
        <v>263.4424829168359</v>
      </c>
      <c r="M16" s="133">
        <v>1987</v>
      </c>
      <c r="N16" s="138">
        <v>215.24100000000001</v>
      </c>
      <c r="O16" s="23"/>
      <c r="P16" s="23"/>
      <c r="Q16" s="23"/>
      <c r="R16" s="23"/>
      <c r="S16" s="23"/>
      <c r="T16" s="23"/>
      <c r="U16" s="23"/>
      <c r="V16" s="23"/>
      <c r="W16" s="23"/>
      <c r="X16" s="23"/>
      <c r="Y16" s="23"/>
      <c r="Z16" s="23"/>
      <c r="AA16" s="23"/>
      <c r="AB16" s="23"/>
      <c r="AC16" s="23"/>
      <c r="AD16" s="23"/>
      <c r="AE16" s="23"/>
      <c r="AF16" s="23"/>
    </row>
    <row r="17" spans="4:32" x14ac:dyDescent="0.15">
      <c r="D17" s="195">
        <v>1813</v>
      </c>
      <c r="E17" s="196">
        <f t="shared" si="1"/>
        <v>0.19300355359685106</v>
      </c>
      <c r="F17" s="292">
        <f>SUM(IFERROR(LOOKUP(D17,'Pennsylvania anthracite'!D$8:D$300,'Pennsylvania anthracite'!F$8:F$300),0),IFERROR(LOOKUP(D17,'Western United States'!D$13:D$300,'Western United States'!F$13:F$300),0),IFERROR(LOOKUP(D17,'Eastern United States'!D$13:D$300,'Eastern United States'!F$13:F$300),0))</f>
        <v>1.9348436150945416E-3</v>
      </c>
      <c r="J17" s="146" t="s">
        <v>12</v>
      </c>
      <c r="K17" s="16">
        <v>1992</v>
      </c>
      <c r="L17" s="138">
        <f t="shared" si="0"/>
        <v>291.44781325241962</v>
      </c>
      <c r="M17" s="133">
        <v>1990</v>
      </c>
      <c r="N17" s="138">
        <v>240.56100000000001</v>
      </c>
      <c r="O17" s="23"/>
      <c r="P17" s="23"/>
      <c r="Q17" s="23"/>
      <c r="R17" s="23"/>
      <c r="S17" s="23"/>
      <c r="T17" s="23"/>
      <c r="U17" s="23"/>
      <c r="V17" s="23"/>
      <c r="W17" s="23"/>
      <c r="X17" s="23"/>
      <c r="Y17" s="23"/>
      <c r="Z17" s="23"/>
      <c r="AA17" s="23"/>
      <c r="AB17" s="23"/>
      <c r="AC17" s="23"/>
      <c r="AD17" s="23"/>
      <c r="AE17" s="23"/>
      <c r="AF17" s="23"/>
    </row>
    <row r="18" spans="4:32" x14ac:dyDescent="0.15">
      <c r="D18" s="195">
        <v>1814</v>
      </c>
      <c r="E18" s="196">
        <f t="shared" si="1"/>
        <v>0.20842569418978371</v>
      </c>
      <c r="F18" s="292">
        <f>SUM(IFERROR(LOOKUP(D18,'Pennsylvania anthracite'!D$8:D$300,'Pennsylvania anthracite'!F$8:F$300),0),IFERROR(LOOKUP(D18,'Western United States'!D$13:D$300,'Western United States'!F$13:F$300),0),IFERROR(LOOKUP(D18,'Eastern United States'!D$13:D$300,'Eastern United States'!F$13:F$300),0))</f>
        <v>2.1432693092843253E-3</v>
      </c>
      <c r="J18" s="146" t="s">
        <v>13</v>
      </c>
      <c r="K18" s="16">
        <v>1995</v>
      </c>
      <c r="L18" s="138">
        <f t="shared" si="0"/>
        <v>294.11098656783264</v>
      </c>
      <c r="M18" s="133">
        <v>1993</v>
      </c>
      <c r="N18" s="138">
        <v>240.55799999999999</v>
      </c>
      <c r="O18" s="23"/>
      <c r="P18" s="23"/>
      <c r="Q18" s="23"/>
      <c r="R18" s="23"/>
      <c r="S18" s="23"/>
      <c r="T18" s="23"/>
      <c r="U18" s="23"/>
      <c r="V18" s="23"/>
      <c r="W18" s="23"/>
      <c r="X18" s="23"/>
      <c r="Y18" s="23"/>
      <c r="Z18" s="23"/>
      <c r="AA18" s="23"/>
      <c r="AB18" s="23"/>
      <c r="AC18" s="23"/>
      <c r="AD18" s="23"/>
      <c r="AE18" s="23"/>
      <c r="AF18" s="23"/>
    </row>
    <row r="19" spans="4:32" x14ac:dyDescent="0.15">
      <c r="D19" s="195">
        <v>1815</v>
      </c>
      <c r="E19" s="196">
        <f t="shared" si="1"/>
        <v>0.22393855325679315</v>
      </c>
      <c r="F19" s="292">
        <f>SUM(IFERROR(LOOKUP(D19,'Pennsylvania anthracite'!D$8:D$300,'Pennsylvania anthracite'!F$8:F$300),0),IFERROR(LOOKUP(D19,'Western United States'!D$13:D$300,'Western United States'!F$13:F$300),0),IFERROR(LOOKUP(D19,'Eastern United States'!D$13:D$300,'Eastern United States'!F$13:F$300),0))</f>
        <v>2.3672078625411185E-3</v>
      </c>
      <c r="J19" s="146" t="s">
        <v>14</v>
      </c>
      <c r="K19" s="16">
        <v>1998</v>
      </c>
      <c r="L19" s="138">
        <f t="shared" si="0"/>
        <v>303.0357780646649</v>
      </c>
      <c r="M19" s="133">
        <v>1996</v>
      </c>
      <c r="N19" s="138">
        <v>246.643</v>
      </c>
      <c r="O19" s="23"/>
      <c r="P19" s="23"/>
      <c r="Q19" s="23"/>
      <c r="R19" s="23"/>
      <c r="S19" s="23"/>
      <c r="T19" s="23"/>
      <c r="U19" s="23"/>
      <c r="V19" s="23"/>
      <c r="W19" s="23"/>
      <c r="X19" s="23"/>
      <c r="Y19" s="23"/>
      <c r="Z19" s="23"/>
      <c r="AA19" s="23"/>
      <c r="AB19" s="23"/>
      <c r="AC19" s="23"/>
      <c r="AD19" s="23"/>
      <c r="AE19" s="23"/>
      <c r="AF19" s="23"/>
    </row>
    <row r="20" spans="4:32" x14ac:dyDescent="0.15">
      <c r="D20" s="195">
        <v>1816</v>
      </c>
      <c r="E20" s="196">
        <f t="shared" si="1"/>
        <v>0.24630065711654528</v>
      </c>
      <c r="F20" s="292">
        <f>SUM(IFERROR(LOOKUP(D20,'Pennsylvania anthracite'!D$8:D$300,'Pennsylvania anthracite'!F$8:F$300),0),IFERROR(LOOKUP(D20,'Western United States'!D$13:D$300,'Western United States'!F$13:F$300),0),IFERROR(LOOKUP(D20,'Eastern United States'!D$13:D$300,'Eastern United States'!F$13:F$300),0))</f>
        <v>2.6135085196576638E-3</v>
      </c>
      <c r="J20" s="146" t="s">
        <v>15</v>
      </c>
      <c r="K20" s="16">
        <v>2001</v>
      </c>
      <c r="L20" s="138">
        <f t="shared" si="0"/>
        <v>309.38765300170968</v>
      </c>
      <c r="M20" s="133">
        <v>1999</v>
      </c>
      <c r="N20" s="138">
        <v>249.994</v>
      </c>
      <c r="O20" s="23"/>
      <c r="P20" s="23"/>
      <c r="Q20" s="23"/>
      <c r="R20" s="23"/>
      <c r="S20" s="23"/>
      <c r="T20" s="23"/>
      <c r="U20" s="23"/>
      <c r="V20" s="23"/>
      <c r="W20" s="23"/>
      <c r="X20" s="23"/>
      <c r="Y20" s="23"/>
      <c r="Z20" s="23"/>
      <c r="AA20" s="23"/>
      <c r="AB20" s="23"/>
      <c r="AC20" s="23"/>
      <c r="AD20" s="23"/>
      <c r="AE20" s="23"/>
      <c r="AF20" s="23"/>
    </row>
    <row r="21" spans="4:32" x14ac:dyDescent="0.15">
      <c r="D21" s="195">
        <v>1817</v>
      </c>
      <c r="E21" s="196">
        <f t="shared" si="1"/>
        <v>0.26807309089480402</v>
      </c>
      <c r="F21" s="292">
        <f>SUM(IFERROR(LOOKUP(D21,'Pennsylvania anthracite'!D$8:D$300,'Pennsylvania anthracite'!F$8:F$300),0),IFERROR(LOOKUP(D21,'Western United States'!D$13:D$300,'Western United States'!F$13:F$300),0),IFERROR(LOOKUP(D21,'Eastern United States'!D$13:D$300,'Eastern United States'!F$13:F$300),0))</f>
        <v>2.8815816105524678E-3</v>
      </c>
      <c r="J21" s="146" t="s">
        <v>16</v>
      </c>
      <c r="K21" s="16">
        <v>2004</v>
      </c>
      <c r="L21" s="138">
        <f t="shared" si="0"/>
        <v>309.02635599949531</v>
      </c>
      <c r="M21" s="133">
        <v>2002</v>
      </c>
      <c r="N21" s="138">
        <v>246.643</v>
      </c>
      <c r="O21" s="23"/>
      <c r="P21" s="23"/>
      <c r="Q21" s="23"/>
      <c r="R21" s="23"/>
      <c r="S21" s="23"/>
      <c r="T21" s="23"/>
      <c r="U21" s="23"/>
      <c r="V21" s="23"/>
      <c r="W21" s="23"/>
      <c r="X21" s="23"/>
      <c r="Y21" s="23"/>
      <c r="Z21" s="23"/>
      <c r="AA21" s="23"/>
      <c r="AB21" s="23"/>
      <c r="AC21" s="23"/>
      <c r="AD21" s="23"/>
      <c r="AE21" s="23"/>
      <c r="AF21" s="23"/>
    </row>
    <row r="22" spans="4:32" x14ac:dyDescent="0.15">
      <c r="D22" s="195">
        <v>1818</v>
      </c>
      <c r="E22" s="196">
        <f t="shared" si="1"/>
        <v>0.29102486483605083</v>
      </c>
      <c r="F22" s="292">
        <f>SUM(IFERROR(LOOKUP(D22,'Pennsylvania anthracite'!D$8:D$300,'Pennsylvania anthracite'!F$8:F$300),0),IFERROR(LOOKUP(D22,'Western United States'!D$13:D$300,'Western United States'!F$13:F$300),0),IFERROR(LOOKUP(D22,'Eastern United States'!D$13:D$300,'Eastern United States'!F$13:F$300),0))</f>
        <v>3.1726064753885186E-3</v>
      </c>
      <c r="J22" s="146" t="s">
        <v>17</v>
      </c>
      <c r="K22" s="16">
        <v>2007</v>
      </c>
      <c r="L22" s="138">
        <f t="shared" si="0"/>
        <v>308.11199051428582</v>
      </c>
      <c r="M22" s="133">
        <v>2005</v>
      </c>
      <c r="N22" s="138">
        <v>242.721</v>
      </c>
      <c r="O22" s="23"/>
      <c r="P22" s="23"/>
      <c r="Q22" s="23"/>
      <c r="R22" s="23"/>
      <c r="S22" s="23"/>
      <c r="T22" s="23"/>
      <c r="U22" s="23"/>
      <c r="V22" s="23"/>
      <c r="W22" s="23"/>
      <c r="X22" s="23"/>
      <c r="Y22" s="23"/>
      <c r="Z22" s="23"/>
      <c r="AA22" s="23"/>
      <c r="AB22" s="23"/>
      <c r="AC22" s="23"/>
      <c r="AD22" s="23"/>
      <c r="AE22" s="23"/>
      <c r="AF22" s="23"/>
    </row>
    <row r="23" spans="4:32" x14ac:dyDescent="0.15">
      <c r="D23" s="195">
        <v>1819</v>
      </c>
      <c r="E23" s="196">
        <f t="shared" si="1"/>
        <v>0.27691814211722088</v>
      </c>
      <c r="F23" s="292">
        <f>SUM(IFERROR(LOOKUP(D23,'Pennsylvania anthracite'!D$8:D$300,'Pennsylvania anthracite'!F$8:F$300),0),IFERROR(LOOKUP(D23,'Western United States'!D$13:D$300,'Western United States'!F$13:F$300),0),IFERROR(LOOKUP(D23,'Eastern United States'!D$13:D$300,'Eastern United States'!F$13:F$300),0))</f>
        <v>3.4495246175057395E-3</v>
      </c>
      <c r="J23" s="341" t="s">
        <v>297</v>
      </c>
      <c r="K23" s="15">
        <v>2010</v>
      </c>
      <c r="L23" s="138">
        <f t="shared" si="0"/>
        <v>305.84378073146144</v>
      </c>
      <c r="M23" s="35">
        <v>2008</v>
      </c>
      <c r="N23" s="35">
        <v>237.29499999999999</v>
      </c>
      <c r="O23" s="23"/>
      <c r="P23" s="23"/>
      <c r="Q23" s="23"/>
      <c r="R23" s="23"/>
      <c r="S23" s="23"/>
      <c r="T23" s="23"/>
      <c r="U23" s="23"/>
      <c r="V23" s="23"/>
      <c r="W23" s="23"/>
      <c r="X23" s="23"/>
      <c r="Y23" s="23"/>
      <c r="Z23" s="23"/>
      <c r="AA23" s="23"/>
      <c r="AB23" s="23"/>
      <c r="AC23" s="23"/>
      <c r="AD23" s="23"/>
      <c r="AE23" s="23"/>
      <c r="AF23" s="23"/>
    </row>
    <row r="24" spans="4:32" x14ac:dyDescent="0.15">
      <c r="D24" s="195">
        <v>1820</v>
      </c>
      <c r="E24" s="196">
        <f t="shared" si="1"/>
        <v>0.27919971174023439</v>
      </c>
      <c r="F24" s="292">
        <f>SUM(IFERROR(LOOKUP(D24,'Pennsylvania anthracite'!D$8:D$300,'Pennsylvania anthracite'!F$8:F$300),0),IFERROR(LOOKUP(D24,'Western United States'!D$13:D$300,'Western United States'!F$13:F$300),0),IFERROR(LOOKUP(D24,'Eastern United States'!D$13:D$300,'Eastern United States'!F$13:F$300),0))</f>
        <v>3.7287243292459739E-3</v>
      </c>
      <c r="L24" s="35"/>
      <c r="M24" s="23"/>
      <c r="N24" s="23"/>
      <c r="O24" s="23"/>
      <c r="P24" s="23"/>
      <c r="Q24" s="23"/>
      <c r="R24" s="23"/>
      <c r="S24" s="23"/>
      <c r="T24" s="23"/>
      <c r="U24" s="23"/>
      <c r="V24" s="23"/>
      <c r="W24" s="23"/>
      <c r="X24" s="23"/>
      <c r="Y24" s="23"/>
      <c r="Z24" s="23"/>
      <c r="AA24" s="23"/>
      <c r="AB24" s="23"/>
      <c r="AC24" s="23"/>
      <c r="AD24" s="23"/>
      <c r="AE24" s="23"/>
      <c r="AF24" s="23"/>
    </row>
    <row r="25" spans="4:32" x14ac:dyDescent="0.15">
      <c r="D25" s="195">
        <v>1821</v>
      </c>
      <c r="E25" s="196">
        <f t="shared" si="1"/>
        <v>0.28709312616959387</v>
      </c>
      <c r="F25" s="292">
        <f>SUM(IFERROR(LOOKUP(D25,'Pennsylvania anthracite'!D$8:D$300,'Pennsylvania anthracite'!F$8:F$300),0),IFERROR(LOOKUP(D25,'Western United States'!D$13:D$300,'Western United States'!F$13:F$300),0),IFERROR(LOOKUP(D25,'Eastern United States'!D$13:D$300,'Eastern United States'!F$13:F$300),0))</f>
        <v>4.0158174554155678E-3</v>
      </c>
      <c r="L25" s="35"/>
      <c r="M25" s="23"/>
      <c r="N25" s="23"/>
      <c r="O25" s="23"/>
      <c r="P25" s="23"/>
      <c r="Q25" s="23"/>
      <c r="R25" s="23"/>
      <c r="S25" s="23"/>
      <c r="T25" s="23"/>
      <c r="U25" s="23"/>
      <c r="V25" s="23"/>
      <c r="W25" s="23"/>
      <c r="X25" s="23"/>
      <c r="Y25" s="23"/>
      <c r="Z25" s="23"/>
      <c r="AA25" s="23"/>
      <c r="AB25" s="23"/>
      <c r="AC25" s="23"/>
      <c r="AD25" s="23"/>
      <c r="AE25" s="23"/>
      <c r="AF25" s="23"/>
    </row>
    <row r="26" spans="4:32" x14ac:dyDescent="0.15">
      <c r="D26" s="195">
        <v>1822</v>
      </c>
      <c r="E26" s="196">
        <f t="shared" si="1"/>
        <v>0.29051049108803906</v>
      </c>
      <c r="F26" s="292">
        <f>SUM(IFERROR(LOOKUP(D26,'Pennsylvania anthracite'!D$8:D$300,'Pennsylvania anthracite'!F$8:F$300),0),IFERROR(LOOKUP(D26,'Western United States'!D$13:D$300,'Western United States'!F$13:F$300),0),IFERROR(LOOKUP(D26,'Eastern United States'!D$13:D$300,'Eastern United States'!F$13:F$300),0))</f>
        <v>4.3063279465036068E-3</v>
      </c>
    </row>
    <row r="27" spans="4:32" x14ac:dyDescent="0.15">
      <c r="D27" s="195">
        <v>1823</v>
      </c>
      <c r="E27" s="196">
        <f t="shared" si="1"/>
        <v>0.29671472753010214</v>
      </c>
      <c r="F27" s="292">
        <f>SUM(IFERROR(LOOKUP(D27,'Pennsylvania anthracite'!D$8:D$300,'Pennsylvania anthracite'!F$8:F$300),0),IFERROR(LOOKUP(D27,'Western United States'!D$13:D$300,'Western United States'!F$13:F$300),0),IFERROR(LOOKUP(D27,'Eastern United States'!D$13:D$300,'Eastern United States'!F$13:F$300),0))</f>
        <v>4.603042674033709E-3</v>
      </c>
    </row>
    <row r="28" spans="4:32" x14ac:dyDescent="0.15">
      <c r="D28" s="195">
        <v>1824</v>
      </c>
      <c r="E28" s="196">
        <f t="shared" si="1"/>
        <v>0.33313456613268383</v>
      </c>
      <c r="F28" s="292">
        <f>SUM(IFERROR(LOOKUP(D28,'Pennsylvania anthracite'!D$8:D$300,'Pennsylvania anthracite'!F$8:F$300),0),IFERROR(LOOKUP(D28,'Western United States'!D$13:D$300,'Western United States'!F$13:F$300),0),IFERROR(LOOKUP(D28,'Eastern United States'!D$13:D$300,'Eastern United States'!F$13:F$300),0))</f>
        <v>4.9361772401663928E-3</v>
      </c>
    </row>
    <row r="29" spans="4:32" x14ac:dyDescent="0.15">
      <c r="D29" s="195">
        <v>1825</v>
      </c>
      <c r="E29" s="196">
        <f t="shared" si="1"/>
        <v>0.37229863857606621</v>
      </c>
      <c r="F29" s="292">
        <f>SUM(IFERROR(LOOKUP(D29,'Pennsylvania anthracite'!D$8:D$300,'Pennsylvania anthracite'!F$8:F$300),0),IFERROR(LOOKUP(D29,'Western United States'!D$13:D$300,'Western United States'!F$13:F$300),0),IFERROR(LOOKUP(D29,'Eastern United States'!D$13:D$300,'Eastern United States'!F$13:F$300),0))</f>
        <v>5.308475878742459E-3</v>
      </c>
    </row>
    <row r="30" spans="4:32" x14ac:dyDescent="0.15">
      <c r="D30" s="195">
        <v>1826</v>
      </c>
      <c r="E30" s="196">
        <f t="shared" si="1"/>
        <v>0.43146976329218667</v>
      </c>
      <c r="F30" s="292">
        <f>SUM(IFERROR(LOOKUP(D30,'Pennsylvania anthracite'!D$8:D$300,'Pennsylvania anthracite'!F$8:F$300),0),IFERROR(LOOKUP(D30,'Western United States'!D$13:D$300,'Western United States'!F$13:F$300),0),IFERROR(LOOKUP(D30,'Eastern United States'!D$13:D$300,'Eastern United States'!F$13:F$300),0))</f>
        <v>5.7399456420346457E-3</v>
      </c>
    </row>
    <row r="31" spans="4:32" x14ac:dyDescent="0.15">
      <c r="D31" s="195">
        <v>1827</v>
      </c>
      <c r="E31" s="196">
        <f t="shared" si="1"/>
        <v>0.47543465738367469</v>
      </c>
      <c r="F31" s="292">
        <f>SUM(IFERROR(LOOKUP(D31,'Pennsylvania anthracite'!D$8:D$300,'Pennsylvania anthracite'!F$8:F$300),0),IFERROR(LOOKUP(D31,'Western United States'!D$13:D$300,'Western United States'!F$13:F$300),0),IFERROR(LOOKUP(D31,'Eastern United States'!D$13:D$300,'Eastern United States'!F$13:F$300),0))</f>
        <v>6.2153802994183204E-3</v>
      </c>
    </row>
    <row r="32" spans="4:32" x14ac:dyDescent="0.15">
      <c r="D32" s="195">
        <v>1828</v>
      </c>
      <c r="E32" s="196">
        <f t="shared" si="1"/>
        <v>0.53816376065305915</v>
      </c>
      <c r="F32" s="292">
        <f>SUM(IFERROR(LOOKUP(D32,'Pennsylvania anthracite'!D$8:D$300,'Pennsylvania anthracite'!F$8:F$300),0),IFERROR(LOOKUP(D32,'Western United States'!D$13:D$300,'Western United States'!F$13:F$300),0),IFERROR(LOOKUP(D32,'Eastern United States'!D$13:D$300,'Eastern United States'!F$13:F$300),0))</f>
        <v>6.7535440600713795E-3</v>
      </c>
    </row>
    <row r="33" spans="4:6" x14ac:dyDescent="0.15">
      <c r="D33" s="195">
        <v>1829</v>
      </c>
      <c r="E33" s="196">
        <f t="shared" si="1"/>
        <v>0.60485363250060464</v>
      </c>
      <c r="F33" s="292">
        <f>SUM(IFERROR(LOOKUP(D33,'Pennsylvania anthracite'!D$8:D$300,'Pennsylvania anthracite'!F$8:F$300),0),IFERROR(LOOKUP(D33,'Western United States'!D$13:D$300,'Western United States'!F$13:F$300),0),IFERROR(LOOKUP(D33,'Eastern United States'!D$13:D$300,'Eastern United States'!F$13:F$300),0))</f>
        <v>7.3583976925719842E-3</v>
      </c>
    </row>
    <row r="34" spans="4:6" x14ac:dyDescent="0.15">
      <c r="D34" s="195">
        <v>1830</v>
      </c>
      <c r="E34" s="196">
        <f t="shared" si="1"/>
        <v>0.72038542360596935</v>
      </c>
      <c r="F34" s="292">
        <f>SUM(IFERROR(LOOKUP(D34,'Pennsylvania anthracite'!D$8:D$300,'Pennsylvania anthracite'!F$8:F$300),0),IFERROR(LOOKUP(D34,'Western United States'!D$13:D$300,'Western United States'!F$13:F$300),0),IFERROR(LOOKUP(D34,'Eastern United States'!D$13:D$300,'Eastern United States'!F$13:F$300),0))</f>
        <v>8.0787831161779535E-3</v>
      </c>
    </row>
    <row r="35" spans="4:6" x14ac:dyDescent="0.15">
      <c r="D35" s="195">
        <v>1831</v>
      </c>
      <c r="E35" s="196">
        <f t="shared" si="1"/>
        <v>0.77438922403871502</v>
      </c>
      <c r="F35" s="292">
        <f>SUM(IFERROR(LOOKUP(D35,'Pennsylvania anthracite'!D$8:D$300,'Pennsylvania anthracite'!F$8:F$300),0),IFERROR(LOOKUP(D35,'Western United States'!D$13:D$300,'Western United States'!F$13:F$300),0),IFERROR(LOOKUP(D35,'Eastern United States'!D$13:D$300,'Eastern United States'!F$13:F$300),0))</f>
        <v>8.8531723402166685E-3</v>
      </c>
    </row>
    <row r="36" spans="4:6" x14ac:dyDescent="0.15">
      <c r="D36" s="195">
        <v>1832</v>
      </c>
      <c r="E36" s="196">
        <f t="shared" si="1"/>
        <v>1.0612464821757108</v>
      </c>
      <c r="F36" s="292">
        <f>SUM(IFERROR(LOOKUP(D36,'Pennsylvania anthracite'!D$8:D$300,'Pennsylvania anthracite'!F$8:F$300),0),IFERROR(LOOKUP(D36,'Western United States'!D$13:D$300,'Western United States'!F$13:F$300),0),IFERROR(LOOKUP(D36,'Eastern United States'!D$13:D$300,'Eastern United States'!F$13:F$300),0))</f>
        <v>9.9144188223923794E-3</v>
      </c>
    </row>
    <row r="37" spans="4:6" x14ac:dyDescent="0.15">
      <c r="D37" s="195">
        <v>1833</v>
      </c>
      <c r="E37" s="196">
        <f t="shared" si="1"/>
        <v>1.2201008805761051</v>
      </c>
      <c r="F37" s="292">
        <f>SUM(IFERROR(LOOKUP(D37,'Pennsylvania anthracite'!D$8:D$300,'Pennsylvania anthracite'!F$8:F$300),0),IFERROR(LOOKUP(D37,'Western United States'!D$13:D$300,'Western United States'!F$13:F$300),0),IFERROR(LOOKUP(D37,'Eastern United States'!D$13:D$300,'Eastern United States'!F$13:F$300),0))</f>
        <v>1.1134519702968484E-2</v>
      </c>
    </row>
    <row r="38" spans="4:6" x14ac:dyDescent="0.15">
      <c r="D38" s="195">
        <v>1834</v>
      </c>
      <c r="E38" s="196">
        <f t="shared" si="1"/>
        <v>1.1275117915645825</v>
      </c>
      <c r="F38" s="292">
        <f>SUM(IFERROR(LOOKUP(D38,'Pennsylvania anthracite'!D$8:D$300,'Pennsylvania anthracite'!F$8:F$300),0),IFERROR(LOOKUP(D38,'Western United States'!D$13:D$300,'Western United States'!F$13:F$300),0),IFERROR(LOOKUP(D38,'Eastern United States'!D$13:D$300,'Eastern United States'!F$13:F$300),0))</f>
        <v>1.2262031494533067E-2</v>
      </c>
    </row>
    <row r="39" spans="4:6" x14ac:dyDescent="0.15">
      <c r="D39" s="195">
        <v>1835</v>
      </c>
      <c r="E39" s="196">
        <f t="shared" si="1"/>
        <v>1.4594379876225714</v>
      </c>
      <c r="F39" s="292">
        <f>SUM(IFERROR(LOOKUP(D39,'Pennsylvania anthracite'!D$8:D$300,'Pennsylvania anthracite'!F$8:F$300),0),IFERROR(LOOKUP(D39,'Western United States'!D$13:D$300,'Western United States'!F$13:F$300),0),IFERROR(LOOKUP(D39,'Eastern United States'!D$13:D$300,'Eastern United States'!F$13:F$300),0))</f>
        <v>1.3721469482155638E-2</v>
      </c>
    </row>
    <row r="40" spans="4:6" x14ac:dyDescent="0.15">
      <c r="D40" s="195">
        <v>1836</v>
      </c>
      <c r="E40" s="196">
        <f t="shared" si="1"/>
        <v>1.6207581141483538</v>
      </c>
      <c r="F40" s="292">
        <f>SUM(IFERROR(LOOKUP(D40,'Pennsylvania anthracite'!D$8:D$300,'Pennsylvania anthracite'!F$8:F$300),0),IFERROR(LOOKUP(D40,'Western United States'!D$13:D$300,'Western United States'!F$13:F$300),0),IFERROR(LOOKUP(D40,'Eastern United States'!D$13:D$300,'Eastern United States'!F$13:F$300),0))</f>
        <v>1.5342227596303992E-2</v>
      </c>
    </row>
    <row r="41" spans="4:6" x14ac:dyDescent="0.15">
      <c r="D41" s="195">
        <v>1837</v>
      </c>
      <c r="E41" s="196">
        <f t="shared" si="1"/>
        <v>1.8259642096931754</v>
      </c>
      <c r="F41" s="292">
        <f>SUM(IFERROR(LOOKUP(D41,'Pennsylvania anthracite'!D$8:D$300,'Pennsylvania anthracite'!F$8:F$300),0),IFERROR(LOOKUP(D41,'Western United States'!D$13:D$300,'Western United States'!F$13:F$300),0),IFERROR(LOOKUP(D41,'Eastern United States'!D$13:D$300,'Eastern United States'!F$13:F$300),0))</f>
        <v>1.7168191805997168E-2</v>
      </c>
    </row>
    <row r="42" spans="4:6" x14ac:dyDescent="0.15">
      <c r="D42" s="195">
        <v>1838</v>
      </c>
      <c r="E42" s="196">
        <f t="shared" si="1"/>
        <v>1.7178096448996796</v>
      </c>
      <c r="F42" s="292">
        <f>SUM(IFERROR(LOOKUP(D42,'Pennsylvania anthracite'!D$8:D$300,'Pennsylvania anthracite'!F$8:F$300),0),IFERROR(LOOKUP(D42,'Western United States'!D$13:D$300,'Western United States'!F$13:F$300),0),IFERROR(LOOKUP(D42,'Eastern United States'!D$13:D$300,'Eastern United States'!F$13:F$300),0))</f>
        <v>1.8886001450896847E-2</v>
      </c>
    </row>
    <row r="43" spans="4:6" x14ac:dyDescent="0.15">
      <c r="D43" s="195">
        <v>1839</v>
      </c>
      <c r="E43" s="196">
        <f t="shared" si="1"/>
        <v>1.9068723879826637</v>
      </c>
      <c r="F43" s="292">
        <f>SUM(IFERROR(LOOKUP(D43,'Pennsylvania anthracite'!D$8:D$300,'Pennsylvania anthracite'!F$8:F$300),0),IFERROR(LOOKUP(D43,'Western United States'!D$13:D$300,'Western United States'!F$13:F$300),0),IFERROR(LOOKUP(D43,'Eastern United States'!D$13:D$300,'Eastern United States'!F$13:F$300),0))</f>
        <v>2.0792873838879511E-2</v>
      </c>
    </row>
    <row r="44" spans="4:6" x14ac:dyDescent="0.15">
      <c r="D44" s="195">
        <v>1840</v>
      </c>
      <c r="E44" s="196">
        <f t="shared" si="1"/>
        <v>1.9585238583826221</v>
      </c>
      <c r="F44" s="292">
        <f>SUM(IFERROR(LOOKUP(D44,'Pennsylvania anthracite'!D$8:D$300,'Pennsylvania anthracite'!F$8:F$300),0),IFERROR(LOOKUP(D44,'Western United States'!D$13:D$300,'Western United States'!F$13:F$300),0),IFERROR(LOOKUP(D44,'Eastern United States'!D$13:D$300,'Eastern United States'!F$13:F$300),0))</f>
        <v>2.2751397697262133E-2</v>
      </c>
    </row>
    <row r="45" spans="4:6" x14ac:dyDescent="0.15">
      <c r="D45" s="195">
        <v>1841</v>
      </c>
      <c r="E45" s="196">
        <f t="shared" si="1"/>
        <v>2.174390281816124</v>
      </c>
      <c r="F45" s="292">
        <f>SUM(IFERROR(LOOKUP(D45,'Pennsylvania anthracite'!D$8:D$300,'Pennsylvania anthracite'!F$8:F$300),0),IFERROR(LOOKUP(D45,'Western United States'!D$13:D$300,'Western United States'!F$13:F$300),0),IFERROR(LOOKUP(D45,'Eastern United States'!D$13:D$300,'Eastern United States'!F$13:F$300),0))</f>
        <v>2.4925787979078257E-2</v>
      </c>
    </row>
    <row r="46" spans="4:6" x14ac:dyDescent="0.15">
      <c r="D46" s="195">
        <v>1842</v>
      </c>
      <c r="E46" s="196">
        <f t="shared" si="1"/>
        <v>2.417043149090071</v>
      </c>
      <c r="F46" s="292">
        <f>SUM(IFERROR(LOOKUP(D46,'Pennsylvania anthracite'!D$8:D$300,'Pennsylvania anthracite'!F$8:F$300),0),IFERROR(LOOKUP(D46,'Western United States'!D$13:D$300,'Western United States'!F$13:F$300),0),IFERROR(LOOKUP(D46,'Eastern United States'!D$13:D$300,'Eastern United States'!F$13:F$300),0))</f>
        <v>2.7342831128168328E-2</v>
      </c>
    </row>
    <row r="47" spans="4:6" x14ac:dyDescent="0.15">
      <c r="D47" s="195">
        <v>1843</v>
      </c>
      <c r="E47" s="196">
        <f t="shared" si="1"/>
        <v>2.7368548001199393</v>
      </c>
      <c r="F47" s="292">
        <f>SUM(IFERROR(LOOKUP(D47,'Pennsylvania anthracite'!D$8:D$300,'Pennsylvania anthracite'!F$8:F$300),0),IFERROR(LOOKUP(D47,'Western United States'!D$13:D$300,'Western United States'!F$13:F$300),0),IFERROR(LOOKUP(D47,'Eastern United States'!D$13:D$300,'Eastern United States'!F$13:F$300),0))</f>
        <v>3.0079685928288268E-2</v>
      </c>
    </row>
    <row r="48" spans="4:6" x14ac:dyDescent="0.15">
      <c r="D48" s="195">
        <v>1844</v>
      </c>
      <c r="E48" s="196">
        <f t="shared" si="1"/>
        <v>3.3487645155341821</v>
      </c>
      <c r="F48" s="292">
        <f>SUM(IFERROR(LOOKUP(D48,'Pennsylvania anthracite'!D$8:D$300,'Pennsylvania anthracite'!F$8:F$300),0),IFERROR(LOOKUP(D48,'Western United States'!D$13:D$300,'Western United States'!F$13:F$300),0),IFERROR(LOOKUP(D48,'Eastern United States'!D$13:D$300,'Eastern United States'!F$13:F$300),0))</f>
        <v>3.3428450443822449E-2</v>
      </c>
    </row>
    <row r="49" spans="4:9" x14ac:dyDescent="0.15">
      <c r="D49" s="195">
        <v>1845</v>
      </c>
      <c r="E49" s="196">
        <f t="shared" si="1"/>
        <v>4.0352774752896305</v>
      </c>
      <c r="F49" s="292">
        <f>SUM(IFERROR(LOOKUP(D49,'Pennsylvania anthracite'!D$8:D$300,'Pennsylvania anthracite'!F$8:F$300),0),IFERROR(LOOKUP(D49,'Western United States'!D$13:D$300,'Western United States'!F$13:F$300),0),IFERROR(LOOKUP(D49,'Eastern United States'!D$13:D$300,'Eastern United States'!F$13:F$300),0))</f>
        <v>3.746372791911208E-2</v>
      </c>
    </row>
    <row r="50" spans="4:9" x14ac:dyDescent="0.15">
      <c r="D50" s="195">
        <v>1846</v>
      </c>
      <c r="E50" s="196">
        <f t="shared" si="1"/>
        <v>4.5669076914397273</v>
      </c>
      <c r="F50" s="292">
        <f>SUM(IFERROR(LOOKUP(D50,'Pennsylvania anthracite'!D$8:D$300,'Pennsylvania anthracite'!F$8:F$300),0),IFERROR(LOOKUP(D50,'Western United States'!D$13:D$300,'Western United States'!F$13:F$300),0),IFERROR(LOOKUP(D50,'Eastern United States'!D$13:D$300,'Eastern United States'!F$13:F$300),0))</f>
        <v>4.2030635610551807E-2</v>
      </c>
      <c r="I50" s="34"/>
    </row>
    <row r="51" spans="4:9" x14ac:dyDescent="0.15">
      <c r="D51" s="195">
        <v>1847</v>
      </c>
      <c r="E51" s="196">
        <f t="shared" si="1"/>
        <v>5.5026034342331096</v>
      </c>
      <c r="F51" s="292">
        <f>SUM(IFERROR(LOOKUP(D51,'Pennsylvania anthracite'!D$8:D$300,'Pennsylvania anthracite'!F$8:F$300),0),IFERROR(LOOKUP(D51,'Western United States'!D$13:D$300,'Western United States'!F$13:F$300),0),IFERROR(LOOKUP(D51,'Eastern United States'!D$13:D$300,'Eastern United States'!F$13:F$300),0))</f>
        <v>4.7533239044784917E-2</v>
      </c>
      <c r="I51" s="34"/>
    </row>
    <row r="52" spans="4:9" x14ac:dyDescent="0.15">
      <c r="D52" s="195">
        <v>1848</v>
      </c>
      <c r="E52" s="196">
        <f t="shared" si="1"/>
        <v>6.1436809534322903</v>
      </c>
      <c r="F52" s="292">
        <f>SUM(IFERROR(LOOKUP(D52,'Pennsylvania anthracite'!D$8:D$300,'Pennsylvania anthracite'!F$8:F$300),0),IFERROR(LOOKUP(D52,'Western United States'!D$13:D$300,'Western United States'!F$13:F$300),0),IFERROR(LOOKUP(D52,'Eastern United States'!D$13:D$300,'Eastern United States'!F$13:F$300),0))</f>
        <v>5.3676919998217207E-2</v>
      </c>
      <c r="I52" s="34"/>
    </row>
    <row r="53" spans="4:9" x14ac:dyDescent="0.15">
      <c r="D53" s="195">
        <v>1849</v>
      </c>
      <c r="E53" s="196">
        <f t="shared" si="1"/>
        <v>6.6044518766663201</v>
      </c>
      <c r="F53" s="292">
        <f>SUM(IFERROR(LOOKUP(D53,'Pennsylvania anthracite'!D$8:D$300,'Pennsylvania anthracite'!F$8:F$300),0),IFERROR(LOOKUP(D53,'Western United States'!D$13:D$300,'Western United States'!F$13:F$300),0),IFERROR(LOOKUP(D53,'Eastern United States'!D$13:D$300,'Eastern United States'!F$13:F$300),0))</f>
        <v>6.0281371874883527E-2</v>
      </c>
      <c r="I53" s="34"/>
    </row>
    <row r="54" spans="4:9" x14ac:dyDescent="0.15">
      <c r="D54" s="195">
        <v>1850</v>
      </c>
      <c r="E54" s="196">
        <f t="shared" si="1"/>
        <v>7.2648615026910948</v>
      </c>
      <c r="F54" s="292">
        <f>SUM(IFERROR(LOOKUP(D54,'Pennsylvania anthracite'!D$8:D$300,'Pennsylvania anthracite'!F$8:F$300),0),IFERROR(LOOKUP(D54,'Western United States'!D$13:D$300,'Western United States'!F$13:F$300),0),IFERROR(LOOKUP(D54,'Eastern United States'!D$13:D$300,'Eastern United States'!F$13:F$300),0))</f>
        <v>6.7546233377574622E-2</v>
      </c>
      <c r="I54" s="34"/>
    </row>
    <row r="55" spans="4:9" x14ac:dyDescent="0.15">
      <c r="D55" s="195">
        <v>1851</v>
      </c>
      <c r="E55" s="196">
        <f t="shared" si="1"/>
        <v>9.1310920142876899</v>
      </c>
      <c r="F55" s="292">
        <f>SUM(IFERROR(LOOKUP(D55,'Pennsylvania anthracite'!D$8:D$300,'Pennsylvania anthracite'!F$8:F$300),0),IFERROR(LOOKUP(D55,'Western United States'!D$13:D$300,'Western United States'!F$13:F$300),0),IFERROR(LOOKUP(D55,'Eastern United States'!D$13:D$300,'Eastern United States'!F$13:F$300),0))</f>
        <v>7.6677325391862311E-2</v>
      </c>
      <c r="I55" s="34"/>
    </row>
    <row r="56" spans="4:9" x14ac:dyDescent="0.15">
      <c r="D56" s="195">
        <v>1852</v>
      </c>
      <c r="E56" s="196">
        <f t="shared" si="1"/>
        <v>10.240217892711263</v>
      </c>
      <c r="F56" s="292">
        <f>SUM(IFERROR(LOOKUP(D56,'Pennsylvania anthracite'!D$8:D$300,'Pennsylvania anthracite'!F$8:F$300),0),IFERROR(LOOKUP(D56,'Western United States'!D$13:D$300,'Western United States'!F$13:F$300),0),IFERROR(LOOKUP(D56,'Eastern United States'!D$13:D$300,'Eastern United States'!F$13:F$300),0))</f>
        <v>8.6917543284573573E-2</v>
      </c>
      <c r="I56" s="34"/>
    </row>
    <row r="57" spans="4:9" x14ac:dyDescent="0.15">
      <c r="D57" s="195">
        <v>1853</v>
      </c>
      <c r="E57" s="196">
        <f t="shared" si="1"/>
        <v>11.243760167896689</v>
      </c>
      <c r="F57" s="292">
        <f>SUM(IFERROR(LOOKUP(D57,'Pennsylvania anthracite'!D$8:D$300,'Pennsylvania anthracite'!F$8:F$300),0),IFERROR(LOOKUP(D57,'Western United States'!D$13:D$300,'Western United States'!F$13:F$300),0),IFERROR(LOOKUP(D57,'Eastern United States'!D$13:D$300,'Eastern United States'!F$13:F$300),0))</f>
        <v>9.8161303452470261E-2</v>
      </c>
      <c r="I57" s="34"/>
    </row>
    <row r="58" spans="4:9" x14ac:dyDescent="0.15">
      <c r="D58" s="195">
        <v>1854</v>
      </c>
      <c r="E58" s="196">
        <f t="shared" si="1"/>
        <v>13.261419770790511</v>
      </c>
      <c r="F58" s="292">
        <f>SUM(IFERROR(LOOKUP(D58,'Pennsylvania anthracite'!D$8:D$300,'Pennsylvania anthracite'!F$8:F$300),0),IFERROR(LOOKUP(D58,'Western United States'!D$13:D$300,'Western United States'!F$13:F$300),0),IFERROR(LOOKUP(D58,'Eastern United States'!D$13:D$300,'Eastern United States'!F$13:F$300),0))</f>
        <v>0.11142272322326077</v>
      </c>
      <c r="I58" s="34"/>
    </row>
    <row r="59" spans="4:9" x14ac:dyDescent="0.15">
      <c r="D59" s="195">
        <v>1855</v>
      </c>
      <c r="E59" s="196">
        <f t="shared" si="1"/>
        <v>14.308093237290652</v>
      </c>
      <c r="F59" s="292">
        <f>SUM(IFERROR(LOOKUP(D59,'Pennsylvania anthracite'!D$8:D$300,'Pennsylvania anthracite'!F$8:F$300),0),IFERROR(LOOKUP(D59,'Western United States'!D$13:D$300,'Western United States'!F$13:F$300),0),IFERROR(LOOKUP(D59,'Eastern United States'!D$13:D$300,'Eastern United States'!F$13:F$300),0))</f>
        <v>0.12573081646055143</v>
      </c>
      <c r="I59" s="34"/>
    </row>
    <row r="60" spans="4:9" x14ac:dyDescent="0.15">
      <c r="D60" s="195">
        <v>1856</v>
      </c>
      <c r="E60" s="196">
        <f t="shared" si="1"/>
        <v>15.078446396417727</v>
      </c>
      <c r="F60" s="292">
        <f>SUM(IFERROR(LOOKUP(D60,'Pennsylvania anthracite'!D$8:D$300,'Pennsylvania anthracite'!F$8:F$300),0),IFERROR(LOOKUP(D60,'Western United States'!D$13:D$300,'Western United States'!F$13:F$300),0),IFERROR(LOOKUP(D60,'Eastern United States'!D$13:D$300,'Eastern United States'!F$13:F$300),0))</f>
        <v>0.14080926285696915</v>
      </c>
      <c r="I60" s="34"/>
    </row>
    <row r="61" spans="4:9" x14ac:dyDescent="0.15">
      <c r="D61" s="195">
        <v>1857</v>
      </c>
      <c r="E61" s="196">
        <f t="shared" si="1"/>
        <v>15.473628770079461</v>
      </c>
      <c r="F61" s="292">
        <f>SUM(IFERROR(LOOKUP(D61,'Pennsylvania anthracite'!D$8:D$300,'Pennsylvania anthracite'!F$8:F$300),0),IFERROR(LOOKUP(D61,'Western United States'!D$13:D$300,'Western United States'!F$13:F$300),0),IFERROR(LOOKUP(D61,'Eastern United States'!D$13:D$300,'Eastern United States'!F$13:F$300),0))</f>
        <v>0.15628289162704861</v>
      </c>
      <c r="I61" s="34"/>
    </row>
    <row r="62" spans="4:9" x14ac:dyDescent="0.15">
      <c r="D62" s="195">
        <v>1858</v>
      </c>
      <c r="E62" s="196">
        <f t="shared" si="1"/>
        <v>15.698439127872167</v>
      </c>
      <c r="F62" s="292">
        <f>SUM(IFERROR(LOOKUP(D62,'Pennsylvania anthracite'!D$8:D$300,'Pennsylvania anthracite'!F$8:F$300),0),IFERROR(LOOKUP(D62,'Western United States'!D$13:D$300,'Western United States'!F$13:F$300),0),IFERROR(LOOKUP(D62,'Eastern United States'!D$13:D$300,'Eastern United States'!F$13:F$300),0))</f>
        <v>0.17198133075492078</v>
      </c>
      <c r="I62" s="34"/>
    </row>
    <row r="63" spans="4:9" x14ac:dyDescent="0.15">
      <c r="D63" s="195">
        <v>1859</v>
      </c>
      <c r="E63" s="196">
        <f t="shared" si="1"/>
        <v>17.12665363108723</v>
      </c>
      <c r="F63" s="292">
        <f>SUM(IFERROR(LOOKUP(D63,'Pennsylvania anthracite'!D$8:D$300,'Pennsylvania anthracite'!F$8:F$300),0),IFERROR(LOOKUP(D63,'Western United States'!D$13:D$300,'Western United States'!F$13:F$300),0),IFERROR(LOOKUP(D63,'Eastern United States'!D$13:D$300,'Eastern United States'!F$13:F$300),0))</f>
        <v>0.18910798438600801</v>
      </c>
      <c r="I63" s="34"/>
    </row>
    <row r="64" spans="4:9" x14ac:dyDescent="0.15">
      <c r="D64" s="195">
        <v>1860</v>
      </c>
      <c r="E64" s="196">
        <f t="shared" si="1"/>
        <v>17.845507726850755</v>
      </c>
      <c r="F64" s="292">
        <f>SUM(IFERROR(LOOKUP(D64,'Pennsylvania anthracite'!D$8:D$300,'Pennsylvania anthracite'!F$8:F$300),0),IFERROR(LOOKUP(D64,'Western United States'!D$13:D$300,'Western United States'!F$13:F$300),0),IFERROR(LOOKUP(D64,'Eastern United States'!D$13:D$300,'Eastern United States'!F$13:F$300),0))</f>
        <v>0.20695349211285877</v>
      </c>
      <c r="I64" s="34"/>
    </row>
    <row r="65" spans="4:9" x14ac:dyDescent="0.15">
      <c r="D65" s="195">
        <v>1861</v>
      </c>
      <c r="E65" s="196">
        <f t="shared" si="1"/>
        <v>16.948028955631411</v>
      </c>
      <c r="F65" s="292">
        <f>SUM(IFERROR(LOOKUP(D65,'Pennsylvania anthracite'!D$8:D$300,'Pennsylvania anthracite'!F$8:F$300),0),IFERROR(LOOKUP(D65,'Western United States'!D$13:D$300,'Western United States'!F$13:F$300),0),IFERROR(LOOKUP(D65,'Eastern United States'!D$13:D$300,'Eastern United States'!F$13:F$300),0))</f>
        <v>0.22390152106849018</v>
      </c>
      <c r="I65" s="34"/>
    </row>
    <row r="66" spans="4:9" x14ac:dyDescent="0.15">
      <c r="D66" s="195">
        <v>1862</v>
      </c>
      <c r="E66" s="196">
        <f t="shared" si="1"/>
        <v>17.507052522213517</v>
      </c>
      <c r="F66" s="292">
        <f>SUM(IFERROR(LOOKUP(D66,'Pennsylvania anthracite'!D$8:D$300,'Pennsylvania anthracite'!F$8:F$300),0),IFERROR(LOOKUP(D66,'Western United States'!D$13:D$300,'Western United States'!F$13:F$300),0),IFERROR(LOOKUP(D66,'Eastern United States'!D$13:D$300,'Eastern United States'!F$13:F$300),0))</f>
        <v>0.2414085735907037</v>
      </c>
      <c r="I66" s="34"/>
    </row>
    <row r="67" spans="4:9" x14ac:dyDescent="0.15">
      <c r="D67" s="195">
        <v>1863</v>
      </c>
      <c r="E67" s="196">
        <f t="shared" si="1"/>
        <v>20.785948390568549</v>
      </c>
      <c r="F67" s="292">
        <f>SUM(IFERROR(LOOKUP(D67,'Pennsylvania anthracite'!D$8:D$300,'Pennsylvania anthracite'!F$8:F$300),0),IFERROR(LOOKUP(D67,'Western United States'!D$13:D$300,'Western United States'!F$13:F$300),0),IFERROR(LOOKUP(D67,'Eastern United States'!D$13:D$300,'Eastern United States'!F$13:F$300),0))</f>
        <v>0.26219452198127224</v>
      </c>
      <c r="I67" s="34"/>
    </row>
    <row r="68" spans="4:9" x14ac:dyDescent="0.15">
      <c r="D68" s="195">
        <v>1864</v>
      </c>
      <c r="E68" s="196">
        <f t="shared" si="1"/>
        <v>21.681415933217597</v>
      </c>
      <c r="F68" s="292">
        <f>SUM(IFERROR(LOOKUP(D68,'Pennsylvania anthracite'!D$8:D$300,'Pennsylvania anthracite'!F$8:F$300),0),IFERROR(LOOKUP(D68,'Western United States'!D$13:D$300,'Western United States'!F$13:F$300),0),IFERROR(LOOKUP(D68,'Eastern United States'!D$13:D$300,'Eastern United States'!F$13:F$300),0))</f>
        <v>0.28387593791448984</v>
      </c>
      <c r="I68" s="34"/>
    </row>
    <row r="69" spans="4:9" x14ac:dyDescent="0.15">
      <c r="D69" s="195">
        <v>1865</v>
      </c>
      <c r="E69" s="196">
        <f t="shared" ref="E69:E132" si="2">(F69-F68)*1000</f>
        <v>22.166175542551571</v>
      </c>
      <c r="F69" s="292">
        <f>SUM(IFERROR(LOOKUP(D69,'Pennsylvania anthracite'!D$8:D$300,'Pennsylvania anthracite'!F$8:F$300),0),IFERROR(LOOKUP(D69,'Western United States'!D$13:D$300,'Western United States'!F$13:F$300),0),IFERROR(LOOKUP(D69,'Eastern United States'!D$13:D$300,'Eastern United States'!F$13:F$300),0))</f>
        <v>0.30604211345704141</v>
      </c>
      <c r="I69" s="34"/>
    </row>
    <row r="70" spans="4:9" x14ac:dyDescent="0.15">
      <c r="D70" s="195">
        <v>1866</v>
      </c>
      <c r="E70" s="196">
        <f t="shared" si="2"/>
        <v>26.109867275152965</v>
      </c>
      <c r="F70" s="292">
        <f>SUM(IFERROR(LOOKUP(D70,'Pennsylvania anthracite'!D$8:D$300,'Pennsylvania anthracite'!F$8:F$300),0),IFERROR(LOOKUP(D70,'Western United States'!D$13:D$300,'Western United States'!F$13:F$300),0),IFERROR(LOOKUP(D70,'Eastern United States'!D$13:D$300,'Eastern United States'!F$13:F$300),0))</f>
        <v>0.33215198073219437</v>
      </c>
      <c r="I70" s="34"/>
    </row>
    <row r="71" spans="4:9" x14ac:dyDescent="0.15">
      <c r="D71" s="195">
        <v>1867</v>
      </c>
      <c r="E71" s="196">
        <f t="shared" si="2"/>
        <v>27.047426375403859</v>
      </c>
      <c r="F71" s="292">
        <f>SUM(IFERROR(LOOKUP(D71,'Pennsylvania anthracite'!D$8:D$300,'Pennsylvania anthracite'!F$8:F$300),0),IFERROR(LOOKUP(D71,'Western United States'!D$13:D$300,'Western United States'!F$13:F$300),0),IFERROR(LOOKUP(D71,'Eastern United States'!D$13:D$300,'Eastern United States'!F$13:F$300),0))</f>
        <v>0.35919940710759823</v>
      </c>
      <c r="I71" s="34"/>
    </row>
    <row r="72" spans="4:9" x14ac:dyDescent="0.15">
      <c r="D72" s="195">
        <v>1868</v>
      </c>
      <c r="E72" s="196">
        <f t="shared" si="2"/>
        <v>30.489441317625655</v>
      </c>
      <c r="F72" s="292">
        <f>SUM(IFERROR(LOOKUP(D72,'Pennsylvania anthracite'!D$8:D$300,'Pennsylvania anthracite'!F$8:F$300),0),IFERROR(LOOKUP(D72,'Western United States'!D$13:D$300,'Western United States'!F$13:F$300),0),IFERROR(LOOKUP(D72,'Eastern United States'!D$13:D$300,'Eastern United States'!F$13:F$300),0))</f>
        <v>0.38968884842522389</v>
      </c>
      <c r="I72" s="34"/>
    </row>
    <row r="73" spans="4:9" x14ac:dyDescent="0.15">
      <c r="D73" s="195">
        <v>1869</v>
      </c>
      <c r="E73" s="196">
        <f t="shared" si="2"/>
        <v>34.241616372420182</v>
      </c>
      <c r="F73" s="292">
        <f>SUM(IFERROR(LOOKUP(D73,'Pennsylvania anthracite'!D$8:D$300,'Pennsylvania anthracite'!F$8:F$300),0),IFERROR(LOOKUP(D73,'Western United States'!D$13:D$300,'Western United States'!F$13:F$300),0),IFERROR(LOOKUP(D73,'Eastern United States'!D$13:D$300,'Eastern United States'!F$13:F$300),0))</f>
        <v>0.42393046479764407</v>
      </c>
      <c r="I73" s="34"/>
    </row>
    <row r="74" spans="4:9" x14ac:dyDescent="0.15">
      <c r="D74" s="195">
        <v>1870</v>
      </c>
      <c r="E74" s="196">
        <f t="shared" si="2"/>
        <v>36.329250763107943</v>
      </c>
      <c r="F74" s="292">
        <f>SUM(IFERROR(LOOKUP(D74,'Pennsylvania anthracite'!D$8:D$300,'Pennsylvania anthracite'!F$8:F$300),0),IFERROR(LOOKUP(D74,'Western United States'!D$13:D$300,'Western United States'!F$13:F$300),0),IFERROR(LOOKUP(D74,'Eastern United States'!D$13:D$300,'Eastern United States'!F$13:F$300),0))</f>
        <v>0.46025971556075201</v>
      </c>
      <c r="I74" s="39"/>
    </row>
    <row r="75" spans="4:9" x14ac:dyDescent="0.15">
      <c r="D75" s="195">
        <v>1871</v>
      </c>
      <c r="E75" s="196">
        <f t="shared" si="2"/>
        <v>40.265776643442052</v>
      </c>
      <c r="F75" s="292">
        <f>SUM(IFERROR(LOOKUP(D75,'Pennsylvania anthracite'!D$8:D$300,'Pennsylvania anthracite'!F$8:F$300),0),IFERROR(LOOKUP(D75,'Western United States'!D$13:D$300,'Western United States'!F$13:F$300),0),IFERROR(LOOKUP(D75,'Eastern United States'!D$13:D$300,'Eastern United States'!F$13:F$300),0))</f>
        <v>0.50052549220419407</v>
      </c>
      <c r="I75" s="39"/>
    </row>
    <row r="76" spans="4:9" x14ac:dyDescent="0.15">
      <c r="D76" s="195">
        <v>1872</v>
      </c>
      <c r="E76" s="196">
        <f t="shared" si="2"/>
        <v>49.219831555570195</v>
      </c>
      <c r="F76" s="292">
        <f>SUM(IFERROR(LOOKUP(D76,'Pennsylvania anthracite'!D$8:D$300,'Pennsylvania anthracite'!F$8:F$300),0),IFERROR(LOOKUP(D76,'Western United States'!D$13:D$300,'Western United States'!F$13:F$300),0),IFERROR(LOOKUP(D76,'Eastern United States'!D$13:D$300,'Eastern United States'!F$13:F$300),0))</f>
        <v>0.54974532375976426</v>
      </c>
      <c r="I76" s="34"/>
    </row>
    <row r="77" spans="4:9" x14ac:dyDescent="0.15">
      <c r="D77" s="195">
        <v>1873</v>
      </c>
      <c r="E77" s="196">
        <f t="shared" si="2"/>
        <v>52.917731561694772</v>
      </c>
      <c r="F77" s="292">
        <f>SUM(IFERROR(LOOKUP(D77,'Pennsylvania anthracite'!D$8:D$300,'Pennsylvania anthracite'!F$8:F$300),0),IFERROR(LOOKUP(D77,'Western United States'!D$13:D$300,'Western United States'!F$13:F$300),0),IFERROR(LOOKUP(D77,'Eastern United States'!D$13:D$300,'Eastern United States'!F$13:F$300),0))</f>
        <v>0.60266305532145903</v>
      </c>
    </row>
    <row r="78" spans="4:9" x14ac:dyDescent="0.15">
      <c r="D78" s="195">
        <v>1874</v>
      </c>
      <c r="E78" s="196">
        <f t="shared" si="2"/>
        <v>49.963422764844893</v>
      </c>
      <c r="F78" s="292">
        <f>SUM(IFERROR(LOOKUP(D78,'Pennsylvania anthracite'!D$8:D$300,'Pennsylvania anthracite'!F$8:F$300),0),IFERROR(LOOKUP(D78,'Western United States'!D$13:D$300,'Western United States'!F$13:F$300),0),IFERROR(LOOKUP(D78,'Eastern United States'!D$13:D$300,'Eastern United States'!F$13:F$300),0))</f>
        <v>0.65262647808630392</v>
      </c>
    </row>
    <row r="79" spans="4:9" x14ac:dyDescent="0.15">
      <c r="D79" s="195">
        <v>1875</v>
      </c>
      <c r="E79" s="196">
        <f t="shared" si="2"/>
        <v>50.230976946067926</v>
      </c>
      <c r="F79" s="292">
        <f>SUM(IFERROR(LOOKUP(D79,'Pennsylvania anthracite'!D$8:D$300,'Pennsylvania anthracite'!F$8:F$300),0),IFERROR(LOOKUP(D79,'Western United States'!D$13:D$300,'Western United States'!F$13:F$300),0),IFERROR(LOOKUP(D79,'Eastern United States'!D$13:D$300,'Eastern United States'!F$13:F$300),0))</f>
        <v>0.70285745503237185</v>
      </c>
    </row>
    <row r="80" spans="4:9" x14ac:dyDescent="0.15">
      <c r="D80" s="195">
        <v>1876</v>
      </c>
      <c r="E80" s="196">
        <f t="shared" si="2"/>
        <v>49.430235819679645</v>
      </c>
      <c r="F80" s="292">
        <f>SUM(IFERROR(LOOKUP(D80,'Pennsylvania anthracite'!D$8:D$300,'Pennsylvania anthracite'!F$8:F$300),0),IFERROR(LOOKUP(D80,'Western United States'!D$13:D$300,'Western United States'!F$13:F$300),0),IFERROR(LOOKUP(D80,'Eastern United States'!D$13:D$300,'Eastern United States'!F$13:F$300),0))</f>
        <v>0.75228769085205149</v>
      </c>
    </row>
    <row r="81" spans="4:6" x14ac:dyDescent="0.15">
      <c r="D81" s="195">
        <v>1877</v>
      </c>
      <c r="E81" s="196">
        <f t="shared" si="2"/>
        <v>53.898654092553897</v>
      </c>
      <c r="F81" s="292">
        <f>SUM(IFERROR(LOOKUP(D81,'Pennsylvania anthracite'!D$8:D$300,'Pennsylvania anthracite'!F$8:F$300),0),IFERROR(LOOKUP(D81,'Western United States'!D$13:D$300,'Western United States'!F$13:F$300),0),IFERROR(LOOKUP(D81,'Eastern United States'!D$13:D$300,'Eastern United States'!F$13:F$300),0))</f>
        <v>0.80618634494460539</v>
      </c>
    </row>
    <row r="82" spans="4:6" x14ac:dyDescent="0.15">
      <c r="D82" s="195">
        <v>1878</v>
      </c>
      <c r="E82" s="196">
        <f t="shared" si="2"/>
        <v>52.249335081212323</v>
      </c>
      <c r="F82" s="292">
        <f>SUM(IFERROR(LOOKUP(D82,'Pennsylvania anthracite'!D$8:D$300,'Pennsylvania anthracite'!F$8:F$300),0),IFERROR(LOOKUP(D82,'Western United States'!D$13:D$300,'Western United States'!F$13:F$300),0),IFERROR(LOOKUP(D82,'Eastern United States'!D$13:D$300,'Eastern United States'!F$13:F$300),0))</f>
        <v>0.85843568002581772</v>
      </c>
    </row>
    <row r="83" spans="4:6" x14ac:dyDescent="0.15">
      <c r="D83" s="195">
        <v>1879</v>
      </c>
      <c r="E83" s="196">
        <f t="shared" si="2"/>
        <v>63.499223282032617</v>
      </c>
      <c r="F83" s="292">
        <f>SUM(IFERROR(LOOKUP(D83,'Pennsylvania anthracite'!D$8:D$300,'Pennsylvania anthracite'!F$8:F$300),0),IFERROR(LOOKUP(D83,'Western United States'!D$13:D$300,'Western United States'!F$13:F$300),0),IFERROR(LOOKUP(D83,'Eastern United States'!D$13:D$300,'Eastern United States'!F$13:F$300),0))</f>
        <v>0.92193490330785033</v>
      </c>
    </row>
    <row r="84" spans="4:6" x14ac:dyDescent="0.15">
      <c r="D84" s="195">
        <v>1880</v>
      </c>
      <c r="E84" s="196">
        <f t="shared" si="2"/>
        <v>71.58033786299444</v>
      </c>
      <c r="F84" s="292">
        <f>SUM(IFERROR(LOOKUP(D84,'Pennsylvania anthracite'!D$8:D$300,'Pennsylvania anthracite'!F$8:F$300),0),IFERROR(LOOKUP(D84,'Western United States'!D$13:D$300,'Western United States'!F$13:F$300),0),IFERROR(LOOKUP(D84,'Eastern United States'!D$13:D$300,'Eastern United States'!F$13:F$300),0))</f>
        <v>0.99351524117084478</v>
      </c>
    </row>
    <row r="85" spans="4:6" x14ac:dyDescent="0.15">
      <c r="D85" s="195">
        <v>1881</v>
      </c>
      <c r="E85" s="196">
        <f t="shared" si="2"/>
        <v>77.836767364747544</v>
      </c>
      <c r="F85" s="292">
        <f>SUM(IFERROR(LOOKUP(D85,'Pennsylvania anthracite'!D$8:D$300,'Pennsylvania anthracite'!F$8:F$300),0),IFERROR(LOOKUP(D85,'Western United States'!D$13:D$300,'Western United States'!F$13:F$300),0),IFERROR(LOOKUP(D85,'Eastern United States'!D$13:D$300,'Eastern United States'!F$13:F$300),0))</f>
        <v>1.0713520085355923</v>
      </c>
    </row>
    <row r="86" spans="4:6" x14ac:dyDescent="0.15">
      <c r="D86" s="195">
        <v>1882</v>
      </c>
      <c r="E86" s="196">
        <f t="shared" si="2"/>
        <v>88.695435774853721</v>
      </c>
      <c r="F86" s="292">
        <f>SUM(IFERROR(LOOKUP(D86,'Pennsylvania anthracite'!D$8:D$300,'Pennsylvania anthracite'!F$8:F$300),0),IFERROR(LOOKUP(D86,'Western United States'!D$13:D$300,'Western United States'!F$13:F$300),0),IFERROR(LOOKUP(D86,'Eastern United States'!D$13:D$300,'Eastern United States'!F$13:F$300),0))</f>
        <v>1.160047444310446</v>
      </c>
    </row>
    <row r="87" spans="4:6" x14ac:dyDescent="0.15">
      <c r="D87" s="195">
        <v>1883</v>
      </c>
      <c r="E87" s="196">
        <f t="shared" si="2"/>
        <v>98.467236991335966</v>
      </c>
      <c r="F87" s="292">
        <f>SUM(IFERROR(LOOKUP(D87,'Pennsylvania anthracite'!D$8:D$300,'Pennsylvania anthracite'!F$8:F$300),0),IFERROR(LOOKUP(D87,'Western United States'!D$13:D$300,'Western United States'!F$13:F$300),0),IFERROR(LOOKUP(D87,'Eastern United States'!D$13:D$300,'Eastern United States'!F$13:F$300),0))</f>
        <v>1.258514681301782</v>
      </c>
    </row>
    <row r="88" spans="4:6" x14ac:dyDescent="0.15">
      <c r="D88" s="195">
        <v>1884</v>
      </c>
      <c r="E88" s="196">
        <f t="shared" si="2"/>
        <v>101.11769877422373</v>
      </c>
      <c r="F88" s="292">
        <f>SUM(IFERROR(LOOKUP(D88,'Pennsylvania anthracite'!D$8:D$300,'Pennsylvania anthracite'!F$8:F$300),0),IFERROR(LOOKUP(D88,'Western United States'!D$13:D$300,'Western United States'!F$13:F$300),0),IFERROR(LOOKUP(D88,'Eastern United States'!D$13:D$300,'Eastern United States'!F$13:F$300),0))</f>
        <v>1.3596323800760057</v>
      </c>
    </row>
    <row r="89" spans="4:6" x14ac:dyDescent="0.15">
      <c r="D89" s="195">
        <v>1885</v>
      </c>
      <c r="E89" s="196">
        <f t="shared" si="2"/>
        <v>101.68796054537444</v>
      </c>
      <c r="F89" s="292">
        <f>SUM(IFERROR(LOOKUP(D89,'Pennsylvania anthracite'!D$8:D$300,'Pennsylvania anthracite'!F$8:F$300),0),IFERROR(LOOKUP(D89,'Western United States'!D$13:D$300,'Western United States'!F$13:F$300),0),IFERROR(LOOKUP(D89,'Eastern United States'!D$13:D$300,'Eastern United States'!F$13:F$300),0))</f>
        <v>1.4613203406213802</v>
      </c>
    </row>
    <row r="90" spans="4:6" x14ac:dyDescent="0.15">
      <c r="D90" s="195">
        <v>1886</v>
      </c>
      <c r="E90" s="196">
        <f t="shared" si="2"/>
        <v>102.40726823350843</v>
      </c>
      <c r="F90" s="292">
        <f>SUM(IFERROR(LOOKUP(D90,'Pennsylvania anthracite'!D$8:D$300,'Pennsylvania anthracite'!F$8:F$300),0),IFERROR(LOOKUP(D90,'Western United States'!D$13:D$300,'Western United States'!F$13:F$300),0),IFERROR(LOOKUP(D90,'Eastern United States'!D$13:D$300,'Eastern United States'!F$13:F$300),0))</f>
        <v>1.5637276088548886</v>
      </c>
    </row>
    <row r="91" spans="4:6" x14ac:dyDescent="0.15">
      <c r="D91" s="195">
        <v>1887</v>
      </c>
      <c r="E91" s="196">
        <f t="shared" si="2"/>
        <v>117.40270178303791</v>
      </c>
      <c r="F91" s="292">
        <f>SUM(IFERROR(LOOKUP(D91,'Pennsylvania anthracite'!D$8:D$300,'Pennsylvania anthracite'!F$8:F$300),0),IFERROR(LOOKUP(D91,'Western United States'!D$13:D$300,'Western United States'!F$13:F$300),0),IFERROR(LOOKUP(D91,'Eastern United States'!D$13:D$300,'Eastern United States'!F$13:F$300),0))</f>
        <v>1.6811303106379265</v>
      </c>
    </row>
    <row r="92" spans="4:6" x14ac:dyDescent="0.15">
      <c r="D92" s="195">
        <v>1888</v>
      </c>
      <c r="E92" s="196">
        <f t="shared" si="2"/>
        <v>130.84603840270859</v>
      </c>
      <c r="F92" s="292">
        <f>SUM(IFERROR(LOOKUP(D92,'Pennsylvania anthracite'!D$8:D$300,'Pennsylvania anthracite'!F$8:F$300),0),IFERROR(LOOKUP(D92,'Western United States'!D$13:D$300,'Western United States'!F$13:F$300),0),IFERROR(LOOKUP(D92,'Eastern United States'!D$13:D$300,'Eastern United States'!F$13:F$300),0))</f>
        <v>1.8119763490406351</v>
      </c>
    </row>
    <row r="93" spans="4:6" x14ac:dyDescent="0.15">
      <c r="D93" s="195">
        <v>1889</v>
      </c>
      <c r="E93" s="196">
        <f t="shared" si="2"/>
        <v>128.93070742420321</v>
      </c>
      <c r="F93" s="292">
        <f>SUM(IFERROR(LOOKUP(D93,'Pennsylvania anthracite'!D$8:D$300,'Pennsylvania anthracite'!F$8:F$300),0),IFERROR(LOOKUP(D93,'Western United States'!D$13:D$300,'Western United States'!F$13:F$300),0),IFERROR(LOOKUP(D93,'Eastern United States'!D$13:D$300,'Eastern United States'!F$13:F$300),0))</f>
        <v>1.9409070564648383</v>
      </c>
    </row>
    <row r="94" spans="4:6" x14ac:dyDescent="0.15">
      <c r="D94" s="195">
        <v>1890</v>
      </c>
      <c r="E94" s="196">
        <f t="shared" si="2"/>
        <v>143.24042361499511</v>
      </c>
      <c r="F94" s="292">
        <f>SUM(IFERROR(LOOKUP(D94,'Pennsylvania anthracite'!D$8:D$300,'Pennsylvania anthracite'!F$8:F$300),0),IFERROR(LOOKUP(D94,'Western United States'!D$13:D$300,'Western United States'!F$13:F$300),0),IFERROR(LOOKUP(D94,'Eastern United States'!D$13:D$300,'Eastern United States'!F$13:F$300),0))</f>
        <v>2.0841474800798334</v>
      </c>
    </row>
    <row r="95" spans="4:6" x14ac:dyDescent="0.15">
      <c r="D95" s="195">
        <v>1891</v>
      </c>
      <c r="E95" s="196">
        <f t="shared" si="2"/>
        <v>153.12629877670415</v>
      </c>
      <c r="F95" s="292">
        <f>SUM(IFERROR(LOOKUP(D95,'Pennsylvania anthracite'!D$8:D$300,'Pennsylvania anthracite'!F$8:F$300),0),IFERROR(LOOKUP(D95,'Western United States'!D$13:D$300,'Western United States'!F$13:F$300),0),IFERROR(LOOKUP(D95,'Eastern United States'!D$13:D$300,'Eastern United States'!F$13:F$300),0))</f>
        <v>2.2372737788565376</v>
      </c>
    </row>
    <row r="96" spans="4:6" x14ac:dyDescent="0.15">
      <c r="D96" s="195">
        <v>1892</v>
      </c>
      <c r="E96" s="196">
        <f t="shared" si="2"/>
        <v>163.62577192462967</v>
      </c>
      <c r="F96" s="292">
        <f>SUM(IFERROR(LOOKUP(D96,'Pennsylvania anthracite'!D$8:D$300,'Pennsylvania anthracite'!F$8:F$300),0),IFERROR(LOOKUP(D96,'Western United States'!D$13:D$300,'Western United States'!F$13:F$300),0),IFERROR(LOOKUP(D96,'Eastern United States'!D$13:D$300,'Eastern United States'!F$13:F$300),0))</f>
        <v>2.4008995507811672</v>
      </c>
    </row>
    <row r="97" spans="4:6" x14ac:dyDescent="0.15">
      <c r="D97" s="195">
        <v>1893</v>
      </c>
      <c r="E97" s="196">
        <f t="shared" si="2"/>
        <v>167.12368486902295</v>
      </c>
      <c r="F97" s="292">
        <f>SUM(IFERROR(LOOKUP(D97,'Pennsylvania anthracite'!D$8:D$300,'Pennsylvania anthracite'!F$8:F$300),0),IFERROR(LOOKUP(D97,'Western United States'!D$13:D$300,'Western United States'!F$13:F$300),0),IFERROR(LOOKUP(D97,'Eastern United States'!D$13:D$300,'Eastern United States'!F$13:F$300),0))</f>
        <v>2.5680232356501902</v>
      </c>
    </row>
    <row r="98" spans="4:6" x14ac:dyDescent="0.15">
      <c r="D98" s="195">
        <v>1894</v>
      </c>
      <c r="E98" s="196">
        <f t="shared" si="2"/>
        <v>154.75459559604809</v>
      </c>
      <c r="F98" s="292">
        <f>SUM(IFERROR(LOOKUP(D98,'Pennsylvania anthracite'!D$8:D$300,'Pennsylvania anthracite'!F$8:F$300),0),IFERROR(LOOKUP(D98,'Western United States'!D$13:D$300,'Western United States'!F$13:F$300),0),IFERROR(LOOKUP(D98,'Eastern United States'!D$13:D$300,'Eastern United States'!F$13:F$300),0))</f>
        <v>2.7227778312462383</v>
      </c>
    </row>
    <row r="99" spans="4:6" x14ac:dyDescent="0.15">
      <c r="D99" s="195">
        <v>1895</v>
      </c>
      <c r="E99" s="196">
        <f t="shared" si="2"/>
        <v>175.35464187517036</v>
      </c>
      <c r="F99" s="292">
        <f>SUM(IFERROR(LOOKUP(D99,'Pennsylvania anthracite'!D$8:D$300,'Pennsylvania anthracite'!F$8:F$300),0),IFERROR(LOOKUP(D99,'Western United States'!D$13:D$300,'Western United States'!F$13:F$300),0),IFERROR(LOOKUP(D99,'Eastern United States'!D$13:D$300,'Eastern United States'!F$13:F$300),0))</f>
        <v>2.8981324731214086</v>
      </c>
    </row>
    <row r="100" spans="4:6" x14ac:dyDescent="0.15">
      <c r="D100" s="195">
        <v>1896</v>
      </c>
      <c r="E100" s="196">
        <f t="shared" si="2"/>
        <v>174.04790213029787</v>
      </c>
      <c r="F100" s="292">
        <f>SUM(IFERROR(LOOKUP(D100,'Pennsylvania anthracite'!D$8:D$300,'Pennsylvania anthracite'!F$8:F$300),0),IFERROR(LOOKUP(D100,'Western United States'!D$13:D$300,'Western United States'!F$13:F$300),0),IFERROR(LOOKUP(D100,'Eastern United States'!D$13:D$300,'Eastern United States'!F$13:F$300),0))</f>
        <v>3.0721803752517065</v>
      </c>
    </row>
    <row r="101" spans="4:6" x14ac:dyDescent="0.15">
      <c r="D101" s="195">
        <v>1897</v>
      </c>
      <c r="E101" s="196">
        <f t="shared" si="2"/>
        <v>181.58615373364916</v>
      </c>
      <c r="F101" s="292">
        <f>SUM(IFERROR(LOOKUP(D101,'Pennsylvania anthracite'!D$8:D$300,'Pennsylvania anthracite'!F$8:F$300),0),IFERROR(LOOKUP(D101,'Western United States'!D$13:D$300,'Western United States'!F$13:F$300),0),IFERROR(LOOKUP(D101,'Eastern United States'!D$13:D$300,'Eastern United States'!F$13:F$300),0))</f>
        <v>3.2537665289853557</v>
      </c>
    </row>
    <row r="102" spans="4:6" x14ac:dyDescent="0.15">
      <c r="D102" s="195">
        <v>1898</v>
      </c>
      <c r="E102" s="196">
        <f t="shared" si="2"/>
        <v>198.81383871494495</v>
      </c>
      <c r="F102" s="292">
        <f>SUM(IFERROR(LOOKUP(D102,'Pennsylvania anthracite'!D$8:D$300,'Pennsylvania anthracite'!F$8:F$300),0),IFERROR(LOOKUP(D102,'Western United States'!D$13:D$300,'Western United States'!F$13:F$300),0),IFERROR(LOOKUP(D102,'Eastern United States'!D$13:D$300,'Eastern United States'!F$13:F$300),0))</f>
        <v>3.4525803677003006</v>
      </c>
    </row>
    <row r="103" spans="4:6" x14ac:dyDescent="0.15">
      <c r="D103" s="195">
        <v>1899</v>
      </c>
      <c r="E103" s="196">
        <f t="shared" si="2"/>
        <v>229.56016299968817</v>
      </c>
      <c r="F103" s="292">
        <f>SUM(IFERROR(LOOKUP(D103,'Pennsylvania anthracite'!D$8:D$300,'Pennsylvania anthracite'!F$8:F$300),0),IFERROR(LOOKUP(D103,'Western United States'!D$13:D$300,'Western United States'!F$13:F$300),0),IFERROR(LOOKUP(D103,'Eastern United States'!D$13:D$300,'Eastern United States'!F$13:F$300),0))</f>
        <v>3.6821405306999888</v>
      </c>
    </row>
    <row r="104" spans="4:6" x14ac:dyDescent="0.15">
      <c r="D104" s="195">
        <v>1900</v>
      </c>
      <c r="E104" s="196">
        <f t="shared" si="2"/>
        <v>244.77027093190219</v>
      </c>
      <c r="F104" s="292">
        <f>SUM(IFERROR(LOOKUP(D104,'Pennsylvania anthracite'!D$8:D$300,'Pennsylvania anthracite'!F$8:F$300),0),IFERROR(LOOKUP(D104,'Western United States'!D$13:D$300,'Western United States'!F$13:F$300),0),IFERROR(LOOKUP(D104,'Eastern United States'!D$13:D$300,'Eastern United States'!F$13:F$300),0))</f>
        <v>3.926910801631891</v>
      </c>
    </row>
    <row r="105" spans="4:6" x14ac:dyDescent="0.15">
      <c r="D105" s="195">
        <v>1901</v>
      </c>
      <c r="E105" s="196">
        <f t="shared" si="2"/>
        <v>265.37940992368101</v>
      </c>
      <c r="F105" s="292">
        <f>SUM(IFERROR(LOOKUP(D105,'Pennsylvania anthracite'!D$8:D$300,'Pennsylvania anthracite'!F$8:F$300),0),IFERROR(LOOKUP(D105,'Western United States'!D$13:D$300,'Western United States'!F$13:F$300),0),IFERROR(LOOKUP(D105,'Eastern United States'!D$13:D$300,'Eastern United States'!F$13:F$300),0))</f>
        <v>4.192290211555572</v>
      </c>
    </row>
    <row r="106" spans="4:6" x14ac:dyDescent="0.15">
      <c r="D106" s="195">
        <v>1902</v>
      </c>
      <c r="E106" s="196">
        <f t="shared" si="2"/>
        <v>273.66307980637572</v>
      </c>
      <c r="F106" s="292">
        <f>SUM(IFERROR(LOOKUP(D106,'Pennsylvania anthracite'!D$8:D$300,'Pennsylvania anthracite'!F$8:F$300),0),IFERROR(LOOKUP(D106,'Western United States'!D$13:D$300,'Western United States'!F$13:F$300),0),IFERROR(LOOKUP(D106,'Eastern United States'!D$13:D$300,'Eastern United States'!F$13:F$300),0))</f>
        <v>4.4659532913619477</v>
      </c>
    </row>
    <row r="107" spans="4:6" x14ac:dyDescent="0.15">
      <c r="D107" s="195">
        <v>1903</v>
      </c>
      <c r="E107" s="196">
        <f t="shared" si="2"/>
        <v>323.58263474589586</v>
      </c>
      <c r="F107" s="292">
        <f>SUM(IFERROR(LOOKUP(D107,'Pennsylvania anthracite'!D$8:D$300,'Pennsylvania anthracite'!F$8:F$300),0),IFERROR(LOOKUP(D107,'Western United States'!D$13:D$300,'Western United States'!F$13:F$300),0),IFERROR(LOOKUP(D107,'Eastern United States'!D$13:D$300,'Eastern United States'!F$13:F$300),0))</f>
        <v>4.7895359261078436</v>
      </c>
    </row>
    <row r="108" spans="4:6" x14ac:dyDescent="0.15">
      <c r="D108" s="195">
        <v>1904</v>
      </c>
      <c r="E108" s="196">
        <f t="shared" si="2"/>
        <v>318.95783959614835</v>
      </c>
      <c r="F108" s="292">
        <f>SUM(IFERROR(LOOKUP(D108,'Pennsylvania anthracite'!D$8:D$300,'Pennsylvania anthracite'!F$8:F$300),0),IFERROR(LOOKUP(D108,'Western United States'!D$13:D$300,'Western United States'!F$13:F$300),0),IFERROR(LOOKUP(D108,'Eastern United States'!D$13:D$300,'Eastern United States'!F$13:F$300),0))</f>
        <v>5.1084937657039919</v>
      </c>
    </row>
    <row r="109" spans="4:6" x14ac:dyDescent="0.15">
      <c r="D109" s="195">
        <v>1905</v>
      </c>
      <c r="E109" s="196">
        <f t="shared" si="2"/>
        <v>356.17076812901428</v>
      </c>
      <c r="F109" s="292">
        <f>SUM(IFERROR(LOOKUP(D109,'Pennsylvania anthracite'!D$8:D$300,'Pennsylvania anthracite'!F$8:F$300),0),IFERROR(LOOKUP(D109,'Western United States'!D$13:D$300,'Western United States'!F$13:F$300),0),IFERROR(LOOKUP(D109,'Eastern United States'!D$13:D$300,'Eastern United States'!F$13:F$300),0))</f>
        <v>5.4646645338330062</v>
      </c>
    </row>
    <row r="110" spans="4:6" x14ac:dyDescent="0.15">
      <c r="D110" s="195">
        <v>1906</v>
      </c>
      <c r="E110" s="196">
        <f t="shared" si="2"/>
        <v>375.19710743056754</v>
      </c>
      <c r="F110" s="292">
        <f>SUM(IFERROR(LOOKUP(D110,'Pennsylvania anthracite'!D$8:D$300,'Pennsylvania anthracite'!F$8:F$300),0),IFERROR(LOOKUP(D110,'Western United States'!D$13:D$300,'Western United States'!F$13:F$300),0),IFERROR(LOOKUP(D110,'Eastern United States'!D$13:D$300,'Eastern United States'!F$13:F$300),0))</f>
        <v>5.8398616412635738</v>
      </c>
    </row>
    <row r="111" spans="4:6" x14ac:dyDescent="0.15">
      <c r="D111" s="195">
        <v>1907</v>
      </c>
      <c r="E111" s="196">
        <f t="shared" si="2"/>
        <v>435.6935165620319</v>
      </c>
      <c r="F111" s="292">
        <f>SUM(IFERROR(LOOKUP(D111,'Pennsylvania anthracite'!D$8:D$300,'Pennsylvania anthracite'!F$8:F$300),0),IFERROR(LOOKUP(D111,'Western United States'!D$13:D$300,'Western United States'!F$13:F$300),0),IFERROR(LOOKUP(D111,'Eastern United States'!D$13:D$300,'Eastern United States'!F$13:F$300),0))</f>
        <v>6.2755551578256057</v>
      </c>
    </row>
    <row r="112" spans="4:6" x14ac:dyDescent="0.15">
      <c r="D112" s="195">
        <v>1908</v>
      </c>
      <c r="E112" s="196">
        <f t="shared" si="2"/>
        <v>380.15082327332726</v>
      </c>
      <c r="F112" s="292">
        <f>SUM(IFERROR(LOOKUP(D112,'Pennsylvania anthracite'!D$8:D$300,'Pennsylvania anthracite'!F$8:F$300),0),IFERROR(LOOKUP(D112,'Western United States'!D$13:D$300,'Western United States'!F$13:F$300),0),IFERROR(LOOKUP(D112,'Eastern United States'!D$13:D$300,'Eastern United States'!F$13:F$300),0))</f>
        <v>6.655705981098933</v>
      </c>
    </row>
    <row r="113" spans="4:6" x14ac:dyDescent="0.15">
      <c r="D113" s="195">
        <v>1909</v>
      </c>
      <c r="E113" s="196">
        <f t="shared" si="2"/>
        <v>411.22361340917382</v>
      </c>
      <c r="F113" s="292">
        <f>SUM(IFERROR(LOOKUP(D113,'Pennsylvania anthracite'!D$8:D$300,'Pennsylvania anthracite'!F$8:F$300),0),IFERROR(LOOKUP(D113,'Western United States'!D$13:D$300,'Western United States'!F$13:F$300),0),IFERROR(LOOKUP(D113,'Eastern United States'!D$13:D$300,'Eastern United States'!F$13:F$300),0))</f>
        <v>7.0669295945081068</v>
      </c>
    </row>
    <row r="114" spans="4:6" x14ac:dyDescent="0.15">
      <c r="D114" s="195">
        <v>1910</v>
      </c>
      <c r="E114" s="196">
        <f t="shared" si="2"/>
        <v>455.34174279677762</v>
      </c>
      <c r="F114" s="292">
        <f>SUM(IFERROR(LOOKUP(D114,'Pennsylvania anthracite'!D$8:D$300,'Pennsylvania anthracite'!F$8:F$300),0),IFERROR(LOOKUP(D114,'Western United States'!D$13:D$300,'Western United States'!F$13:F$300),0),IFERROR(LOOKUP(D114,'Eastern United States'!D$13:D$300,'Eastern United States'!F$13:F$300),0))</f>
        <v>7.5222713373048844</v>
      </c>
    </row>
    <row r="115" spans="4:6" x14ac:dyDescent="0.15">
      <c r="D115" s="195">
        <v>1911</v>
      </c>
      <c r="E115" s="196">
        <f t="shared" si="2"/>
        <v>449.80774714177585</v>
      </c>
      <c r="F115" s="292">
        <f>SUM(IFERROR(LOOKUP(D115,'Pennsylvania anthracite'!D$8:D$300,'Pennsylvania anthracite'!F$8:F$300),0),IFERROR(LOOKUP(D115,'Western United States'!D$13:D$300,'Western United States'!F$13:F$300),0),IFERROR(LOOKUP(D115,'Eastern United States'!D$13:D$300,'Eastern United States'!F$13:F$300),0))</f>
        <v>7.9720790844466602</v>
      </c>
    </row>
    <row r="116" spans="4:6" x14ac:dyDescent="0.15">
      <c r="D116" s="195">
        <v>1912</v>
      </c>
      <c r="E116" s="196">
        <f t="shared" si="2"/>
        <v>484.68470036835674</v>
      </c>
      <c r="F116" s="292">
        <f>SUM(IFERROR(LOOKUP(D116,'Pennsylvania anthracite'!D$8:D$300,'Pennsylvania anthracite'!F$8:F$300),0),IFERROR(LOOKUP(D116,'Western United States'!D$13:D$300,'Western United States'!F$13:F$300),0),IFERROR(LOOKUP(D116,'Eastern United States'!D$13:D$300,'Eastern United States'!F$13:F$300),0))</f>
        <v>8.456763784815017</v>
      </c>
    </row>
    <row r="117" spans="4:6" x14ac:dyDescent="0.15">
      <c r="D117" s="195">
        <v>1913</v>
      </c>
      <c r="E117" s="196">
        <f t="shared" si="2"/>
        <v>516.95217751144901</v>
      </c>
      <c r="F117" s="292">
        <f>SUM(IFERROR(LOOKUP(D117,'Pennsylvania anthracite'!D$8:D$300,'Pennsylvania anthracite'!F$8:F$300),0),IFERROR(LOOKUP(D117,'Western United States'!D$13:D$300,'Western United States'!F$13:F$300),0),IFERROR(LOOKUP(D117,'Eastern United States'!D$13:D$300,'Eastern United States'!F$13:F$300),0))</f>
        <v>8.973715962326466</v>
      </c>
    </row>
    <row r="118" spans="4:6" x14ac:dyDescent="0.15">
      <c r="D118" s="195">
        <v>1914</v>
      </c>
      <c r="E118" s="196">
        <f t="shared" si="2"/>
        <v>465.51826815602658</v>
      </c>
      <c r="F118" s="292">
        <f>SUM(IFERROR(LOOKUP(D118,'Pennsylvania anthracite'!D$8:D$300,'Pennsylvania anthracite'!F$8:F$300),0),IFERROR(LOOKUP(D118,'Western United States'!D$13:D$300,'Western United States'!F$13:F$300),0),IFERROR(LOOKUP(D118,'Eastern United States'!D$13:D$300,'Eastern United States'!F$13:F$300),0))</f>
        <v>9.4392342304824925</v>
      </c>
    </row>
    <row r="119" spans="4:6" x14ac:dyDescent="0.15">
      <c r="D119" s="195">
        <v>1915</v>
      </c>
      <c r="E119" s="196">
        <f t="shared" si="2"/>
        <v>482.31363062037326</v>
      </c>
      <c r="F119" s="292">
        <f>SUM(IFERROR(LOOKUP(D119,'Pennsylvania anthracite'!D$8:D$300,'Pennsylvania anthracite'!F$8:F$300),0),IFERROR(LOOKUP(D119,'Western United States'!D$13:D$300,'Western United States'!F$13:F$300),0),IFERROR(LOOKUP(D119,'Eastern United States'!D$13:D$300,'Eastern United States'!F$13:F$300),0))</f>
        <v>9.9215478611028658</v>
      </c>
    </row>
    <row r="120" spans="4:6" x14ac:dyDescent="0.15">
      <c r="D120" s="195">
        <v>1916</v>
      </c>
      <c r="E120" s="196">
        <f t="shared" si="2"/>
        <v>534.97033700942427</v>
      </c>
      <c r="F120" s="292">
        <f>SUM(IFERROR(LOOKUP(D120,'Pennsylvania anthracite'!D$8:D$300,'Pennsylvania anthracite'!F$8:F$300),0),IFERROR(LOOKUP(D120,'Western United States'!D$13:D$300,'Western United States'!F$13:F$300),0),IFERROR(LOOKUP(D120,'Eastern United States'!D$13:D$300,'Eastern United States'!F$13:F$300),0))</f>
        <v>10.45651819811229</v>
      </c>
    </row>
    <row r="121" spans="4:6" x14ac:dyDescent="0.15">
      <c r="D121" s="195">
        <v>1917</v>
      </c>
      <c r="E121" s="196">
        <f t="shared" si="2"/>
        <v>591.65340687650132</v>
      </c>
      <c r="F121" s="292">
        <f>SUM(IFERROR(LOOKUP(D121,'Pennsylvania anthracite'!D$8:D$300,'Pennsylvania anthracite'!F$8:F$300),0),IFERROR(LOOKUP(D121,'Western United States'!D$13:D$300,'Western United States'!F$13:F$300),0),IFERROR(LOOKUP(D121,'Eastern United States'!D$13:D$300,'Eastern United States'!F$13:F$300),0))</f>
        <v>11.048171604988791</v>
      </c>
    </row>
    <row r="122" spans="4:6" x14ac:dyDescent="0.15">
      <c r="D122" s="195">
        <v>1918</v>
      </c>
      <c r="E122" s="196">
        <f t="shared" si="2"/>
        <v>616.93953044898103</v>
      </c>
      <c r="F122" s="292">
        <f>SUM(IFERROR(LOOKUP(D122,'Pennsylvania anthracite'!D$8:D$300,'Pennsylvania anthracite'!F$8:F$300),0),IFERROR(LOOKUP(D122,'Western United States'!D$13:D$300,'Western United States'!F$13:F$300),0),IFERROR(LOOKUP(D122,'Eastern United States'!D$13:D$300,'Eastern United States'!F$13:F$300),0))</f>
        <v>11.665111135437773</v>
      </c>
    </row>
    <row r="123" spans="4:6" x14ac:dyDescent="0.15">
      <c r="D123" s="195">
        <v>1919</v>
      </c>
      <c r="E123" s="196">
        <f t="shared" si="2"/>
        <v>501.67834438712157</v>
      </c>
      <c r="F123" s="292">
        <f>SUM(IFERROR(LOOKUP(D123,'Pennsylvania anthracite'!D$8:D$300,'Pennsylvania anthracite'!F$8:F$300),0),IFERROR(LOOKUP(D123,'Western United States'!D$13:D$300,'Western United States'!F$13:F$300),0),IFERROR(LOOKUP(D123,'Eastern United States'!D$13:D$300,'Eastern United States'!F$13:F$300),0))</f>
        <v>12.166789479824894</v>
      </c>
    </row>
    <row r="124" spans="4:6" x14ac:dyDescent="0.15">
      <c r="D124" s="195">
        <v>1920</v>
      </c>
      <c r="E124" s="196">
        <f t="shared" si="2"/>
        <v>594.49040852170754</v>
      </c>
      <c r="F124" s="292">
        <f>SUM(IFERROR(LOOKUP(D124,'Pennsylvania anthracite'!D$8:D$300,'Pennsylvania anthracite'!F$8:F$300),0),IFERROR(LOOKUP(D124,'Western United States'!D$13:D$300,'Western United States'!F$13:F$300),0),IFERROR(LOOKUP(D124,'Eastern United States'!D$13:D$300,'Eastern United States'!F$13:F$300),0))</f>
        <v>12.761279888346602</v>
      </c>
    </row>
    <row r="125" spans="4:6" x14ac:dyDescent="0.15">
      <c r="D125" s="195">
        <v>1921</v>
      </c>
      <c r="E125" s="196">
        <f t="shared" si="2"/>
        <v>458.32962468651493</v>
      </c>
      <c r="F125" s="292">
        <f>SUM(IFERROR(LOOKUP(D125,'Pennsylvania anthracite'!D$8:D$300,'Pennsylvania anthracite'!F$8:F$300),0),IFERROR(LOOKUP(D125,'Western United States'!D$13:D$300,'Western United States'!F$13:F$300),0),IFERROR(LOOKUP(D125,'Eastern United States'!D$13:D$300,'Eastern United States'!F$13:F$300),0))</f>
        <v>13.219609513033117</v>
      </c>
    </row>
    <row r="126" spans="4:6" x14ac:dyDescent="0.15">
      <c r="D126" s="195">
        <v>1922</v>
      </c>
      <c r="E126" s="196">
        <f t="shared" si="2"/>
        <v>432.1858994624659</v>
      </c>
      <c r="F126" s="292">
        <f>SUM(IFERROR(LOOKUP(D126,'Pennsylvania anthracite'!D$8:D$300,'Pennsylvania anthracite'!F$8:F$300),0),IFERROR(LOOKUP(D126,'Western United States'!D$13:D$300,'Western United States'!F$13:F$300),0),IFERROR(LOOKUP(D126,'Eastern United States'!D$13:D$300,'Eastern United States'!F$13:F$300),0))</f>
        <v>13.651795412495582</v>
      </c>
    </row>
    <row r="127" spans="4:6" x14ac:dyDescent="0.15">
      <c r="D127" s="195">
        <v>1923</v>
      </c>
      <c r="E127" s="196">
        <f t="shared" si="2"/>
        <v>595.31535515135124</v>
      </c>
      <c r="F127" s="292">
        <f>SUM(IFERROR(LOOKUP(D127,'Pennsylvania anthracite'!D$8:D$300,'Pennsylvania anthracite'!F$8:F$300),0),IFERROR(LOOKUP(D127,'Western United States'!D$13:D$300,'Western United States'!F$13:F$300),0),IFERROR(LOOKUP(D127,'Eastern United States'!D$13:D$300,'Eastern United States'!F$13:F$300),0))</f>
        <v>14.247110767646934</v>
      </c>
    </row>
    <row r="128" spans="4:6" x14ac:dyDescent="0.15">
      <c r="D128" s="195">
        <v>1924</v>
      </c>
      <c r="E128" s="196">
        <f t="shared" si="2"/>
        <v>516.33516034594606</v>
      </c>
      <c r="F128" s="292">
        <f>SUM(IFERROR(LOOKUP(D128,'Pennsylvania anthracite'!D$8:D$300,'Pennsylvania anthracite'!F$8:F$300),0),IFERROR(LOOKUP(D128,'Western United States'!D$13:D$300,'Western United States'!F$13:F$300),0),IFERROR(LOOKUP(D128,'Eastern United States'!D$13:D$300,'Eastern United States'!F$13:F$300),0))</f>
        <v>14.76344592799288</v>
      </c>
    </row>
    <row r="129" spans="4:6" x14ac:dyDescent="0.15">
      <c r="D129" s="195">
        <v>1925</v>
      </c>
      <c r="E129" s="196">
        <f t="shared" si="2"/>
        <v>526.78767670450452</v>
      </c>
      <c r="F129" s="292">
        <f>SUM(IFERROR(LOOKUP(D129,'Pennsylvania anthracite'!D$8:D$300,'Pennsylvania anthracite'!F$8:F$300),0),IFERROR(LOOKUP(D129,'Western United States'!D$13:D$300,'Western United States'!F$13:F$300),0),IFERROR(LOOKUP(D129,'Eastern United States'!D$13:D$300,'Eastern United States'!F$13:F$300),0))</f>
        <v>15.290233604697384</v>
      </c>
    </row>
    <row r="130" spans="4:6" x14ac:dyDescent="0.15">
      <c r="D130" s="195">
        <v>1926</v>
      </c>
      <c r="E130" s="196">
        <f t="shared" si="2"/>
        <v>597.19938916348519</v>
      </c>
      <c r="F130" s="292">
        <f>SUM(IFERROR(LOOKUP(D130,'Pennsylvania anthracite'!D$8:D$300,'Pennsylvania anthracite'!F$8:F$300),0),IFERROR(LOOKUP(D130,'Western United States'!D$13:D$300,'Western United States'!F$13:F$300),0),IFERROR(LOOKUP(D130,'Eastern United States'!D$13:D$300,'Eastern United States'!F$13:F$300),0))</f>
        <v>15.88743299386087</v>
      </c>
    </row>
    <row r="131" spans="4:6" x14ac:dyDescent="0.15">
      <c r="D131" s="195">
        <v>1927</v>
      </c>
      <c r="E131" s="196">
        <f t="shared" si="2"/>
        <v>541.87298867504194</v>
      </c>
      <c r="F131" s="292">
        <f>SUM(IFERROR(LOOKUP(D131,'Pennsylvania anthracite'!D$8:D$300,'Pennsylvania anthracite'!F$8:F$300),0),IFERROR(LOOKUP(D131,'Western United States'!D$13:D$300,'Western United States'!F$13:F$300),0),IFERROR(LOOKUP(D131,'Eastern United States'!D$13:D$300,'Eastern United States'!F$13:F$300),0))</f>
        <v>16.429305982535912</v>
      </c>
    </row>
    <row r="132" spans="4:6" x14ac:dyDescent="0.15">
      <c r="D132" s="195">
        <v>1928</v>
      </c>
      <c r="E132" s="196">
        <f t="shared" si="2"/>
        <v>521.60423265547354</v>
      </c>
      <c r="F132" s="292">
        <f>SUM(IFERROR(LOOKUP(D132,'Pennsylvania anthracite'!D$8:D$300,'Pennsylvania anthracite'!F$8:F$300),0),IFERROR(LOOKUP(D132,'Western United States'!D$13:D$300,'Western United States'!F$13:F$300),0),IFERROR(LOOKUP(D132,'Eastern United States'!D$13:D$300,'Eastern United States'!F$13:F$300),0))</f>
        <v>16.950910215191385</v>
      </c>
    </row>
    <row r="133" spans="4:6" x14ac:dyDescent="0.15">
      <c r="D133" s="195">
        <v>1929</v>
      </c>
      <c r="E133" s="196">
        <f t="shared" ref="E133:E196" si="3">(F133-F132)*1000</f>
        <v>551.39248548579189</v>
      </c>
      <c r="F133" s="292">
        <f>SUM(IFERROR(LOOKUP(D133,'Pennsylvania anthracite'!D$8:D$300,'Pennsylvania anthracite'!F$8:F$300),0),IFERROR(LOOKUP(D133,'Western United States'!D$13:D$300,'Western United States'!F$13:F$300),0),IFERROR(LOOKUP(D133,'Eastern United States'!D$13:D$300,'Eastern United States'!F$13:F$300),0))</f>
        <v>17.502302700677177</v>
      </c>
    </row>
    <row r="134" spans="4:6" x14ac:dyDescent="0.15">
      <c r="D134" s="195">
        <v>1930</v>
      </c>
      <c r="E134" s="196">
        <f t="shared" si="3"/>
        <v>486.88247605841894</v>
      </c>
      <c r="F134" s="292">
        <f>SUM(IFERROR(LOOKUP(D134,'Pennsylvania anthracite'!D$8:D$300,'Pennsylvania anthracite'!F$8:F$300),0),IFERROR(LOOKUP(D134,'Western United States'!D$13:D$300,'Western United States'!F$13:F$300),0),IFERROR(LOOKUP(D134,'Eastern United States'!D$13:D$300,'Eastern United States'!F$13:F$300),0))</f>
        <v>17.989185176735596</v>
      </c>
    </row>
    <row r="135" spans="4:6" x14ac:dyDescent="0.15">
      <c r="D135" s="195">
        <v>1931</v>
      </c>
      <c r="E135" s="196">
        <f t="shared" si="3"/>
        <v>400.90151030020849</v>
      </c>
      <c r="F135" s="292">
        <f>SUM(IFERROR(LOOKUP(D135,'Pennsylvania anthracite'!D$8:D$300,'Pennsylvania anthracite'!F$8:F$300),0),IFERROR(LOOKUP(D135,'Western United States'!D$13:D$300,'Western United States'!F$13:F$300),0),IFERROR(LOOKUP(D135,'Eastern United States'!D$13:D$300,'Eastern United States'!F$13:F$300),0))</f>
        <v>18.390086687035804</v>
      </c>
    </row>
    <row r="136" spans="4:6" x14ac:dyDescent="0.15">
      <c r="D136" s="195">
        <v>1932</v>
      </c>
      <c r="E136" s="196">
        <f t="shared" si="3"/>
        <v>326.29365111022679</v>
      </c>
      <c r="F136" s="292">
        <f>SUM(IFERROR(LOOKUP(D136,'Pennsylvania anthracite'!D$8:D$300,'Pennsylvania anthracite'!F$8:F$300),0),IFERROR(LOOKUP(D136,'Western United States'!D$13:D$300,'Western United States'!F$13:F$300),0),IFERROR(LOOKUP(D136,'Eastern United States'!D$13:D$300,'Eastern United States'!F$13:F$300),0))</f>
        <v>18.716380338146031</v>
      </c>
    </row>
    <row r="137" spans="4:6" x14ac:dyDescent="0.15">
      <c r="D137" s="195">
        <v>1933</v>
      </c>
      <c r="E137" s="196">
        <f t="shared" si="3"/>
        <v>348.30475340038095</v>
      </c>
      <c r="F137" s="292">
        <f>SUM(IFERROR(LOOKUP(D137,'Pennsylvania anthracite'!D$8:D$300,'Pennsylvania anthracite'!F$8:F$300),0),IFERROR(LOOKUP(D137,'Western United States'!D$13:D$300,'Western United States'!F$13:F$300),0),IFERROR(LOOKUP(D137,'Eastern United States'!D$13:D$300,'Eastern United States'!F$13:F$300),0))</f>
        <v>19.064685091546412</v>
      </c>
    </row>
    <row r="138" spans="4:6" x14ac:dyDescent="0.15">
      <c r="D138" s="195">
        <v>1934</v>
      </c>
      <c r="E138" s="196">
        <f t="shared" si="3"/>
        <v>377.84061836397245</v>
      </c>
      <c r="F138" s="292">
        <f>SUM(IFERROR(LOOKUP(D138,'Pennsylvania anthracite'!D$8:D$300,'Pennsylvania anthracite'!F$8:F$300),0),IFERROR(LOOKUP(D138,'Western United States'!D$13:D$300,'Western United States'!F$13:F$300),0),IFERROR(LOOKUP(D138,'Eastern United States'!D$13:D$300,'Eastern United States'!F$13:F$300),0))</f>
        <v>19.442525709910385</v>
      </c>
    </row>
    <row r="139" spans="4:6" x14ac:dyDescent="0.15">
      <c r="D139" s="195">
        <v>1935</v>
      </c>
      <c r="E139" s="196">
        <f t="shared" si="3"/>
        <v>385.37466335168347</v>
      </c>
      <c r="F139" s="292">
        <f>SUM(IFERROR(LOOKUP(D139,'Pennsylvania anthracite'!D$8:D$300,'Pennsylvania anthracite'!F$8:F$300),0),IFERROR(LOOKUP(D139,'Western United States'!D$13:D$300,'Western United States'!F$13:F$300),0),IFERROR(LOOKUP(D139,'Eastern United States'!D$13:D$300,'Eastern United States'!F$13:F$300),0))</f>
        <v>19.827900373262068</v>
      </c>
    </row>
    <row r="140" spans="4:6" x14ac:dyDescent="0.15">
      <c r="D140" s="195">
        <v>1936</v>
      </c>
      <c r="E140" s="196">
        <f t="shared" si="3"/>
        <v>447.18609845343951</v>
      </c>
      <c r="F140" s="292">
        <f>SUM(IFERROR(LOOKUP(D140,'Pennsylvania anthracite'!D$8:D$300,'Pennsylvania anthracite'!F$8:F$300),0),IFERROR(LOOKUP(D140,'Western United States'!D$13:D$300,'Western United States'!F$13:F$300),0),IFERROR(LOOKUP(D140,'Eastern United States'!D$13:D$300,'Eastern United States'!F$13:F$300),0))</f>
        <v>20.275086471715507</v>
      </c>
    </row>
    <row r="141" spans="4:6" x14ac:dyDescent="0.15">
      <c r="D141" s="195">
        <v>1937</v>
      </c>
      <c r="E141" s="196">
        <f t="shared" si="3"/>
        <v>450.48559013696024</v>
      </c>
      <c r="F141" s="292">
        <f>SUM(IFERROR(LOOKUP(D141,'Pennsylvania anthracite'!D$8:D$300,'Pennsylvania anthracite'!F$8:F$300),0),IFERROR(LOOKUP(D141,'Western United States'!D$13:D$300,'Western United States'!F$13:F$300),0),IFERROR(LOOKUP(D141,'Eastern United States'!D$13:D$300,'Eastern United States'!F$13:F$300),0))</f>
        <v>20.725572061852468</v>
      </c>
    </row>
    <row r="142" spans="4:6" x14ac:dyDescent="0.15">
      <c r="D142" s="195">
        <v>1938</v>
      </c>
      <c r="E142" s="196">
        <f t="shared" si="3"/>
        <v>358.55637914120916</v>
      </c>
      <c r="F142" s="292">
        <f>SUM(IFERROR(LOOKUP(D142,'Pennsylvania anthracite'!D$8:D$300,'Pennsylvania anthracite'!F$8:F$300),0),IFERROR(LOOKUP(D142,'Western United States'!D$13:D$300,'Western United States'!F$13:F$300),0),IFERROR(LOOKUP(D142,'Eastern United States'!D$13:D$300,'Eastern United States'!F$13:F$300),0))</f>
        <v>21.084128440993677</v>
      </c>
    </row>
    <row r="143" spans="4:6" x14ac:dyDescent="0.15">
      <c r="D143" s="195">
        <v>1939</v>
      </c>
      <c r="E143" s="196">
        <f t="shared" si="3"/>
        <v>404.28799827881437</v>
      </c>
      <c r="F143" s="292">
        <f>SUM(IFERROR(LOOKUP(D143,'Pennsylvania anthracite'!D$8:D$300,'Pennsylvania anthracite'!F$8:F$300),0),IFERROR(LOOKUP(D143,'Western United States'!D$13:D$300,'Western United States'!F$13:F$300),0),IFERROR(LOOKUP(D143,'Eastern United States'!D$13:D$300,'Eastern United States'!F$13:F$300),0))</f>
        <v>21.488416439272491</v>
      </c>
    </row>
    <row r="144" spans="4:6" x14ac:dyDescent="0.15">
      <c r="D144" s="195">
        <v>1940</v>
      </c>
      <c r="E144" s="196">
        <f t="shared" si="3"/>
        <v>464.50720713371038</v>
      </c>
      <c r="F144" s="292">
        <f>SUM(IFERROR(LOOKUP(D144,'Pennsylvania anthracite'!D$8:D$300,'Pennsylvania anthracite'!F$8:F$300),0),IFERROR(LOOKUP(D144,'Western United States'!D$13:D$300,'Western United States'!F$13:F$300),0),IFERROR(LOOKUP(D144,'Eastern United States'!D$13:D$300,'Eastern United States'!F$13:F$300),0))</f>
        <v>21.952923646406202</v>
      </c>
    </row>
    <row r="145" spans="4:6" x14ac:dyDescent="0.15">
      <c r="D145" s="195">
        <v>1941</v>
      </c>
      <c r="E145" s="196">
        <f t="shared" si="3"/>
        <v>517.48523563638571</v>
      </c>
      <c r="F145" s="292">
        <f>SUM(IFERROR(LOOKUP(D145,'Pennsylvania anthracite'!D$8:D$300,'Pennsylvania anthracite'!F$8:F$300),0),IFERROR(LOOKUP(D145,'Western United States'!D$13:D$300,'Western United States'!F$13:F$300),0),IFERROR(LOOKUP(D145,'Eastern United States'!D$13:D$300,'Eastern United States'!F$13:F$300),0))</f>
        <v>22.470408882042587</v>
      </c>
    </row>
    <row r="146" spans="4:6" x14ac:dyDescent="0.15">
      <c r="D146" s="195">
        <v>1942</v>
      </c>
      <c r="E146" s="196">
        <f t="shared" si="3"/>
        <v>583.09732120955709</v>
      </c>
      <c r="F146" s="292">
        <f>SUM(IFERROR(LOOKUP(D146,'Pennsylvania anthracite'!D$8:D$300,'Pennsylvania anthracite'!F$8:F$300),0),IFERROR(LOOKUP(D146,'Western United States'!D$13:D$300,'Western United States'!F$13:F$300),0),IFERROR(LOOKUP(D146,'Eastern United States'!D$13:D$300,'Eastern United States'!F$13:F$300),0))</f>
        <v>23.053506203252145</v>
      </c>
    </row>
    <row r="147" spans="4:6" x14ac:dyDescent="0.15">
      <c r="D147" s="195">
        <v>1943</v>
      </c>
      <c r="E147" s="196">
        <f t="shared" si="3"/>
        <v>589.92616704622242</v>
      </c>
      <c r="F147" s="292">
        <f>SUM(IFERROR(LOOKUP(D147,'Pennsylvania anthracite'!D$8:D$300,'Pennsylvania anthracite'!F$8:F$300),0),IFERROR(LOOKUP(D147,'Western United States'!D$13:D$300,'Western United States'!F$13:F$300),0),IFERROR(LOOKUP(D147,'Eastern United States'!D$13:D$300,'Eastern United States'!F$13:F$300),0))</f>
        <v>23.643432370298367</v>
      </c>
    </row>
    <row r="148" spans="4:6" x14ac:dyDescent="0.15">
      <c r="D148" s="195">
        <v>1944</v>
      </c>
      <c r="E148" s="196">
        <f t="shared" si="3"/>
        <v>618.58448862327009</v>
      </c>
      <c r="F148" s="292">
        <f>SUM(IFERROR(LOOKUP(D148,'Pennsylvania anthracite'!D$8:D$300,'Pennsylvania anthracite'!F$8:F$300),0),IFERROR(LOOKUP(D148,'Western United States'!D$13:D$300,'Western United States'!F$13:F$300),0),IFERROR(LOOKUP(D148,'Eastern United States'!D$13:D$300,'Eastern United States'!F$13:F$300),0))</f>
        <v>24.262016858921637</v>
      </c>
    </row>
    <row r="149" spans="4:6" x14ac:dyDescent="0.15">
      <c r="D149" s="195">
        <v>1945</v>
      </c>
      <c r="E149" s="196">
        <f t="shared" si="3"/>
        <v>573.13369124372218</v>
      </c>
      <c r="F149" s="292">
        <f>SUM(IFERROR(LOOKUP(D149,'Pennsylvania anthracite'!D$8:D$300,'Pennsylvania anthracite'!F$8:F$300),0),IFERROR(LOOKUP(D149,'Western United States'!D$13:D$300,'Western United States'!F$13:F$300),0),IFERROR(LOOKUP(D149,'Eastern United States'!D$13:D$300,'Eastern United States'!F$13:F$300),0))</f>
        <v>24.835150550165359</v>
      </c>
    </row>
    <row r="150" spans="4:6" x14ac:dyDescent="0.15">
      <c r="D150" s="195">
        <v>1946</v>
      </c>
      <c r="E150" s="196">
        <f t="shared" si="3"/>
        <v>540.1497631372365</v>
      </c>
      <c r="F150" s="292">
        <f>SUM(IFERROR(LOOKUP(D150,'Pennsylvania anthracite'!D$8:D$300,'Pennsylvania anthracite'!F$8:F$300),0),IFERROR(LOOKUP(D150,'Western United States'!D$13:D$300,'Western United States'!F$13:F$300),0),IFERROR(LOOKUP(D150,'Eastern United States'!D$13:D$300,'Eastern United States'!F$13:F$300),0))</f>
        <v>25.375300313302596</v>
      </c>
    </row>
    <row r="151" spans="4:6" x14ac:dyDescent="0.15">
      <c r="D151" s="195">
        <v>1947</v>
      </c>
      <c r="E151" s="196">
        <f t="shared" si="3"/>
        <v>627.5104861257397</v>
      </c>
      <c r="F151" s="292">
        <f>SUM(IFERROR(LOOKUP(D151,'Pennsylvania anthracite'!D$8:D$300,'Pennsylvania anthracite'!F$8:F$300),0),IFERROR(LOOKUP(D151,'Western United States'!D$13:D$300,'Western United States'!F$13:F$300),0),IFERROR(LOOKUP(D151,'Eastern United States'!D$13:D$300,'Eastern United States'!F$13:F$300),0))</f>
        <v>26.002810799428335</v>
      </c>
    </row>
    <row r="152" spans="4:6" x14ac:dyDescent="0.15">
      <c r="D152" s="195">
        <v>1948</v>
      </c>
      <c r="E152" s="196">
        <f t="shared" si="3"/>
        <v>595.6632541491374</v>
      </c>
      <c r="F152" s="292">
        <f>SUM(IFERROR(LOOKUP(D152,'Pennsylvania anthracite'!D$8:D$300,'Pennsylvania anthracite'!F$8:F$300),0),IFERROR(LOOKUP(D152,'Western United States'!D$13:D$300,'Western United States'!F$13:F$300),0),IFERROR(LOOKUP(D152,'Eastern United States'!D$13:D$300,'Eastern United States'!F$13:F$300),0))</f>
        <v>26.598474053577473</v>
      </c>
    </row>
    <row r="153" spans="4:6" x14ac:dyDescent="0.15">
      <c r="D153" s="195">
        <v>1949</v>
      </c>
      <c r="E153" s="196">
        <f t="shared" si="3"/>
        <v>435.96577086739785</v>
      </c>
      <c r="F153" s="292">
        <f>SUM(IFERROR(LOOKUP(D153,'Pennsylvania anthracite'!D$8:D$300,'Pennsylvania anthracite'!F$8:F$300),0),IFERROR(LOOKUP(D153,'Western United States'!D$13:D$300,'Western United States'!F$13:F$300),0),IFERROR(LOOKUP(D153,'Eastern United States'!D$13:D$300,'Eastern United States'!F$13:F$300),0))</f>
        <v>27.03443982444487</v>
      </c>
    </row>
    <row r="154" spans="4:6" x14ac:dyDescent="0.15">
      <c r="D154" s="195">
        <v>1950</v>
      </c>
      <c r="E154" s="196">
        <f t="shared" si="3"/>
        <v>508.3754425054359</v>
      </c>
      <c r="F154" s="292">
        <f>SUM(IFERROR(LOOKUP(D154,'Pennsylvania anthracite'!D$8:D$300,'Pennsylvania anthracite'!F$8:F$300),0),IFERROR(LOOKUP(D154,'Western United States'!D$13:D$300,'Western United States'!F$13:F$300),0),IFERROR(LOOKUP(D154,'Eastern United States'!D$13:D$300,'Eastern United States'!F$13:F$300),0))</f>
        <v>27.542815266950306</v>
      </c>
    </row>
    <row r="155" spans="4:6" x14ac:dyDescent="0.15">
      <c r="D155" s="195">
        <v>1951</v>
      </c>
      <c r="E155" s="196">
        <f t="shared" si="3"/>
        <v>522.84231756635086</v>
      </c>
      <c r="F155" s="292">
        <f>SUM(IFERROR(LOOKUP(D155,'Pennsylvania anthracite'!D$8:D$300,'Pennsylvania anthracite'!F$8:F$300),0),IFERROR(LOOKUP(D155,'Western United States'!D$13:D$300,'Western United States'!F$13:F$300),0),IFERROR(LOOKUP(D155,'Eastern United States'!D$13:D$300,'Eastern United States'!F$13:F$300),0))</f>
        <v>28.065657584516657</v>
      </c>
    </row>
    <row r="156" spans="4:6" x14ac:dyDescent="0.15">
      <c r="D156" s="195">
        <v>1952</v>
      </c>
      <c r="E156" s="196">
        <f t="shared" si="3"/>
        <v>460.32730989578852</v>
      </c>
      <c r="F156" s="292">
        <f>SUM(IFERROR(LOOKUP(D156,'Pennsylvania anthracite'!D$8:D$300,'Pennsylvania anthracite'!F$8:F$300),0),IFERROR(LOOKUP(D156,'Western United States'!D$13:D$300,'Western United States'!F$13:F$300),0),IFERROR(LOOKUP(D156,'Eastern United States'!D$13:D$300,'Eastern United States'!F$13:F$300),0))</f>
        <v>28.525984894412446</v>
      </c>
    </row>
    <row r="157" spans="4:6" x14ac:dyDescent="0.15">
      <c r="D157" s="195">
        <v>1953</v>
      </c>
      <c r="E157" s="196">
        <f t="shared" si="3"/>
        <v>442.92297064428965</v>
      </c>
      <c r="F157" s="292">
        <f>SUM(IFERROR(LOOKUP(D157,'Pennsylvania anthracite'!D$8:D$300,'Pennsylvania anthracite'!F$8:F$300),0),IFERROR(LOOKUP(D157,'Western United States'!D$13:D$300,'Western United States'!F$13:F$300),0),IFERROR(LOOKUP(D157,'Eastern United States'!D$13:D$300,'Eastern United States'!F$13:F$300),0))</f>
        <v>28.968907865056735</v>
      </c>
    </row>
    <row r="158" spans="4:6" x14ac:dyDescent="0.15">
      <c r="D158" s="195">
        <v>1954</v>
      </c>
      <c r="E158" s="196">
        <f t="shared" si="3"/>
        <v>381.733359879977</v>
      </c>
      <c r="F158" s="292">
        <f>SUM(IFERROR(LOOKUP(D158,'Pennsylvania anthracite'!D$8:D$300,'Pennsylvania anthracite'!F$8:F$300),0),IFERROR(LOOKUP(D158,'Western United States'!D$13:D$300,'Western United States'!F$13:F$300),0),IFERROR(LOOKUP(D158,'Eastern United States'!D$13:D$300,'Eastern United States'!F$13:F$300),0))</f>
        <v>29.350641224936712</v>
      </c>
    </row>
    <row r="159" spans="4:6" x14ac:dyDescent="0.15">
      <c r="D159" s="195">
        <v>1955</v>
      </c>
      <c r="E159" s="196">
        <f t="shared" si="3"/>
        <v>445.28074378552776</v>
      </c>
      <c r="F159" s="292">
        <f>SUM(IFERROR(LOOKUP(D159,'Pennsylvania anthracite'!D$8:D$300,'Pennsylvania anthracite'!F$8:F$300),0),IFERROR(LOOKUP(D159,'Western United States'!D$13:D$300,'Western United States'!F$13:F$300),0),IFERROR(LOOKUP(D159,'Eastern United States'!D$13:D$300,'Eastern United States'!F$13:F$300),0))</f>
        <v>29.79592196872224</v>
      </c>
    </row>
    <row r="160" spans="4:6" x14ac:dyDescent="0.15">
      <c r="D160" s="195">
        <v>1956</v>
      </c>
      <c r="E160" s="196">
        <f t="shared" si="3"/>
        <v>480.60288885179148</v>
      </c>
      <c r="F160" s="292">
        <f>SUM(IFERROR(LOOKUP(D160,'Pennsylvania anthracite'!D$8:D$300,'Pennsylvania anthracite'!F$8:F$300),0),IFERROR(LOOKUP(D160,'Western United States'!D$13:D$300,'Western United States'!F$13:F$300),0),IFERROR(LOOKUP(D160,'Eastern United States'!D$13:D$300,'Eastern United States'!F$13:F$300),0))</f>
        <v>30.276524857574032</v>
      </c>
    </row>
    <row r="161" spans="4:6" x14ac:dyDescent="0.15">
      <c r="D161" s="195">
        <v>1957</v>
      </c>
      <c r="E161" s="196">
        <f t="shared" si="3"/>
        <v>469.9597974731837</v>
      </c>
      <c r="F161" s="292">
        <f>SUM(IFERROR(LOOKUP(D161,'Pennsylvania anthracite'!D$8:D$300,'Pennsylvania anthracite'!F$8:F$300),0),IFERROR(LOOKUP(D161,'Western United States'!D$13:D$300,'Western United States'!F$13:F$300),0),IFERROR(LOOKUP(D161,'Eastern United States'!D$13:D$300,'Eastern United States'!F$13:F$300),0))</f>
        <v>30.746484655047215</v>
      </c>
    </row>
    <row r="162" spans="4:6" x14ac:dyDescent="0.15">
      <c r="D162" s="195">
        <v>1958</v>
      </c>
      <c r="E162" s="196">
        <f t="shared" si="3"/>
        <v>391.5563562529378</v>
      </c>
      <c r="F162" s="292">
        <f>SUM(IFERROR(LOOKUP(D162,'Pennsylvania anthracite'!D$8:D$300,'Pennsylvania anthracite'!F$8:F$300),0),IFERROR(LOOKUP(D162,'Western United States'!D$13:D$300,'Western United States'!F$13:F$300),0),IFERROR(LOOKUP(D162,'Eastern United States'!D$13:D$300,'Eastern United States'!F$13:F$300),0))</f>
        <v>31.138041011300153</v>
      </c>
    </row>
    <row r="163" spans="4:6" x14ac:dyDescent="0.15">
      <c r="D163" s="195">
        <v>1959</v>
      </c>
      <c r="E163" s="196">
        <f t="shared" si="3"/>
        <v>392.51797207813865</v>
      </c>
      <c r="F163" s="292">
        <f>SUM(IFERROR(LOOKUP(D163,'Pennsylvania anthracite'!D$8:D$300,'Pennsylvania anthracite'!F$8:F$300),0),IFERROR(LOOKUP(D163,'Western United States'!D$13:D$300,'Western United States'!F$13:F$300),0),IFERROR(LOOKUP(D163,'Eastern United States'!D$13:D$300,'Eastern United States'!F$13:F$300),0))</f>
        <v>31.530558983378292</v>
      </c>
    </row>
    <row r="164" spans="4:6" x14ac:dyDescent="0.15">
      <c r="D164" s="195">
        <v>1960</v>
      </c>
      <c r="E164" s="196">
        <f t="shared" si="3"/>
        <v>394.01664126987868</v>
      </c>
      <c r="F164" s="292">
        <f>SUM(IFERROR(LOOKUP(D164,'Pennsylvania anthracite'!D$8:D$300,'Pennsylvania anthracite'!F$8:F$300),0),IFERROR(LOOKUP(D164,'Western United States'!D$13:D$300,'Western United States'!F$13:F$300),0),IFERROR(LOOKUP(D164,'Eastern United States'!D$13:D$300,'Eastern United States'!F$13:F$300),0))</f>
        <v>31.92457562464817</v>
      </c>
    </row>
    <row r="165" spans="4:6" x14ac:dyDescent="0.15">
      <c r="D165" s="195">
        <v>1961</v>
      </c>
      <c r="E165" s="196">
        <f t="shared" si="3"/>
        <v>381.40133026486467</v>
      </c>
      <c r="F165" s="292">
        <f>SUM(IFERROR(LOOKUP(D165,'Pennsylvania anthracite'!D$8:D$300,'Pennsylvania anthracite'!F$8:F$300),0),IFERROR(LOOKUP(D165,'Western United States'!D$13:D$300,'Western United States'!F$13:F$300),0),IFERROR(LOOKUP(D165,'Eastern United States'!D$13:D$300,'Eastern United States'!F$13:F$300),0))</f>
        <v>32.305976954913035</v>
      </c>
    </row>
    <row r="166" spans="4:6" x14ac:dyDescent="0.15">
      <c r="D166" s="195">
        <v>1962</v>
      </c>
      <c r="E166" s="196">
        <f t="shared" si="3"/>
        <v>398.29311013782132</v>
      </c>
      <c r="F166" s="292">
        <f>SUM(IFERROR(LOOKUP(D166,'Pennsylvania anthracite'!D$8:D$300,'Pennsylvania anthracite'!F$8:F$300),0),IFERROR(LOOKUP(D166,'Western United States'!D$13:D$300,'Western United States'!F$13:F$300),0),IFERROR(LOOKUP(D166,'Eastern United States'!D$13:D$300,'Eastern United States'!F$13:F$300),0))</f>
        <v>32.704270065050856</v>
      </c>
    </row>
    <row r="167" spans="4:6" x14ac:dyDescent="0.15">
      <c r="D167" s="195">
        <v>1963</v>
      </c>
      <c r="E167" s="196">
        <f t="shared" si="3"/>
        <v>432.90402236733172</v>
      </c>
      <c r="F167" s="292">
        <f>SUM(IFERROR(LOOKUP(D167,'Pennsylvania anthracite'!D$8:D$300,'Pennsylvania anthracite'!F$8:F$300),0),IFERROR(LOOKUP(D167,'Western United States'!D$13:D$300,'Western United States'!F$13:F$300),0),IFERROR(LOOKUP(D167,'Eastern United States'!D$13:D$300,'Eastern United States'!F$13:F$300),0))</f>
        <v>33.137174087418188</v>
      </c>
    </row>
    <row r="168" spans="4:6" x14ac:dyDescent="0.15">
      <c r="D168" s="195">
        <v>1964</v>
      </c>
      <c r="E168" s="196">
        <f t="shared" si="3"/>
        <v>457.38621696623483</v>
      </c>
      <c r="F168" s="292">
        <f>SUM(IFERROR(LOOKUP(D168,'Pennsylvania anthracite'!D$8:D$300,'Pennsylvania anthracite'!F$8:F$300),0),IFERROR(LOOKUP(D168,'Western United States'!D$13:D$300,'Western United States'!F$13:F$300),0),IFERROR(LOOKUP(D168,'Eastern United States'!D$13:D$300,'Eastern United States'!F$13:F$300),0))</f>
        <v>33.594560304384423</v>
      </c>
    </row>
    <row r="169" spans="4:6" x14ac:dyDescent="0.15">
      <c r="D169" s="195">
        <v>1965</v>
      </c>
      <c r="E169" s="196">
        <f t="shared" si="3"/>
        <v>478.04462788284496</v>
      </c>
      <c r="F169" s="292">
        <f>SUM(IFERROR(LOOKUP(D169,'Pennsylvania anthracite'!D$8:D$300,'Pennsylvania anthracite'!F$8:F$300),0),IFERROR(LOOKUP(D169,'Western United States'!D$13:D$300,'Western United States'!F$13:F$300),0),IFERROR(LOOKUP(D169,'Eastern United States'!D$13:D$300,'Eastern United States'!F$13:F$300),0))</f>
        <v>34.072604932267268</v>
      </c>
    </row>
    <row r="170" spans="4:6" x14ac:dyDescent="0.15">
      <c r="D170" s="195">
        <v>1966</v>
      </c>
      <c r="E170" s="196">
        <f t="shared" si="3"/>
        <v>496.06857431228235</v>
      </c>
      <c r="F170" s="292">
        <f>SUM(IFERROR(LOOKUP(D170,'Pennsylvania anthracite'!D$8:D$300,'Pennsylvania anthracite'!F$8:F$300),0),IFERROR(LOOKUP(D170,'Western United States'!D$13:D$300,'Western United States'!F$13:F$300),0),IFERROR(LOOKUP(D170,'Eastern United States'!D$13:D$300,'Eastern United States'!F$13:F$300),0))</f>
        <v>34.56867350657955</v>
      </c>
    </row>
    <row r="171" spans="4:6" x14ac:dyDescent="0.15">
      <c r="D171" s="195">
        <v>1967</v>
      </c>
      <c r="E171" s="196">
        <f t="shared" si="3"/>
        <v>512.45233073041868</v>
      </c>
      <c r="F171" s="292">
        <f>SUM(IFERROR(LOOKUP(D171,'Pennsylvania anthracite'!D$8:D$300,'Pennsylvania anthracite'!F$8:F$300),0),IFERROR(LOOKUP(D171,'Western United States'!D$13:D$300,'Western United States'!F$13:F$300),0),IFERROR(LOOKUP(D171,'Eastern United States'!D$13:D$300,'Eastern United States'!F$13:F$300),0))</f>
        <v>35.081125837309969</v>
      </c>
    </row>
    <row r="172" spans="4:6" x14ac:dyDescent="0.15">
      <c r="D172" s="195">
        <v>1968</v>
      </c>
      <c r="E172" s="196">
        <f t="shared" si="3"/>
        <v>505.03518828995908</v>
      </c>
      <c r="F172" s="292">
        <f>SUM(IFERROR(LOOKUP(D172,'Pennsylvania anthracite'!D$8:D$300,'Pennsylvania anthracite'!F$8:F$300),0),IFERROR(LOOKUP(D172,'Western United States'!D$13:D$300,'Western United States'!F$13:F$300),0),IFERROR(LOOKUP(D172,'Eastern United States'!D$13:D$300,'Eastern United States'!F$13:F$300),0))</f>
        <v>35.586161025599928</v>
      </c>
    </row>
    <row r="173" spans="4:6" x14ac:dyDescent="0.15">
      <c r="D173" s="195">
        <v>1969</v>
      </c>
      <c r="E173" s="196">
        <f t="shared" si="3"/>
        <v>517.98252891008906</v>
      </c>
      <c r="F173" s="292">
        <f>SUM(IFERROR(LOOKUP(D173,'Pennsylvania anthracite'!D$8:D$300,'Pennsylvania anthracite'!F$8:F$300),0),IFERROR(LOOKUP(D173,'Western United States'!D$13:D$300,'Western United States'!F$13:F$300),0),IFERROR(LOOKUP(D173,'Eastern United States'!D$13:D$300,'Eastern United States'!F$13:F$300),0))</f>
        <v>36.104143554510017</v>
      </c>
    </row>
    <row r="174" spans="4:6" x14ac:dyDescent="0.15">
      <c r="D174" s="195">
        <v>1970</v>
      </c>
      <c r="E174" s="196">
        <f t="shared" si="3"/>
        <v>555.79671045923362</v>
      </c>
      <c r="F174" s="292">
        <f>SUM(IFERROR(LOOKUP(D174,'Pennsylvania anthracite'!D$8:D$300,'Pennsylvania anthracite'!F$8:F$300),0),IFERROR(LOOKUP(D174,'Western United States'!D$13:D$300,'Western United States'!F$13:F$300),0),IFERROR(LOOKUP(D174,'Eastern United States'!D$13:D$300,'Eastern United States'!F$13:F$300),0))</f>
        <v>36.659940264969251</v>
      </c>
    </row>
    <row r="175" spans="4:6" x14ac:dyDescent="0.15">
      <c r="D175" s="195">
        <v>1971</v>
      </c>
      <c r="E175" s="196">
        <f t="shared" si="3"/>
        <v>508.85715760277606</v>
      </c>
      <c r="F175" s="292">
        <f>SUM(IFERROR(LOOKUP(D175,'Pennsylvania anthracite'!D$8:D$300,'Pennsylvania anthracite'!F$8:F$300),0),IFERROR(LOOKUP(D175,'Western United States'!D$13:D$300,'Western United States'!F$13:F$300),0),IFERROR(LOOKUP(D175,'Eastern United States'!D$13:D$300,'Eastern United States'!F$13:F$300),0))</f>
        <v>37.168797422572027</v>
      </c>
    </row>
    <row r="176" spans="4:6" x14ac:dyDescent="0.15">
      <c r="D176" s="195">
        <v>1972</v>
      </c>
      <c r="E176" s="196">
        <f t="shared" si="3"/>
        <v>546.5715488304354</v>
      </c>
      <c r="F176" s="292">
        <f>SUM(IFERROR(LOOKUP(D176,'Pennsylvania anthracite'!D$8:D$300,'Pennsylvania anthracite'!F$8:F$300),0),IFERROR(LOOKUP(D176,'Western United States'!D$13:D$300,'Western United States'!F$13:F$300),0),IFERROR(LOOKUP(D176,'Eastern United States'!D$13:D$300,'Eastern United States'!F$13:F$300),0))</f>
        <v>37.715368971402462</v>
      </c>
    </row>
    <row r="177" spans="4:8" x14ac:dyDescent="0.15">
      <c r="D177" s="195">
        <v>1973</v>
      </c>
      <c r="E177" s="196">
        <f t="shared" si="3"/>
        <v>543.0117559076848</v>
      </c>
      <c r="F177" s="292">
        <f>SUM(IFERROR(LOOKUP(D177,'Pennsylvania anthracite'!D$8:D$300,'Pennsylvania anthracite'!F$8:F$300),0),IFERROR(LOOKUP(D177,'Western United States'!D$13:D$300,'Western United States'!F$13:F$300),0),IFERROR(LOOKUP(D177,'Eastern United States'!D$13:D$300,'Eastern United States'!F$13:F$300),0))</f>
        <v>38.258380727310147</v>
      </c>
    </row>
    <row r="178" spans="4:8" x14ac:dyDescent="0.15">
      <c r="D178" s="195">
        <v>1974</v>
      </c>
      <c r="E178" s="196">
        <f t="shared" si="3"/>
        <v>553.40355711309996</v>
      </c>
      <c r="F178" s="292">
        <f>SUM(IFERROR(LOOKUP(D178,'Pennsylvania anthracite'!D$8:D$300,'Pennsylvania anthracite'!F$8:F$300),0),IFERROR(LOOKUP(D178,'Western United States'!D$13:D$300,'Western United States'!F$13:F$300),0),IFERROR(LOOKUP(D178,'Eastern United States'!D$13:D$300,'Eastern United States'!F$13:F$300),0))</f>
        <v>38.811784284423247</v>
      </c>
    </row>
    <row r="179" spans="4:8" x14ac:dyDescent="0.15">
      <c r="D179" s="195">
        <v>1975</v>
      </c>
      <c r="E179" s="196">
        <f t="shared" si="3"/>
        <v>593.8803258763628</v>
      </c>
      <c r="F179" s="292">
        <f>SUM(IFERROR(LOOKUP(D179,'Pennsylvania anthracite'!D$8:D$300,'Pennsylvania anthracite'!F$8:F$300),0),IFERROR(LOOKUP(D179,'Western United States'!D$13:D$300,'Western United States'!F$13:F$300),0),IFERROR(LOOKUP(D179,'Eastern United States'!D$13:D$300,'Eastern United States'!F$13:F$300),0))</f>
        <v>39.40566461029961</v>
      </c>
    </row>
    <row r="180" spans="4:8" x14ac:dyDescent="0.15">
      <c r="D180" s="195">
        <v>1976</v>
      </c>
      <c r="E180" s="196">
        <f t="shared" si="3"/>
        <v>621.3426223486706</v>
      </c>
      <c r="F180" s="292">
        <f>SUM(IFERROR(LOOKUP(D180,'Pennsylvania anthracite'!D$8:D$300,'Pennsylvania anthracite'!F$8:F$300),0),IFERROR(LOOKUP(D180,'Western United States'!D$13:D$300,'Western United States'!F$13:F$300),0),IFERROR(LOOKUP(D180,'Eastern United States'!D$13:D$300,'Eastern United States'!F$13:F$300),0))</f>
        <v>40.02700723264828</v>
      </c>
    </row>
    <row r="181" spans="4:8" x14ac:dyDescent="0.15">
      <c r="D181" s="195">
        <v>1977</v>
      </c>
      <c r="E181" s="196">
        <f t="shared" si="3"/>
        <v>632.49373718210222</v>
      </c>
      <c r="F181" s="292">
        <f>SUM(IFERROR(LOOKUP(D181,'Pennsylvania anthracite'!D$8:D$300,'Pennsylvania anthracite'!F$8:F$300),0),IFERROR(LOOKUP(D181,'Western United States'!D$13:D$300,'Western United States'!F$13:F$300),0),IFERROR(LOOKUP(D181,'Eastern United States'!D$13:D$300,'Eastern United States'!F$13:F$300),0))</f>
        <v>40.659500969830383</v>
      </c>
    </row>
    <row r="182" spans="4:8" x14ac:dyDescent="0.15">
      <c r="D182" s="195">
        <v>1978</v>
      </c>
      <c r="E182" s="196">
        <f t="shared" si="3"/>
        <v>607.9625546071909</v>
      </c>
      <c r="F182" s="292">
        <f>SUM(IFERROR(LOOKUP(D182,'Pennsylvania anthracite'!D$8:D$300,'Pennsylvania anthracite'!F$8:F$300),0),IFERROR(LOOKUP(D182,'Western United States'!D$13:D$300,'Western United States'!F$13:F$300),0),IFERROR(LOOKUP(D182,'Eastern United States'!D$13:D$300,'Eastern United States'!F$13:F$300),0))</f>
        <v>41.267463524437574</v>
      </c>
      <c r="H182" s="35">
        <f ca="1">SUM('Western United States'!J173,'Eastern United States'!J192,'Pennsylvania anthracite'!J187)</f>
        <v>41.354632776401587</v>
      </c>
    </row>
    <row r="183" spans="4:8" x14ac:dyDescent="0.15">
      <c r="D183" s="195">
        <v>1979</v>
      </c>
      <c r="E183" s="196">
        <f t="shared" si="3"/>
        <v>708.63284528941506</v>
      </c>
      <c r="F183" s="292">
        <f>SUM(IFERROR(LOOKUP(D183,'Pennsylvania anthracite'!D$8:D$300,'Pennsylvania anthracite'!F$8:F$300),0),IFERROR(LOOKUP(D183,'Western United States'!D$13:D$300,'Western United States'!F$13:F$300),0),IFERROR(LOOKUP(D183,'Eastern United States'!D$13:D$300,'Eastern United States'!F$13:F$300),0))</f>
        <v>41.976096369726989</v>
      </c>
      <c r="H183" s="35">
        <f ca="1">SUM('Western United States'!J174,'Eastern United States'!J193,'Pennsylvania anthracite'!J188)</f>
        <v>42.059637102541444</v>
      </c>
    </row>
    <row r="184" spans="4:8" x14ac:dyDescent="0.15">
      <c r="D184" s="195">
        <v>1980</v>
      </c>
      <c r="E184" s="196">
        <f t="shared" si="3"/>
        <v>752.69117940919728</v>
      </c>
      <c r="F184" s="292">
        <f>SUM(IFERROR(LOOKUP(D184,'Pennsylvania anthracite'!D$8:D$300,'Pennsylvania anthracite'!F$8:F$300),0),IFERROR(LOOKUP(D184,'Western United States'!D$13:D$300,'Western United States'!F$13:F$300),0),IFERROR(LOOKUP(D184,'Eastern United States'!D$13:D$300,'Eastern United States'!F$13:F$300),0))</f>
        <v>42.728787549136186</v>
      </c>
      <c r="H184" s="35">
        <f ca="1">SUM('Western United States'!J175,'Eastern United States'!J194,'Pennsylvania anthracite'!J189)</f>
        <v>42.777482258995988</v>
      </c>
    </row>
    <row r="185" spans="4:8" x14ac:dyDescent="0.15">
      <c r="D185" s="195">
        <v>1981</v>
      </c>
      <c r="E185" s="196">
        <f t="shared" si="3"/>
        <v>747.31701700493147</v>
      </c>
      <c r="F185" s="292">
        <f>SUM(IFERROR(LOOKUP(D185,'Pennsylvania anthracite'!D$8:D$300,'Pennsylvania anthracite'!F$8:F$300),0),IFERROR(LOOKUP(D185,'Western United States'!D$13:D$300,'Western United States'!F$13:F$300),0),IFERROR(LOOKUP(D185,'Eastern United States'!D$13:D$300,'Eastern United States'!F$13:F$300),0))</f>
        <v>43.476104566141117</v>
      </c>
      <c r="H185" s="35">
        <f ca="1">SUM('Western United States'!J176,'Eastern United States'!J195,'Pennsylvania anthracite'!J190)</f>
        <v>43.508473731532419</v>
      </c>
    </row>
    <row r="186" spans="4:8" x14ac:dyDescent="0.15">
      <c r="D186" s="195">
        <v>1982</v>
      </c>
      <c r="E186" s="196">
        <f t="shared" si="3"/>
        <v>760.32241744847795</v>
      </c>
      <c r="F186" s="292">
        <f>SUM(IFERROR(LOOKUP(D186,'Pennsylvania anthracite'!D$8:D$300,'Pennsylvania anthracite'!F$8:F$300),0),IFERROR(LOOKUP(D186,'Western United States'!D$13:D$300,'Western United States'!F$13:F$300),0),IFERROR(LOOKUP(D186,'Eastern United States'!D$13:D$300,'Eastern United States'!F$13:F$300),0))</f>
        <v>44.236426983589595</v>
      </c>
      <c r="H186" s="35">
        <f ca="1">SUM('Western United States'!J177,'Eastern United States'!J196,'Pennsylvania anthracite'!J191)</f>
        <v>44.252912862763417</v>
      </c>
    </row>
    <row r="187" spans="4:8" x14ac:dyDescent="0.15">
      <c r="D187" s="195">
        <v>1983</v>
      </c>
      <c r="E187" s="196">
        <f t="shared" si="3"/>
        <v>709.50102108632507</v>
      </c>
      <c r="F187" s="292">
        <f>SUM(IFERROR(LOOKUP(D187,'Pennsylvania anthracite'!D$8:D$300,'Pennsylvania anthracite'!F$8:F$300),0),IFERROR(LOOKUP(D187,'Western United States'!D$13:D$300,'Western United States'!F$13:F$300),0),IFERROR(LOOKUP(D187,'Eastern United States'!D$13:D$300,'Eastern United States'!F$13:F$300),0))</f>
        <v>44.94592800467592</v>
      </c>
      <c r="H187" s="35">
        <f ca="1">SUM('Western United States'!J178,'Eastern United States'!J197,'Pennsylvania anthracite'!J192)</f>
        <v>45.011094812015017</v>
      </c>
    </row>
    <row r="188" spans="4:8" x14ac:dyDescent="0.15">
      <c r="D188" s="195">
        <v>1984</v>
      </c>
      <c r="E188" s="196">
        <f t="shared" si="3"/>
        <v>812.76586012711505</v>
      </c>
      <c r="F188" s="292">
        <f>SUM(IFERROR(LOOKUP(D188,'Pennsylvania anthracite'!D$8:D$300,'Pennsylvania anthracite'!F$8:F$300),0),IFERROR(LOOKUP(D188,'Western United States'!D$13:D$300,'Western United States'!F$13:F$300),0),IFERROR(LOOKUP(D188,'Eastern United States'!D$13:D$300,'Eastern United States'!F$13:F$300),0))</f>
        <v>45.758693864803035</v>
      </c>
      <c r="H188" s="35">
        <f ca="1">SUM('Western United States'!J179,'Eastern United States'!J198,'Pennsylvania anthracite'!J193)</f>
        <v>45.783306286109912</v>
      </c>
    </row>
    <row r="189" spans="4:8" x14ac:dyDescent="0.15">
      <c r="D189" s="195">
        <v>1985</v>
      </c>
      <c r="E189" s="196">
        <f t="shared" si="3"/>
        <v>801.62290995635749</v>
      </c>
      <c r="F189" s="292">
        <f>SUM(IFERROR(LOOKUP(D189,'Pennsylvania anthracite'!D$8:D$300,'Pennsylvania anthracite'!F$8:F$300),0),IFERROR(LOOKUP(D189,'Western United States'!D$13:D$300,'Western United States'!F$13:F$300),0),IFERROR(LOOKUP(D189,'Eastern United States'!D$13:D$300,'Eastern United States'!F$13:F$300),0))</f>
        <v>46.560316774759393</v>
      </c>
      <c r="G189" s="35">
        <f>SUM('Pennsylvania anthracite'!F194,'Western United States'!H180,'Eastern United States'!H199)</f>
        <v>240.74407532233792</v>
      </c>
      <c r="H189" s="35">
        <f ca="1">SUM('Western United States'!J180,'Eastern United States'!J199,'Pennsylvania anthracite'!J194)</f>
        <v>46.569823036379361</v>
      </c>
    </row>
    <row r="190" spans="4:8" x14ac:dyDescent="0.15">
      <c r="D190" s="195">
        <v>1986</v>
      </c>
      <c r="E190" s="196">
        <f t="shared" si="3"/>
        <v>807.67927528567179</v>
      </c>
      <c r="F190" s="292">
        <f>SUM(IFERROR(LOOKUP(D190,'Pennsylvania anthracite'!D$8:D$300,'Pennsylvania anthracite'!F$8:F$300),0),IFERROR(LOOKUP(D190,'Western United States'!D$13:D$300,'Western United States'!F$13:F$300),0),IFERROR(LOOKUP(D190,'Eastern United States'!D$13:D$300,'Eastern United States'!F$13:F$300),0))</f>
        <v>47.367996050045065</v>
      </c>
      <c r="G190" s="35">
        <f>SUM('Pennsylvania anthracite'!F195,'Western United States'!H181,'Eastern United States'!H200)</f>
        <v>180.83617892690444</v>
      </c>
      <c r="H190" s="35">
        <f ca="1">SUM('Western United States'!J181,'Eastern United States'!J200,'Pennsylvania anthracite'!J195)</f>
        <v>47.370907120214355</v>
      </c>
    </row>
    <row r="191" spans="4:8" x14ac:dyDescent="0.15">
      <c r="D191" s="195">
        <v>1987</v>
      </c>
      <c r="E191" s="196">
        <f t="shared" si="3"/>
        <v>833.48686679083528</v>
      </c>
      <c r="F191" s="292">
        <f>SUM(IFERROR(LOOKUP(D191,'Pennsylvania anthracite'!D$8:D$300,'Pennsylvania anthracite'!F$8:F$300),0),IFERROR(LOOKUP(D191,'Western United States'!D$13:D$300,'Western United States'!F$13:F$300),0),IFERROR(LOOKUP(D191,'Eastern United States'!D$13:D$300,'Eastern United States'!F$13:F$300),0))</f>
        <v>48.2014829168359</v>
      </c>
      <c r="G191" s="35">
        <f>SUM('Pennsylvania anthracite'!F196,'Western United States'!H182,'Eastern United States'!H201)</f>
        <v>153.43028328177905</v>
      </c>
      <c r="H191" s="35">
        <f ca="1">SUM('Western United States'!J182,'Eastern United States'!J201,'Pennsylvania anthracite'!J196)</f>
        <v>48.18680392900243</v>
      </c>
    </row>
    <row r="192" spans="4:8" x14ac:dyDescent="0.15">
      <c r="D192" s="195">
        <v>1988</v>
      </c>
      <c r="E192" s="196">
        <f t="shared" si="3"/>
        <v>862.06590767901753</v>
      </c>
      <c r="F192" s="292">
        <f>SUM(IFERROR(LOOKUP(D192,'Pennsylvania anthracite'!D$8:D$300,'Pennsylvania anthracite'!F$8:F$300),0),IFERROR(LOOKUP(D192,'Western United States'!D$13:D$300,'Western United States'!F$13:F$300),0),IFERROR(LOOKUP(D192,'Eastern United States'!D$13:D$300,'Eastern United States'!F$13:F$300),0))</f>
        <v>49.063548824514918</v>
      </c>
      <c r="G192" s="35">
        <f>SUM('Pennsylvania anthracite'!F197,'Western United States'!H183,'Eastern United States'!H202)</f>
        <v>155.27542895778149</v>
      </c>
      <c r="H192" s="35">
        <f ca="1">SUM('Western United States'!J183,'Eastern United States'!J202,'Pennsylvania anthracite'!J197)</f>
        <v>49.017738988390221</v>
      </c>
    </row>
    <row r="193" spans="4:8" x14ac:dyDescent="0.15">
      <c r="D193" s="195">
        <v>1989</v>
      </c>
      <c r="E193" s="196">
        <f t="shared" si="3"/>
        <v>889.70238362156101</v>
      </c>
      <c r="F193" s="292">
        <f>SUM(IFERROR(LOOKUP(D193,'Pennsylvania anthracite'!D$8:D$300,'Pennsylvania anthracite'!F$8:F$300),0),IFERROR(LOOKUP(D193,'Western United States'!D$13:D$300,'Western United States'!F$13:F$300),0),IFERROR(LOOKUP(D193,'Eastern United States'!D$13:D$300,'Eastern United States'!F$13:F$300),0))</f>
        <v>49.953251208136479</v>
      </c>
      <c r="G193" s="35">
        <f>SUM('Pennsylvania anthracite'!F198,'Western United States'!H184,'Eastern United States'!H203)</f>
        <v>157.59769024125575</v>
      </c>
      <c r="H193" s="35">
        <f ca="1">SUM('Western United States'!J184,'Eastern United States'!J203,'Pennsylvania anthracite'!J198)</f>
        <v>49.863914541462599</v>
      </c>
    </row>
    <row r="194" spans="4:8" x14ac:dyDescent="0.15">
      <c r="D194" s="195">
        <v>1990</v>
      </c>
      <c r="E194" s="196">
        <f t="shared" si="3"/>
        <v>933.56204428311435</v>
      </c>
      <c r="F194" s="292">
        <f>SUM(IFERROR(LOOKUP(D194,'Pennsylvania anthracite'!D$8:D$300,'Pennsylvania anthracite'!F$8:F$300),0),IFERROR(LOOKUP(D194,'Western United States'!D$13:D$300,'Western United States'!F$13:F$300),0),IFERROR(LOOKUP(D194,'Eastern United States'!D$13:D$300,'Eastern United States'!F$13:F$300),0))</f>
        <v>50.886813252419593</v>
      </c>
      <c r="G194" s="35">
        <f>SUM('Pennsylvania anthracite'!F199,'Western United States'!H185,'Eastern United States'!H204)</f>
        <v>159.95712544683082</v>
      </c>
      <c r="H194" s="35">
        <f ca="1">SUM('Western United States'!J185,'Eastern United States'!J204,'Pennsylvania anthracite'!J199)</f>
        <v>50.725505930624678</v>
      </c>
    </row>
    <row r="195" spans="4:8" x14ac:dyDescent="0.15">
      <c r="D195" s="195">
        <v>1991</v>
      </c>
      <c r="E195" s="196">
        <f t="shared" si="3"/>
        <v>903.54148684185986</v>
      </c>
      <c r="F195" s="292">
        <f>SUM(IFERROR(LOOKUP(D195,'Pennsylvania anthracite'!D$8:D$300,'Pennsylvania anthracite'!F$8:F$300),0),IFERROR(LOOKUP(D195,'Western United States'!D$13:D$300,'Western United States'!F$13:F$300),0),IFERROR(LOOKUP(D195,'Eastern United States'!D$13:D$300,'Eastern United States'!F$13:F$300),0))</f>
        <v>51.790354739261453</v>
      </c>
      <c r="G195" s="35">
        <f>SUM('Pennsylvania anthracite'!F200,'Western United States'!H186,'Eastern United States'!H205)</f>
        <v>157.30508658994904</v>
      </c>
      <c r="H195" s="35">
        <f ca="1">SUM('Western United States'!J186,'Eastern United States'!J205,'Pennsylvania anthracite'!J200)</f>
        <v>51.602657799676585</v>
      </c>
    </row>
    <row r="196" spans="4:8" x14ac:dyDescent="0.15">
      <c r="D196" s="195">
        <v>1992</v>
      </c>
      <c r="E196" s="196">
        <f t="shared" si="3"/>
        <v>904.95760222218996</v>
      </c>
      <c r="F196" s="292">
        <f>SUM(IFERROR(LOOKUP(D196,'Pennsylvania anthracite'!D$8:D$300,'Pennsylvania anthracite'!F$8:F$300),0),IFERROR(LOOKUP(D196,'Western United States'!D$13:D$300,'Western United States'!F$13:F$300),0),IFERROR(LOOKUP(D196,'Eastern United States'!D$13:D$300,'Eastern United States'!F$13:F$300),0))</f>
        <v>52.695312341483643</v>
      </c>
      <c r="G196" s="35">
        <f>SUM('Pennsylvania anthracite'!F201,'Western United States'!H187,'Eastern United States'!H206)</f>
        <v>151.72235706920455</v>
      </c>
      <c r="H196" s="35">
        <f ca="1">SUM('Western United States'!J187,'Eastern United States'!J206,'Pennsylvania anthracite'!J201)</f>
        <v>52.495480143721814</v>
      </c>
    </row>
    <row r="197" spans="4:8" x14ac:dyDescent="0.15">
      <c r="D197" s="195">
        <v>1993</v>
      </c>
      <c r="E197" s="196">
        <f t="shared" ref="E197:E213" si="4">(F197-F196)*1000</f>
        <v>857.6742263490047</v>
      </c>
      <c r="F197" s="292">
        <f>SUM(IFERROR(LOOKUP(D197,'Pennsylvania anthracite'!D$8:D$300,'Pennsylvania anthracite'!F$8:F$300),0),IFERROR(LOOKUP(D197,'Western United States'!D$13:D$300,'Western United States'!F$13:F$300),0),IFERROR(LOOKUP(D197,'Eastern United States'!D$13:D$300,'Eastern United States'!F$13:F$300),0))</f>
        <v>53.552986567832647</v>
      </c>
      <c r="G197" s="35">
        <f>SUM('Pennsylvania anthracite'!F202,'Western United States'!H188,'Eastern United States'!H207)</f>
        <v>147.16068163341623</v>
      </c>
      <c r="H197" s="35">
        <f ca="1">SUM('Western United States'!J188,'Eastern United States'!J207,'Pennsylvania anthracite'!J202)</f>
        <v>53.404044241063566</v>
      </c>
    </row>
    <row r="198" spans="4:8" x14ac:dyDescent="0.15">
      <c r="D198" s="195">
        <v>1994</v>
      </c>
      <c r="E198" s="196">
        <f t="shared" si="4"/>
        <v>937.57996549994255</v>
      </c>
      <c r="F198" s="292">
        <f>SUM(IFERROR(LOOKUP(D198,'Pennsylvania anthracite'!D$8:D$300,'Pennsylvania anthracite'!F$8:F$300),0),IFERROR(LOOKUP(D198,'Western United States'!D$13:D$300,'Western United States'!F$13:F$300),0),IFERROR(LOOKUP(D198,'Eastern United States'!D$13:D$300,'Eastern United States'!F$13:F$300),0))</f>
        <v>54.49056653333259</v>
      </c>
      <c r="G198" s="35">
        <f>SUM('Pennsylvania anthracite'!F203,'Western United States'!H189,'Eastern United States'!H208)</f>
        <v>145.95289071921673</v>
      </c>
      <c r="H198" s="35">
        <f ca="1">SUM('Western United States'!J189,'Eastern United States'!J208,'Pennsylvania anthracite'!J203)</f>
        <v>54.328378508001705</v>
      </c>
    </row>
    <row r="199" spans="4:8" x14ac:dyDescent="0.15">
      <c r="D199" s="195">
        <v>1995</v>
      </c>
      <c r="E199" s="196">
        <f t="shared" si="4"/>
        <v>937.0980435644824</v>
      </c>
      <c r="F199" s="292">
        <f>SUM(IFERROR(LOOKUP(D199,'Pennsylvania anthracite'!D$8:D$300,'Pennsylvania anthracite'!F$8:F$300),0),IFERROR(LOOKUP(D199,'Western United States'!D$13:D$300,'Western United States'!F$13:F$300),0),IFERROR(LOOKUP(D199,'Eastern United States'!D$13:D$300,'Eastern United States'!F$13:F$300),0))</f>
        <v>55.427664576897072</v>
      </c>
      <c r="G199" s="35">
        <f>SUM('Pennsylvania anthracite'!F204,'Western United States'!H190,'Eastern United States'!H209)</f>
        <v>146.0046534352623</v>
      </c>
      <c r="H199" s="35">
        <f ca="1">SUM('Western United States'!J190,'Eastern United States'!J209,'Pennsylvania anthracite'!J204)</f>
        <v>55.268464324299352</v>
      </c>
    </row>
    <row r="200" spans="4:8" x14ac:dyDescent="0.15">
      <c r="D200" s="195">
        <v>1996</v>
      </c>
      <c r="E200" s="196">
        <f t="shared" si="4"/>
        <v>965.11348776780892</v>
      </c>
      <c r="F200" s="292">
        <f>SUM(IFERROR(LOOKUP(D200,'Pennsylvania anthracite'!D$8:D$300,'Pennsylvania anthracite'!F$8:F$300),0),IFERROR(LOOKUP(D200,'Western United States'!D$13:D$300,'Western United States'!F$13:F$300),0),IFERROR(LOOKUP(D200,'Eastern United States'!D$13:D$300,'Eastern United States'!F$13:F$300),0))</f>
        <v>56.392778064664881</v>
      </c>
      <c r="G200" s="35">
        <f>SUM('Pennsylvania anthracite'!F205,'Western United States'!H191,'Eastern United States'!H210)</f>
        <v>146.08992716763325</v>
      </c>
      <c r="H200" s="35">
        <f ca="1">SUM('Western United States'!J191,'Eastern United States'!J210,'Pennsylvania anthracite'!J205)</f>
        <v>56.224231883864988</v>
      </c>
    </row>
    <row r="201" spans="4:8" x14ac:dyDescent="0.15">
      <c r="D201" s="195">
        <v>1997</v>
      </c>
      <c r="E201" s="196">
        <f t="shared" si="4"/>
        <v>988.76948654368846</v>
      </c>
      <c r="F201" s="292">
        <f>SUM(IFERROR(LOOKUP(D201,'Pennsylvania anthracite'!D$8:D$300,'Pennsylvania anthracite'!F$8:F$300),0),IFERROR(LOOKUP(D201,'Western United States'!D$13:D$300,'Western United States'!F$13:F$300),0),IFERROR(LOOKUP(D201,'Eastern United States'!D$13:D$300,'Eastern United States'!F$13:F$300),0))</f>
        <v>57.38154755120857</v>
      </c>
      <c r="G201" s="35">
        <f>SUM('Pennsylvania anthracite'!F206,'Western United States'!H192,'Eastern United States'!H211)</f>
        <v>145.75230002540042</v>
      </c>
      <c r="H201" s="35">
        <f ca="1">SUM('Western United States'!J192,'Eastern United States'!J211,'Pennsylvania anthracite'!J206)</f>
        <v>57.195556131684484</v>
      </c>
    </row>
    <row r="202" spans="4:8" x14ac:dyDescent="0.15">
      <c r="D202" s="195">
        <v>1998</v>
      </c>
      <c r="E202" s="196">
        <f t="shared" si="4"/>
        <v>1013.8108507659211</v>
      </c>
      <c r="F202" s="292">
        <f>SUM(IFERROR(LOOKUP(D202,'Pennsylvania anthracite'!D$8:D$300,'Pennsylvania anthracite'!F$8:F$300),0),IFERROR(LOOKUP(D202,'Western United States'!D$13:D$300,'Western United States'!F$13:F$300),0),IFERROR(LOOKUP(D202,'Eastern United States'!D$13:D$300,'Eastern United States'!F$13:F$300),0))</f>
        <v>58.395358401974491</v>
      </c>
      <c r="G202" s="35">
        <f>SUM('Pennsylvania anthracite'!F207,'Western United States'!H193,'Eastern United States'!H212)</f>
        <v>146.10017351423605</v>
      </c>
      <c r="H202" s="35">
        <f ca="1">SUM('Western United States'!J193,'Eastern United States'!J212,'Pennsylvania anthracite'!J207)</f>
        <v>58.182252854001845</v>
      </c>
    </row>
    <row r="203" spans="4:8" x14ac:dyDescent="0.15">
      <c r="D203" s="195">
        <v>1999</v>
      </c>
      <c r="E203" s="196">
        <f t="shared" si="4"/>
        <v>998.29459973517487</v>
      </c>
      <c r="F203" s="292">
        <f>SUM(IFERROR(LOOKUP(D203,'Pennsylvania anthracite'!D$8:D$300,'Pennsylvania anthracite'!F$8:F$300),0),IFERROR(LOOKUP(D203,'Western United States'!D$13:D$300,'Western United States'!F$13:F$300),0),IFERROR(LOOKUP(D203,'Eastern United States'!D$13:D$300,'Eastern United States'!F$13:F$300),0))</f>
        <v>59.393653001709666</v>
      </c>
      <c r="G203" s="35">
        <f>SUM('Pennsylvania anthracite'!F208,'Western United States'!H194,'Eastern United States'!H213)</f>
        <v>146.67929956348746</v>
      </c>
      <c r="H203" s="35">
        <f ca="1">SUM('Western United States'!J194,'Eastern United States'!J213,'Pennsylvania anthracite'!J208)</f>
        <v>59.184074993932114</v>
      </c>
    </row>
    <row r="204" spans="4:8" x14ac:dyDescent="0.15">
      <c r="D204" s="195">
        <v>2000</v>
      </c>
      <c r="E204" s="196">
        <f t="shared" si="4"/>
        <v>973.9640256435323</v>
      </c>
      <c r="F204" s="292">
        <f>SUM(IFERROR(LOOKUP(D204,'Pennsylvania anthracite'!D$8:D$300,'Pennsylvania anthracite'!F$8:F$300),0),IFERROR(LOOKUP(D204,'Western United States'!D$13:D$300,'Western United States'!F$13:F$300),0),IFERROR(LOOKUP(D204,'Eastern United States'!D$13:D$300,'Eastern United States'!F$13:F$300),0))</f>
        <v>60.367617027353198</v>
      </c>
      <c r="G204" s="35">
        <f>SUM('Pennsylvania anthracite'!F209,'Western United States'!H195,'Eastern United States'!H214)</f>
        <v>146.16240925125729</v>
      </c>
      <c r="H204" s="35">
        <f ca="1">SUM('Western United States'!J195,'Eastern United States'!J214,'Pennsylvania anthracite'!J209)</f>
        <v>60.200709268819956</v>
      </c>
    </row>
    <row r="205" spans="4:8" x14ac:dyDescent="0.15">
      <c r="D205" s="195">
        <v>2001</v>
      </c>
      <c r="E205" s="196">
        <f t="shared" si="4"/>
        <v>1023.0220771299159</v>
      </c>
      <c r="F205" s="292">
        <f>SUM(IFERROR(LOOKUP(D205,'Pennsylvania anthracite'!D$8:D$300,'Pennsylvania anthracite'!F$8:F$300),0),IFERROR(LOOKUP(D205,'Western United States'!D$13:D$300,'Western United States'!F$13:F$300),0),IFERROR(LOOKUP(D205,'Eastern United States'!D$13:D$300,'Eastern United States'!F$13:F$300),0))</f>
        <v>61.390639104483114</v>
      </c>
      <c r="G205" s="35">
        <f>SUM('Pennsylvania anthracite'!F210,'Western United States'!H196,'Eastern United States'!H215)</f>
        <v>145.63957464206308</v>
      </c>
      <c r="H205" s="35">
        <f ca="1">SUM('Western United States'!J196,'Eastern United States'!J215,'Pennsylvania anthracite'!J210)</f>
        <v>61.231773168457259</v>
      </c>
    </row>
    <row r="206" spans="4:8" x14ac:dyDescent="0.15">
      <c r="D206" s="195">
        <v>2002</v>
      </c>
      <c r="E206" s="196">
        <f t="shared" si="4"/>
        <v>992.71689501217963</v>
      </c>
      <c r="F206" s="292">
        <f>SUM(IFERROR(LOOKUP(D206,'Pennsylvania anthracite'!D$8:D$300,'Pennsylvania anthracite'!F$8:F$300),0),IFERROR(LOOKUP(D206,'Western United States'!D$13:D$300,'Western United States'!F$13:F$300),0),IFERROR(LOOKUP(D206,'Eastern United States'!D$13:D$300,'Eastern United States'!F$13:F$300),0))</f>
        <v>62.383355999495294</v>
      </c>
      <c r="G206" s="35">
        <f>SUM('Pennsylvania anthracite'!F211,'Western United States'!H197,'Eastern United States'!H216)</f>
        <v>144.47433263708308</v>
      </c>
      <c r="H206" s="35">
        <f ca="1">SUM('Western United States'!J197,'Eastern United States'!J216,'Pennsylvania anthracite'!J211)</f>
        <v>62.276812414469319</v>
      </c>
    </row>
    <row r="207" spans="4:8" x14ac:dyDescent="0.15">
      <c r="D207" s="195">
        <v>2003</v>
      </c>
      <c r="E207" s="196">
        <f t="shared" si="4"/>
        <v>972.27758009667298</v>
      </c>
      <c r="F207" s="292">
        <f>SUM(IFERROR(LOOKUP(D207,'Pennsylvania anthracite'!D$8:D$300,'Pennsylvania anthracite'!F$8:F$300),0),IFERROR(LOOKUP(D207,'Western United States'!D$13:D$300,'Western United States'!F$13:F$300),0),IFERROR(LOOKUP(D207,'Eastern United States'!D$13:D$300,'Eastern United States'!F$13:F$300),0))</f>
        <v>63.355633579591967</v>
      </c>
      <c r="G207" s="35">
        <f>SUM('Pennsylvania anthracite'!F212,'Western United States'!H198,'Eastern United States'!H217)</f>
        <v>142.53244178599405</v>
      </c>
      <c r="H207" s="35">
        <f ca="1">SUM('Western United States'!J198,'Eastern United States'!J217,'Pennsylvania anthracite'!J212)</f>
        <v>63.335298960519367</v>
      </c>
    </row>
    <row r="208" spans="4:8" x14ac:dyDescent="0.15">
      <c r="D208" s="195">
        <v>2004</v>
      </c>
      <c r="E208" s="196">
        <f t="shared" si="4"/>
        <v>1008.879125081279</v>
      </c>
      <c r="F208" s="292">
        <f>SUM(IFERROR(LOOKUP(D208,'Pennsylvania anthracite'!D$8:D$300,'Pennsylvania anthracite'!F$8:F$300),0),IFERROR(LOOKUP(D208,'Western United States'!D$13:D$300,'Western United States'!F$13:F$300),0),IFERROR(LOOKUP(D208,'Eastern United States'!D$13:D$300,'Eastern United States'!F$13:F$300),0))</f>
        <v>64.364512704673245</v>
      </c>
      <c r="G208" s="35">
        <f>SUM('Pennsylvania anthracite'!F213,'Western United States'!H199,'Eastern United States'!H218)</f>
        <v>140.52336246083348</v>
      </c>
      <c r="H208" s="35">
        <f ca="1">SUM('Western United States'!J199,'Eastern United States'!J218,'Pennsylvania anthracite'!J213)</f>
        <v>64.406629610247506</v>
      </c>
    </row>
    <row r="209" spans="4:8" x14ac:dyDescent="0.15">
      <c r="D209" s="195">
        <v>2005</v>
      </c>
      <c r="E209" s="196">
        <f t="shared" si="4"/>
        <v>1026.4778096126008</v>
      </c>
      <c r="F209" s="292">
        <f>SUM(IFERROR(LOOKUP(D209,'Pennsylvania anthracite'!D$8:D$300,'Pennsylvania anthracite'!F$8:F$300),0),IFERROR(LOOKUP(D209,'Western United States'!D$13:D$300,'Western United States'!F$13:F$300),0),IFERROR(LOOKUP(D209,'Eastern United States'!D$13:D$300,'Eastern United States'!F$13:F$300),0))</f>
        <v>65.390990514285846</v>
      </c>
      <c r="G209" s="35">
        <f>SUM('Pennsylvania anthracite'!F214,'Western United States'!H200,'Eastern United States'!H219)</f>
        <v>138.53225827589765</v>
      </c>
      <c r="H209" s="35">
        <f ca="1">SUM('Western United States'!J200,'Eastern United States'!J219,'Pennsylvania anthracite'!J214)</f>
        <v>65.490125324881504</v>
      </c>
    </row>
    <row r="210" spans="4:8" x14ac:dyDescent="0.15">
      <c r="D210" s="195">
        <v>2006</v>
      </c>
      <c r="E210" s="196">
        <f t="shared" si="4"/>
        <v>1054.82874796958</v>
      </c>
      <c r="F210" s="292">
        <f>SUM(IFERROR(LOOKUP(D210,'Pennsylvania anthracite'!D$8:D$300,'Pennsylvania anthracite'!F$8:F$300),0),IFERROR(LOOKUP(D210,'Western United States'!D$13:D$300,'Western United States'!F$13:F$300),0),IFERROR(LOOKUP(D210,'Eastern United States'!D$13:D$300,'Eastern United States'!F$13:F$300),0))</f>
        <v>66.445819262255426</v>
      </c>
      <c r="G210" s="35">
        <f>SUM('Pennsylvania anthracite'!F215,'Western United States'!H201,'Eastern United States'!H220)</f>
        <v>136.92789617285712</v>
      </c>
      <c r="H210" s="35">
        <f ca="1">SUM('Western United States'!J201,'Eastern United States'!J220,'Pennsylvania anthracite'!J215)</f>
        <v>66.58503128513091</v>
      </c>
    </row>
    <row r="211" spans="4:8" x14ac:dyDescent="0.15">
      <c r="D211" s="195">
        <v>2007</v>
      </c>
      <c r="E211" s="196">
        <f t="shared" si="4"/>
        <v>1040.2100882009506</v>
      </c>
      <c r="F211" s="292">
        <f>SUM(IFERROR(LOOKUP(D211,'Pennsylvania anthracite'!D$8:D$300,'Pennsylvania anthracite'!F$8:F$300),0),IFERROR(LOOKUP(D211,'Western United States'!D$13:D$300,'Western United States'!F$13:F$300),0),IFERROR(LOOKUP(D211,'Eastern United States'!D$13:D$300,'Eastern United States'!F$13:F$300),0))</f>
        <v>67.486029350456377</v>
      </c>
      <c r="G211" s="35">
        <f>SUM('Pennsylvania anthracite'!F216,'Western United States'!H202,'Eastern United States'!H221)</f>
        <v>135.36138540586035</v>
      </c>
      <c r="H211" s="35">
        <f ca="1">SUM('Western United States'!J202,'Eastern United States'!J221,'Pennsylvania anthracite'!J216)</f>
        <v>67.690517762274865</v>
      </c>
    </row>
    <row r="212" spans="4:8" x14ac:dyDescent="0.15">
      <c r="D212" s="195">
        <v>2008</v>
      </c>
      <c r="E212" s="196">
        <f t="shared" si="4"/>
        <v>1062.7513810050714</v>
      </c>
      <c r="F212" s="292">
        <f>SUM(IFERROR(LOOKUP(D212,'Pennsylvania anthracite'!D$8:D$300,'Pennsylvania anthracite'!F$8:F$300),0),IFERROR(LOOKUP(D212,'Western United States'!D$13:D$300,'Western United States'!F$13:F$300),0),IFERROR(LOOKUP(D212,'Eastern United States'!D$13:D$300,'Eastern United States'!F$13:F$300),0))</f>
        <v>68.548780731461449</v>
      </c>
      <c r="G212" s="35">
        <f>SUM('Pennsylvania anthracite'!F217,'Western United States'!H203,'Eastern United States'!H222)</f>
        <v>133.89948136480274</v>
      </c>
      <c r="H212" s="35">
        <f ca="1">SUM('Western United States'!J203,'Eastern United States'!J222,'Pennsylvania anthracite'!J217)</f>
        <v>68.805681841344409</v>
      </c>
    </row>
    <row r="213" spans="4:8" x14ac:dyDescent="0.15">
      <c r="D213" s="195">
        <v>2009</v>
      </c>
      <c r="E213" s="196">
        <f t="shared" si="4"/>
        <v>973.1842450205761</v>
      </c>
      <c r="F213" s="292">
        <f>SUM(IFERROR(LOOKUP(D213,'Pennsylvania anthracite'!D$8:D$300,'Pennsylvania anthracite'!F$8:F$300),0),IFERROR(LOOKUP(D213,'Western United States'!D$13:D$300,'Western United States'!F$13:F$300),0),IFERROR(LOOKUP(D213,'Eastern United States'!D$13:D$300,'Eastern United States'!F$13:F$300),0))</f>
        <v>69.521964976482025</v>
      </c>
      <c r="G213" s="35">
        <f>SUM('Pennsylvania anthracite'!F218,'Western United States'!H204,'Eastern United States'!H223)</f>
        <v>131.94990625289154</v>
      </c>
      <c r="H213" s="35">
        <f ca="1">SUM('Western United States'!J204,'Eastern United States'!J223,'Pennsylvania anthracite'!J218)</f>
        <v>69.929550025143627</v>
      </c>
    </row>
    <row r="214" spans="4:8" x14ac:dyDescent="0.15">
      <c r="D214" s="195">
        <v>2010</v>
      </c>
      <c r="E214" s="294"/>
      <c r="H214" s="35">
        <f ca="1">SUM('Western United States'!J205,'Eastern United States'!J224,'Pennsylvania anthracite'!J219)</f>
        <v>71.061081731819655</v>
      </c>
    </row>
    <row r="215" spans="4:8" x14ac:dyDescent="0.15">
      <c r="D215" s="195">
        <v>2011</v>
      </c>
      <c r="E215" s="294"/>
      <c r="H215" s="35">
        <f ca="1">SUM('Western United States'!J206,'Eastern United States'!J225,'Pennsylvania anthracite'!J220)</f>
        <v>72.19917368114514</v>
      </c>
    </row>
    <row r="216" spans="4:8" x14ac:dyDescent="0.15">
      <c r="D216" s="195">
        <v>2012</v>
      </c>
      <c r="E216" s="294"/>
      <c r="H216" s="35">
        <f ca="1">SUM('Western United States'!J207,'Eastern United States'!J226,'Pennsylvania anthracite'!J221)</f>
        <v>73.342665146081117</v>
      </c>
    </row>
    <row r="217" spans="4:8" x14ac:dyDescent="0.15">
      <c r="D217" s="195">
        <v>2013</v>
      </c>
      <c r="E217" s="294"/>
      <c r="H217" s="35">
        <f ca="1">SUM('Western United States'!J208,'Eastern United States'!J227,'Pennsylvania anthracite'!J222)</f>
        <v>74.490344027085101</v>
      </c>
    </row>
    <row r="218" spans="4:8" x14ac:dyDescent="0.15">
      <c r="D218" s="195">
        <v>2014</v>
      </c>
      <c r="E218" s="294"/>
      <c r="H218" s="35">
        <f ca="1">SUM('Western United States'!J209,'Eastern United States'!J228,'Pennsylvania anthracite'!J223)</f>
        <v>75.64095368762132</v>
      </c>
    </row>
    <row r="219" spans="4:8" x14ac:dyDescent="0.15">
      <c r="D219" s="195">
        <v>2015</v>
      </c>
      <c r="E219" s="294"/>
      <c r="H219" s="35">
        <f ca="1">SUM('Western United States'!J210,'Eastern United States'!J229,'Pennsylvania anthracite'!J224)</f>
        <v>76.793200471055542</v>
      </c>
    </row>
    <row r="220" spans="4:8" x14ac:dyDescent="0.15">
      <c r="D220" s="195">
        <v>2016</v>
      </c>
      <c r="E220" s="294"/>
      <c r="H220" s="35">
        <f ca="1">SUM('Western United States'!J211,'Eastern United States'!J230,'Pennsylvania anthracite'!J225)</f>
        <v>77.945761802221753</v>
      </c>
    </row>
    <row r="221" spans="4:8" x14ac:dyDescent="0.15">
      <c r="D221" s="195">
        <v>2017</v>
      </c>
      <c r="E221" s="294"/>
      <c r="H221" s="35">
        <f ca="1">SUM('Western United States'!J212,'Eastern United States'!J231,'Pennsylvania anthracite'!J226)</f>
        <v>79.097294762053579</v>
      </c>
    </row>
    <row r="222" spans="4:8" x14ac:dyDescent="0.15">
      <c r="D222" s="195">
        <v>2018</v>
      </c>
      <c r="E222" s="294"/>
      <c r="H222" s="35">
        <f ca="1">SUM('Western United States'!J213,'Eastern United States'!J232,'Pennsylvania anthracite'!J227)</f>
        <v>80.246445011345259</v>
      </c>
    </row>
    <row r="223" spans="4:8" x14ac:dyDescent="0.15">
      <c r="D223" s="195">
        <v>2019</v>
      </c>
      <c r="E223" s="294"/>
      <c r="H223" s="35">
        <f ca="1">SUM('Western United States'!J214,'Eastern United States'!J233,'Pennsylvania anthracite'!J228)</f>
        <v>81.391855930425436</v>
      </c>
    </row>
    <row r="224" spans="4:8" x14ac:dyDescent="0.15">
      <c r="D224" s="195">
        <v>2020</v>
      </c>
      <c r="E224" s="294"/>
      <c r="H224" s="35">
        <f ca="1">SUM('Western United States'!J215,'Eastern United States'!J234,'Pennsylvania anthracite'!J229)</f>
        <v>82.532177835660704</v>
      </c>
    </row>
    <row r="225" spans="4:8" x14ac:dyDescent="0.15">
      <c r="D225" s="195">
        <v>2021</v>
      </c>
      <c r="E225" s="294"/>
      <c r="H225" s="35">
        <f ca="1">SUM('Western United States'!J216,'Eastern United States'!J235,'Pennsylvania anthracite'!J230)</f>
        <v>83.666077131489544</v>
      </c>
    </row>
    <row r="226" spans="4:8" x14ac:dyDescent="0.15">
      <c r="D226" s="195">
        <v>2022</v>
      </c>
      <c r="E226" s="294"/>
      <c r="H226" s="35">
        <f ca="1">SUM('Western United States'!J217,'Eastern United States'!J236,'Pennsylvania anthracite'!J231)</f>
        <v>84.792245258212304</v>
      </c>
    </row>
    <row r="227" spans="4:8" x14ac:dyDescent="0.15">
      <c r="D227" s="195">
        <v>2023</v>
      </c>
      <c r="E227" s="294"/>
      <c r="H227" s="35">
        <f ca="1">SUM('Western United States'!J218,'Eastern United States'!J237,'Pennsylvania anthracite'!J232)</f>
        <v>85.909407300968596</v>
      </c>
    </row>
    <row r="228" spans="4:8" x14ac:dyDescent="0.15">
      <c r="D228" s="195">
        <v>2024</v>
      </c>
      <c r="E228" s="294"/>
      <c r="H228" s="35">
        <f ca="1">SUM('Western United States'!J219,'Eastern United States'!J238,'Pennsylvania anthracite'!J233)</f>
        <v>87.016330134010374</v>
      </c>
    </row>
    <row r="229" spans="4:8" x14ac:dyDescent="0.15">
      <c r="D229" s="195">
        <v>2025</v>
      </c>
      <c r="E229" s="294"/>
      <c r="H229" s="35">
        <f ca="1">SUM('Western United States'!J220,'Eastern United States'!J239,'Pennsylvania anthracite'!J234)</f>
        <v>88.111829986185569</v>
      </c>
    </row>
    <row r="230" spans="4:8" x14ac:dyDescent="0.15">
      <c r="D230" s="195">
        <v>2026</v>
      </c>
      <c r="E230" s="294"/>
      <c r="H230" s="35">
        <f ca="1">SUM('Western United States'!J221,'Eastern United States'!J240,'Pennsylvania anthracite'!J235)</f>
        <v>89.194779328021781</v>
      </c>
    </row>
    <row r="231" spans="4:8" x14ac:dyDescent="0.15">
      <c r="D231" s="195">
        <v>2027</v>
      </c>
      <c r="E231" s="294"/>
      <c r="H231" s="35">
        <f ca="1">SUM('Western United States'!J222,'Eastern United States'!J241,'Pennsylvania anthracite'!J236)</f>
        <v>90.264112997391067</v>
      </c>
    </row>
    <row r="232" spans="4:8" x14ac:dyDescent="0.15">
      <c r="D232" s="195">
        <v>2028</v>
      </c>
      <c r="E232" s="294"/>
      <c r="H232" s="35">
        <f ca="1">SUM('Western United States'!J223,'Eastern United States'!J242,'Pennsylvania anthracite'!J237)</f>
        <v>91.318833498833698</v>
      </c>
    </row>
    <row r="233" spans="4:8" x14ac:dyDescent="0.15">
      <c r="D233" s="195">
        <v>2029</v>
      </c>
      <c r="E233" s="294"/>
      <c r="H233" s="35">
        <f ca="1">SUM('Western United States'!J224,'Eastern United States'!J243,'Pennsylvania anthracite'!J238)</f>
        <v>92.35801543057481</v>
      </c>
    </row>
    <row r="234" spans="4:8" x14ac:dyDescent="0.15">
      <c r="D234" s="195">
        <v>2030</v>
      </c>
      <c r="E234" s="294"/>
      <c r="H234" s="35">
        <f ca="1">SUM('Western United States'!J225,'Eastern United States'!J244,'Pennsylvania anthracite'!J239)</f>
        <v>93.380809012443507</v>
      </c>
    </row>
    <row r="235" spans="4:8" x14ac:dyDescent="0.15">
      <c r="D235" s="195">
        <v>2031</v>
      </c>
      <c r="E235" s="294"/>
      <c r="H235" s="35">
        <f ca="1">SUM('Western United States'!J226,'Eastern United States'!J245,'Pennsylvania anthracite'!J240)</f>
        <v>94.386442706683965</v>
      </c>
    </row>
    <row r="236" spans="4:8" x14ac:dyDescent="0.15">
      <c r="D236" s="195">
        <v>2032</v>
      </c>
      <c r="E236" s="294"/>
      <c r="H236" s="35">
        <f ca="1">SUM('Western United States'!J227,'Eastern United States'!J246,'Pennsylvania anthracite'!J241)</f>
        <v>95.374224941480946</v>
      </c>
    </row>
    <row r="237" spans="4:8" x14ac:dyDescent="0.15">
      <c r="D237" s="195">
        <v>2033</v>
      </c>
      <c r="E237" s="294"/>
      <c r="H237" s="35">
        <f ca="1">SUM('Western United States'!J228,'Eastern United States'!J247,'Pennsylvania anthracite'!J242)</f>
        <v>96.343544963422147</v>
      </c>
    </row>
    <row r="238" spans="4:8" x14ac:dyDescent="0.15">
      <c r="D238" s="195">
        <v>2034</v>
      </c>
      <c r="E238" s="294"/>
      <c r="H238" s="35">
        <f ca="1">SUM('Western United States'!J229,'Eastern United States'!J248,'Pennsylvania anthracite'!J243)</f>
        <v>97.293872859708074</v>
      </c>
    </row>
    <row r="239" spans="4:8" x14ac:dyDescent="0.15">
      <c r="D239" s="195">
        <v>2035</v>
      </c>
      <c r="E239" s="294"/>
      <c r="H239" s="35">
        <f ca="1">SUM('Western United States'!J230,'Eastern United States'!J249,'Pennsylvania anthracite'!J244)</f>
        <v>98.224758803401059</v>
      </c>
    </row>
    <row r="240" spans="4:8" x14ac:dyDescent="0.15">
      <c r="D240" s="195">
        <v>2036</v>
      </c>
      <c r="E240" s="294"/>
      <c r="H240" s="35">
        <f ca="1">SUM('Western United States'!J231,'Eastern United States'!J250,'Pennsylvania anthracite'!J245)</f>
        <v>99.135831585200478</v>
      </c>
    </row>
    <row r="241" spans="4:8" x14ac:dyDescent="0.15">
      <c r="D241" s="195">
        <v>2037</v>
      </c>
      <c r="E241" s="294"/>
      <c r="H241" s="35">
        <f ca="1">SUM('Western United States'!J232,'Eastern United States'!J251,'Pennsylvania anthracite'!J246)</f>
        <v>100.02679650305534</v>
      </c>
    </row>
    <row r="242" spans="4:8" x14ac:dyDescent="0.15">
      <c r="D242" s="195">
        <v>2038</v>
      </c>
      <c r="E242" s="294"/>
      <c r="H242" s="35">
        <f ca="1">SUM('Western United States'!J233,'Eastern United States'!J252,'Pennsylvania anthracite'!J247)</f>
        <v>100.89743268638509</v>
      </c>
    </row>
    <row r="243" spans="4:8" x14ac:dyDescent="0.15">
      <c r="D243" s="195">
        <v>2039</v>
      </c>
      <c r="E243" s="294"/>
      <c r="H243" s="35">
        <f ca="1">SUM('Western United States'!J234,'Eastern United States'!J253,'Pennsylvania anthracite'!J248)</f>
        <v>101.7475899348684</v>
      </c>
    </row>
    <row r="244" spans="4:8" x14ac:dyDescent="0.15">
      <c r="D244" s="195">
        <v>2040</v>
      </c>
      <c r="E244" s="294"/>
      <c r="H244" s="35">
        <f ca="1">SUM('Western United States'!J235,'Eastern United States'!J254,'Pennsylvania anthracite'!J249)</f>
        <v>102.5771851528317</v>
      </c>
    </row>
    <row r="245" spans="4:8" x14ac:dyDescent="0.15">
      <c r="D245" s="195">
        <v>2041</v>
      </c>
      <c r="E245" s="294"/>
      <c r="H245" s="35">
        <f ca="1">SUM('Western United States'!J236,'Eastern United States'!J255,'Pennsylvania anthracite'!J250)</f>
        <v>103.38619845943715</v>
      </c>
    </row>
    <row r="246" spans="4:8" x14ac:dyDescent="0.15">
      <c r="D246" s="195">
        <v>2042</v>
      </c>
      <c r="E246" s="294"/>
      <c r="H246" s="35">
        <f ca="1">SUM('Western United States'!J237,'Eastern United States'!J256,'Pennsylvania anthracite'!J251)</f>
        <v>104.17466905237943</v>
      </c>
    </row>
    <row r="247" spans="4:8" x14ac:dyDescent="0.15">
      <c r="D247" s="195">
        <v>2043</v>
      </c>
      <c r="E247" s="294"/>
      <c r="H247" s="35">
        <f ca="1">SUM('Western United States'!J238,'Eastern United States'!J257,'Pennsylvania anthracite'!J252)</f>
        <v>104.94269089892235</v>
      </c>
    </row>
    <row r="248" spans="4:8" x14ac:dyDescent="0.15">
      <c r="D248" s="195">
        <v>2044</v>
      </c>
      <c r="E248" s="294"/>
      <c r="H248" s="35">
        <f ca="1">SUM('Western United States'!J239,'Eastern United States'!J258,'Pennsylvania anthracite'!J253)</f>
        <v>105.69040832311674</v>
      </c>
    </row>
    <row r="249" spans="4:8" x14ac:dyDescent="0.15">
      <c r="D249" s="195">
        <v>2045</v>
      </c>
      <c r="E249" s="294"/>
      <c r="H249" s="35">
        <f ca="1">SUM('Western United States'!J240,'Eastern United States'!J259,'Pennsylvania anthracite'!J254)</f>
        <v>106.41801155221636</v>
      </c>
    </row>
    <row r="250" spans="4:8" x14ac:dyDescent="0.15">
      <c r="D250" s="195">
        <v>2046</v>
      </c>
      <c r="E250" s="294"/>
      <c r="H250" s="35">
        <f ca="1">SUM('Western United States'!J241,'Eastern United States'!J260,'Pennsylvania anthracite'!J255)</f>
        <v>107.12573227890751</v>
      </c>
    </row>
    <row r="251" spans="4:8" x14ac:dyDescent="0.15">
      <c r="D251" s="195">
        <v>2047</v>
      </c>
      <c r="E251" s="294"/>
      <c r="H251" s="35">
        <f ca="1">SUM('Western United States'!J242,'Eastern United States'!J261,'Pennsylvania anthracite'!J256)</f>
        <v>107.81383928923393</v>
      </c>
    </row>
    <row r="252" spans="4:8" x14ac:dyDescent="0.15">
      <c r="D252" s="195">
        <v>2048</v>
      </c>
      <c r="E252" s="294"/>
      <c r="H252" s="35">
        <f ca="1">SUM('Western United States'!J243,'Eastern United States'!J262,'Pennsylvania anthracite'!J257)</f>
        <v>108.48263419924298</v>
      </c>
    </row>
    <row r="253" spans="4:8" x14ac:dyDescent="0.15">
      <c r="D253" s="195">
        <v>2049</v>
      </c>
      <c r="E253" s="294"/>
      <c r="H253" s="35">
        <f ca="1">SUM('Western United States'!J244,'Eastern United States'!J263,'Pennsylvania anthracite'!J258)</f>
        <v>109.13244733658783</v>
      </c>
    </row>
    <row r="254" spans="4:8" x14ac:dyDescent="0.15">
      <c r="D254" s="195">
        <v>2050</v>
      </c>
      <c r="E254" s="294"/>
      <c r="H254" s="35">
        <f ca="1">SUM('Western United States'!J245,'Eastern United States'!J264,'Pennsylvania anthracite'!J259)</f>
        <v>109.76363379674801</v>
      </c>
    </row>
    <row r="255" spans="4:8" x14ac:dyDescent="0.15">
      <c r="D255" s="195">
        <v>2051</v>
      </c>
      <c r="E255" s="294"/>
      <c r="H255" s="35">
        <f ca="1">SUM('Western United States'!J246,'Eastern United States'!J265,'Pennsylvania anthracite'!J260)</f>
        <v>110.37656969729609</v>
      </c>
    </row>
    <row r="256" spans="4:8" x14ac:dyDescent="0.15">
      <c r="D256" s="195">
        <v>2052</v>
      </c>
      <c r="E256" s="294"/>
      <c r="H256" s="35">
        <f ca="1">SUM('Western United States'!J247,'Eastern United States'!J266,'Pennsylvania anthracite'!J261)</f>
        <v>110.9716486478406</v>
      </c>
    </row>
    <row r="257" spans="4:8" x14ac:dyDescent="0.15">
      <c r="D257" s="195">
        <v>2053</v>
      </c>
      <c r="E257" s="294"/>
      <c r="H257" s="35">
        <f ca="1">SUM('Western United States'!J248,'Eastern United States'!J267,'Pennsylvania anthracite'!J262)</f>
        <v>111.5492784479719</v>
      </c>
    </row>
    <row r="258" spans="4:8" x14ac:dyDescent="0.15">
      <c r="D258" s="195">
        <v>2054</v>
      </c>
      <c r="E258" s="294"/>
      <c r="H258" s="35">
        <f ca="1">SUM('Western United States'!J249,'Eastern United States'!J268,'Pennsylvania anthracite'!J263)</f>
        <v>112.10987802077653</v>
      </c>
    </row>
    <row r="259" spans="4:8" x14ac:dyDescent="0.15">
      <c r="D259" s="195">
        <v>2055</v>
      </c>
      <c r="E259" s="294"/>
      <c r="H259" s="35">
        <f ca="1">SUM('Western United States'!J250,'Eastern United States'!J269,'Pennsylvania anthracite'!J264)</f>
        <v>112.65387458528133</v>
      </c>
    </row>
    <row r="260" spans="4:8" x14ac:dyDescent="0.15">
      <c r="D260" s="195">
        <v>2056</v>
      </c>
      <c r="E260" s="294"/>
      <c r="H260" s="35">
        <f ca="1">SUM('Western United States'!J251,'Eastern United States'!J270,'Pennsylvania anthracite'!J265)</f>
        <v>113.18170106754347</v>
      </c>
    </row>
    <row r="261" spans="4:8" x14ac:dyDescent="0.15">
      <c r="D261" s="195">
        <v>2057</v>
      </c>
      <c r="E261" s="294"/>
      <c r="H261" s="35">
        <f ca="1">SUM('Western United States'!J252,'Eastern United States'!J271,'Pennsylvania anthracite'!J266)</f>
        <v>113.69379374700429</v>
      </c>
    </row>
    <row r="262" spans="4:8" x14ac:dyDescent="0.15">
      <c r="D262" s="195">
        <v>2058</v>
      </c>
      <c r="E262" s="294"/>
      <c r="H262" s="35">
        <f ca="1">SUM('Western United States'!J253,'Eastern United States'!J272,'Pennsylvania anthracite'!J267)</f>
        <v>114.19059013214617</v>
      </c>
    </row>
    <row r="263" spans="4:8" x14ac:dyDescent="0.15">
      <c r="D263" s="195">
        <v>2059</v>
      </c>
      <c r="E263" s="294"/>
      <c r="H263" s="35">
        <f ca="1">SUM('Western United States'!J254,'Eastern United States'!J273,'Pennsylvania anthracite'!J268)</f>
        <v>114.67252705740144</v>
      </c>
    </row>
    <row r="264" spans="4:8" x14ac:dyDescent="0.15">
      <c r="D264" s="195">
        <v>2060</v>
      </c>
      <c r="E264" s="294"/>
      <c r="H264" s="35">
        <f ca="1">SUM('Western United States'!J255,'Eastern United States'!J274,'Pennsylvania anthracite'!J269)</f>
        <v>115.14003899161926</v>
      </c>
    </row>
    <row r="265" spans="4:8" x14ac:dyDescent="0.15">
      <c r="D265" s="195">
        <v>2061</v>
      </c>
      <c r="E265" s="294"/>
      <c r="H265" s="35">
        <f ca="1">SUM('Western United States'!J256,'Eastern United States'!J275,'Pennsylvania anthracite'!J270)</f>
        <v>115.59355654715857</v>
      </c>
    </row>
    <row r="266" spans="4:8" x14ac:dyDescent="0.15">
      <c r="D266" s="195">
        <v>2062</v>
      </c>
      <c r="E266" s="294"/>
      <c r="H266" s="35">
        <f ca="1">SUM('Western United States'!J257,'Eastern United States'!J276,'Pennsylvania anthracite'!J271)</f>
        <v>116.03350517779775</v>
      </c>
    </row>
    <row r="267" spans="4:8" x14ac:dyDescent="0.15">
      <c r="D267" s="195">
        <v>2063</v>
      </c>
      <c r="E267" s="294"/>
      <c r="H267" s="35">
        <f ca="1">SUM('Western United States'!J258,'Eastern United States'!J277,'Pennsylvania anthracite'!J272)</f>
        <v>116.4603040530896</v>
      </c>
    </row>
    <row r="268" spans="4:8" x14ac:dyDescent="0.15">
      <c r="D268" s="195">
        <v>2064</v>
      </c>
      <c r="E268" s="294"/>
      <c r="H268" s="35">
        <f ca="1">SUM('Western United States'!J259,'Eastern United States'!J278,'Pennsylvania anthracite'!J273)</f>
        <v>116.8743650965006</v>
      </c>
    </row>
    <row r="269" spans="4:8" x14ac:dyDescent="0.15">
      <c r="D269" s="195">
        <v>2065</v>
      </c>
      <c r="E269" s="294"/>
      <c r="H269" s="35">
        <f ca="1">SUM('Western United States'!J260,'Eastern United States'!J279,'Pennsylvania anthracite'!J274)</f>
        <v>117.27609217461318</v>
      </c>
    </row>
    <row r="270" spans="4:8" x14ac:dyDescent="0.15">
      <c r="D270" s="195">
        <v>2066</v>
      </c>
      <c r="E270" s="294"/>
      <c r="H270" s="35">
        <f ca="1">SUM('Western United States'!J261,'Eastern United States'!J280,'Pennsylvania anthracite'!J275)</f>
        <v>117.6658804248034</v>
      </c>
    </row>
    <row r="271" spans="4:8" x14ac:dyDescent="0.15">
      <c r="D271" s="195">
        <v>2067</v>
      </c>
      <c r="E271" s="294"/>
      <c r="H271" s="35">
        <f ca="1">SUM('Western United States'!J262,'Eastern United States'!J281,'Pennsylvania anthracite'!J276)</f>
        <v>118.04411570909365</v>
      </c>
    </row>
    <row r="272" spans="4:8" x14ac:dyDescent="0.15">
      <c r="D272" s="195">
        <v>2068</v>
      </c>
      <c r="E272" s="294"/>
      <c r="H272" s="35">
        <f ca="1">SUM('Western United States'!J263,'Eastern United States'!J282,'Pennsylvania anthracite'!J277)</f>
        <v>118.41117418229288</v>
      </c>
    </row>
    <row r="273" spans="4:8" x14ac:dyDescent="0.15">
      <c r="D273" s="195">
        <v>2069</v>
      </c>
      <c r="E273" s="294"/>
      <c r="H273" s="35">
        <f ca="1">SUM('Western United States'!J264,'Eastern United States'!J283,'Pennsylvania anthracite'!J278)</f>
        <v>118.767421963046</v>
      </c>
    </row>
    <row r="274" spans="4:8" x14ac:dyDescent="0.15">
      <c r="D274" s="195">
        <v>2070</v>
      </c>
      <c r="E274" s="294"/>
      <c r="H274" s="35">
        <f ca="1">SUM('Western United States'!J265,'Eastern United States'!J284,'Pennsylvania anthracite'!J279)</f>
        <v>119.11321489698987</v>
      </c>
    </row>
    <row r="275" spans="4:8" x14ac:dyDescent="0.15">
      <c r="D275" s="195">
        <v>2071</v>
      </c>
      <c r="E275" s="294"/>
      <c r="H275" s="35">
        <f ca="1">SUM('Western United States'!J266,'Eastern United States'!J285,'Pennsylvania anthracite'!J280)</f>
        <v>119.44889840184318</v>
      </c>
    </row>
    <row r="276" spans="4:8" x14ac:dyDescent="0.15">
      <c r="D276" s="195">
        <v>2072</v>
      </c>
      <c r="E276" s="294"/>
      <c r="H276" s="35">
        <f ca="1">SUM('Western United States'!J267,'Eastern United States'!J286,'Pennsylvania anthracite'!J281)</f>
        <v>119.77480738491192</v>
      </c>
    </row>
    <row r="277" spans="4:8" x14ac:dyDescent="0.15">
      <c r="D277" s="195">
        <v>2073</v>
      </c>
      <c r="E277" s="294"/>
      <c r="H277" s="35">
        <f ca="1">SUM('Western United States'!J268,'Eastern United States'!J287,'Pennsylvania anthracite'!J282)</f>
        <v>120.091266224165</v>
      </c>
    </row>
    <row r="278" spans="4:8" x14ac:dyDescent="0.15">
      <c r="D278" s="195">
        <v>2074</v>
      </c>
      <c r="E278" s="294"/>
      <c r="H278" s="35">
        <f ca="1">SUM('Western United States'!J269,'Eastern United States'!J288,'Pennsylvania anthracite'!J283)</f>
        <v>120.39858880470709</v>
      </c>
    </row>
    <row r="279" spans="4:8" x14ac:dyDescent="0.15">
      <c r="D279" s="195">
        <v>2075</v>
      </c>
      <c r="E279" s="195"/>
      <c r="H279" s="35">
        <f ca="1">SUM('Western United States'!J270,'Eastern United States'!J289,'Pennsylvania anthracite'!J284)</f>
        <v>120.69707860313981</v>
      </c>
    </row>
    <row r="280" spans="4:8" x14ac:dyDescent="0.15">
      <c r="D280" s="195">
        <v>2076</v>
      </c>
      <c r="E280" s="195"/>
      <c r="H280" s="35">
        <f ca="1">SUM('Western United States'!J271,'Eastern United States'!J290,'Pennsylvania anthracite'!J285)</f>
        <v>120.9870288129496</v>
      </c>
    </row>
    <row r="281" spans="4:8" x14ac:dyDescent="0.15">
      <c r="D281" s="195">
        <v>2077</v>
      </c>
      <c r="E281" s="195"/>
      <c r="H281" s="35">
        <f ca="1">SUM('Western United States'!J272,'Eastern United States'!J291,'Pennsylvania anthracite'!J286)</f>
        <v>121.26872250468399</v>
      </c>
    </row>
    <row r="282" spans="4:8" x14ac:dyDescent="0.15">
      <c r="D282" s="195">
        <v>2078</v>
      </c>
      <c r="E282" s="195"/>
      <c r="H282" s="35">
        <f ca="1">SUM('Western United States'!J273,'Eastern United States'!J292,'Pennsylvania anthracite'!J287)</f>
        <v>121.54243281527295</v>
      </c>
    </row>
    <row r="283" spans="4:8" x14ac:dyDescent="0.15">
      <c r="D283" s="195">
        <v>2079</v>
      </c>
      <c r="E283" s="195"/>
      <c r="H283" s="35">
        <f ca="1">SUM('Western United States'!J274,'Eastern United States'!J293,'Pennsylvania anthracite'!J288)</f>
        <v>121.80842316141573</v>
      </c>
    </row>
    <row r="284" spans="4:8" x14ac:dyDescent="0.15">
      <c r="D284" s="195">
        <v>2080</v>
      </c>
      <c r="E284" s="195"/>
      <c r="H284" s="35">
        <f ca="1">SUM('Western United States'!J275,'Eastern United States'!J294,'Pennsylvania anthracite'!J289)</f>
        <v>122.06694747248284</v>
      </c>
    </row>
    <row r="285" spans="4:8" x14ac:dyDescent="0.15">
      <c r="D285" s="195">
        <v>2081</v>
      </c>
      <c r="E285" s="195"/>
      <c r="H285" s="35">
        <f ca="1">SUM('Western United States'!J276,'Eastern United States'!J295,'Pennsylvania anthracite'!J290)</f>
        <v>122.31825043887734</v>
      </c>
    </row>
    <row r="286" spans="4:8" x14ac:dyDescent="0.15">
      <c r="D286" s="195">
        <v>2082</v>
      </c>
      <c r="E286" s="195"/>
      <c r="H286" s="35">
        <f ca="1">SUM('Western United States'!J277,'Eastern United States'!J296,'Pennsylvania anthracite'!J291)</f>
        <v>122.56256777225857</v>
      </c>
    </row>
    <row r="287" spans="4:8" x14ac:dyDescent="0.15">
      <c r="D287" s="195">
        <v>2083</v>
      </c>
      <c r="E287" s="195"/>
      <c r="H287" s="35">
        <f ca="1">SUM('Western United States'!J278,'Eastern United States'!J297,'Pennsylvania anthracite'!J292)</f>
        <v>122.8001264744547</v>
      </c>
    </row>
    <row r="288" spans="4:8" x14ac:dyDescent="0.15">
      <c r="D288" s="195">
        <v>2084</v>
      </c>
      <c r="E288" s="195"/>
      <c r="H288" s="35">
        <f ca="1">SUM('Western United States'!J279,'Eastern United States'!J298,'Pennsylvania anthracite'!J293)</f>
        <v>123.03114511227919</v>
      </c>
    </row>
    <row r="289" spans="4:8" x14ac:dyDescent="0.15">
      <c r="D289" s="195">
        <v>2085</v>
      </c>
      <c r="E289" s="195"/>
      <c r="H289" s="35">
        <f ca="1">SUM('Western United States'!J280,'Eastern United States'!J299,'Pennsylvania anthracite'!J294)</f>
        <v>123.25583409582256</v>
      </c>
    </row>
    <row r="290" spans="4:8" x14ac:dyDescent="0.15">
      <c r="D290" s="195">
        <v>2086</v>
      </c>
      <c r="E290" s="195"/>
      <c r="H290" s="35">
        <f ca="1">SUM('Western United States'!J281,'Eastern United States'!J300,'Pennsylvania anthracite'!J295)</f>
        <v>123.47439595811285</v>
      </c>
    </row>
    <row r="291" spans="4:8" x14ac:dyDescent="0.15">
      <c r="D291" s="195">
        <v>2087</v>
      </c>
      <c r="E291" s="195"/>
      <c r="H291" s="35">
        <f ca="1">SUM('Western United States'!J282,'Eastern United States'!J301,'Pennsylvania anthracite'!J296)</f>
        <v>123.68702563433165</v>
      </c>
    </row>
    <row r="292" spans="4:8" x14ac:dyDescent="0.15">
      <c r="D292" s="195">
        <v>2088</v>
      </c>
      <c r="E292" s="195"/>
      <c r="H292" s="35">
        <f ca="1">SUM('Western United States'!J283,'Eastern United States'!J302,'Pennsylvania anthracite'!J297)</f>
        <v>123.89391073903721</v>
      </c>
    </row>
    <row r="293" spans="4:8" x14ac:dyDescent="0.15">
      <c r="D293" s="195">
        <v>2089</v>
      </c>
      <c r="E293" s="195"/>
      <c r="H293" s="35">
        <f ca="1">SUM('Western United States'!J284,'Eastern United States'!J303,'Pennsylvania anthracite'!J298)</f>
        <v>124.09523184008238</v>
      </c>
    </row>
    <row r="294" spans="4:8" x14ac:dyDescent="0.15">
      <c r="D294" s="195">
        <v>2090</v>
      </c>
      <c r="E294" s="195"/>
      <c r="H294" s="35">
        <f ca="1">SUM('Western United States'!J285,'Eastern United States'!J304,'Pennsylvania anthracite'!J299)</f>
        <v>124.2911627281274</v>
      </c>
    </row>
    <row r="295" spans="4:8" x14ac:dyDescent="0.15">
      <c r="D295" s="195">
        <v>2091</v>
      </c>
      <c r="E295" s="195"/>
      <c r="H295" s="35">
        <f ca="1">SUM('Western United States'!J286,'Eastern United States'!J305,'Pennsylvania anthracite'!J300)</f>
        <v>124.48187068083838</v>
      </c>
    </row>
    <row r="296" spans="4:8" x14ac:dyDescent="0.15">
      <c r="D296" s="195">
        <v>2092</v>
      </c>
      <c r="E296" s="195"/>
      <c r="H296" s="35">
        <f ca="1">SUM('Western United States'!J287,'Eastern United States'!J306,'Pennsylvania anthracite'!J301)</f>
        <v>124.66751672102721</v>
      </c>
    </row>
    <row r="297" spans="4:8" x14ac:dyDescent="0.15">
      <c r="D297" s="195">
        <v>2093</v>
      </c>
      <c r="E297" s="195"/>
      <c r="H297" s="35">
        <f ca="1">SUM('Western United States'!J288,'Eastern United States'!J307,'Pennsylvania anthracite'!J302)</f>
        <v>124.84825586813992</v>
      </c>
    </row>
    <row r="298" spans="4:8" x14ac:dyDescent="0.15">
      <c r="D298" s="195">
        <v>2094</v>
      </c>
      <c r="E298" s="195"/>
      <c r="H298" s="35">
        <f ca="1">SUM('Western United States'!J289,'Eastern United States'!J308,'Pennsylvania anthracite'!J303)</f>
        <v>125.0242373826285</v>
      </c>
    </row>
    <row r="299" spans="4:8" x14ac:dyDescent="0.15">
      <c r="D299" s="195">
        <v>2095</v>
      </c>
      <c r="E299" s="195"/>
      <c r="H299" s="35">
        <f ca="1">SUM('Western United States'!J290,'Eastern United States'!J309,'Pennsylvania anthracite'!J304)</f>
        <v>125.1956050028576</v>
      </c>
    </row>
    <row r="300" spans="4:8" x14ac:dyDescent="0.15">
      <c r="D300" s="195">
        <v>2096</v>
      </c>
      <c r="E300" s="195"/>
      <c r="H300" s="35">
        <f ca="1">SUM('Western United States'!J291,'Eastern United States'!J310,'Pennsylvania anthracite'!J305)</f>
        <v>125.36249717429496</v>
      </c>
    </row>
    <row r="301" spans="4:8" x14ac:dyDescent="0.15">
      <c r="D301" s="195">
        <v>2097</v>
      </c>
      <c r="E301" s="195"/>
      <c r="H301" s="35">
        <f ca="1">SUM('Western United States'!J292,'Eastern United States'!J311,'Pennsylvania anthracite'!J306)</f>
        <v>125.52504727082314</v>
      </c>
    </row>
    <row r="302" spans="4:8" x14ac:dyDescent="0.15">
      <c r="D302" s="195">
        <v>2098</v>
      </c>
      <c r="E302" s="195"/>
      <c r="H302" s="35">
        <f ca="1">SUM('Western United States'!J293,'Eastern United States'!J312,'Pennsylvania anthracite'!J307)</f>
        <v>125.68338380808228</v>
      </c>
    </row>
    <row r="303" spans="4:8" x14ac:dyDescent="0.15">
      <c r="D303" s="195">
        <v>2099</v>
      </c>
      <c r="E303" s="195"/>
      <c r="H303" s="35">
        <f ca="1">SUM('Western United States'!J294,'Eastern United States'!J313,'Pennsylvania anthracite'!J308)</f>
        <v>125.83763064881974</v>
      </c>
    </row>
    <row r="304" spans="4:8" x14ac:dyDescent="0.15">
      <c r="D304" s="195">
        <v>2100</v>
      </c>
      <c r="E304" s="195"/>
      <c r="H304" s="35">
        <f ca="1">SUM('Western United States'!J295,'Eastern United States'!J314,'Pennsylvania anthracite'!J309)</f>
        <v>125.98790720027453</v>
      </c>
    </row>
    <row r="305" spans="4:8" x14ac:dyDescent="0.15">
      <c r="D305" s="195">
        <v>2101</v>
      </c>
      <c r="E305" s="195"/>
      <c r="H305" s="35">
        <f ca="1">SUM('Western United States'!J296,'Eastern United States'!J315,'Pennsylvania anthracite'!J310)</f>
        <v>126.13432860367244</v>
      </c>
    </row>
    <row r="306" spans="4:8" x14ac:dyDescent="0.15">
      <c r="D306" s="195">
        <v>2102</v>
      </c>
      <c r="E306" s="195"/>
      <c r="H306" s="35">
        <f ca="1">SUM('Western United States'!J297,'Eastern United States'!J316,'Pennsylvania anthracite'!J311)</f>
        <v>126.27700591594436</v>
      </c>
    </row>
    <row r="307" spans="4:8" x14ac:dyDescent="0.15">
      <c r="D307" s="195">
        <v>2103</v>
      </c>
      <c r="E307" s="195"/>
      <c r="H307" s="35">
        <f ca="1">SUM('Western United States'!J298,'Eastern United States'!J317,'Pennsylvania anthracite'!J312)</f>
        <v>126.41604628381293</v>
      </c>
    </row>
    <row r="308" spans="4:8" x14ac:dyDescent="0.15">
      <c r="D308" s="195">
        <v>2104</v>
      </c>
      <c r="E308" s="195"/>
      <c r="H308" s="35">
        <f ca="1">SUM('Western United States'!J299,'Eastern United States'!J318,'Pennsylvania anthracite'!J313)</f>
        <v>126.55155311041884</v>
      </c>
    </row>
    <row r="309" spans="4:8" x14ac:dyDescent="0.15">
      <c r="D309" s="195">
        <v>2105</v>
      </c>
      <c r="E309" s="195"/>
      <c r="H309" s="35">
        <f ca="1">SUM('Western United States'!J300,'Eastern United States'!J319,'Pennsylvania anthracite'!J314)</f>
        <v>126.68362621467716</v>
      </c>
    </row>
    <row r="310" spans="4:8" x14ac:dyDescent="0.15">
      <c r="D310" s="195">
        <v>2106</v>
      </c>
      <c r="E310" s="195"/>
      <c r="H310" s="35">
        <f ca="1">SUM('Western United States'!J301,'Eastern United States'!J320,'Pennsylvania anthracite'!J315)</f>
        <v>126.81236198357267</v>
      </c>
    </row>
    <row r="311" spans="4:8" x14ac:dyDescent="0.15">
      <c r="D311" s="195">
        <v>2107</v>
      </c>
      <c r="E311" s="195"/>
      <c r="H311" s="35">
        <f ca="1">SUM('Western United States'!J302,'Eastern United States'!J321,'Pennsylvania anthracite'!J316)</f>
        <v>126.93785351761353</v>
      </c>
    </row>
    <row r="312" spans="4:8" x14ac:dyDescent="0.15">
      <c r="D312" s="195">
        <v>2108</v>
      </c>
      <c r="E312" s="195"/>
      <c r="H312" s="35">
        <f ca="1">SUM('Western United States'!J303,'Eastern United States'!J322,'Pennsylvania anthracite'!J317)</f>
        <v>127.06019076967232</v>
      </c>
    </row>
    <row r="313" spans="4:8" x14ac:dyDescent="0.15">
      <c r="D313" s="195">
        <v>2109</v>
      </c>
      <c r="E313" s="195"/>
      <c r="H313" s="35">
        <f ca="1">SUM('Western United States'!J304,'Eastern United States'!J323,'Pennsylvania anthracite'!J318)</f>
        <v>127.17946067744992</v>
      </c>
    </row>
    <row r="314" spans="4:8" x14ac:dyDescent="0.15">
      <c r="D314" s="195">
        <v>2110</v>
      </c>
      <c r="E314" s="195"/>
      <c r="H314" s="35">
        <f ca="1">SUM('Western United States'!J305,'Eastern United States'!J324,'Pennsylvania anthracite'!J319)</f>
        <v>127.2957472898003</v>
      </c>
    </row>
    <row r="315" spans="4:8" x14ac:dyDescent="0.15">
      <c r="D315" s="195">
        <v>2111</v>
      </c>
      <c r="E315" s="195"/>
      <c r="H315" s="35">
        <f ca="1">SUM('Western United States'!J306,'Eastern United States'!J325,'Pennsylvania anthracite'!J320)</f>
        <v>127.40913188715638</v>
      </c>
    </row>
    <row r="316" spans="4:8" x14ac:dyDescent="0.15">
      <c r="D316" s="195">
        <v>2112</v>
      </c>
      <c r="E316" s="195"/>
      <c r="H316" s="35">
        <f ca="1">SUM('Western United States'!J307,'Eastern United States'!J326,'Pennsylvania anthracite'!J321)</f>
        <v>127.51969309629628</v>
      </c>
    </row>
    <row r="317" spans="4:8" x14ac:dyDescent="0.15">
      <c r="D317" s="195">
        <v>2113</v>
      </c>
      <c r="E317" s="195"/>
      <c r="H317" s="35">
        <f ca="1">SUM('Western United States'!J308,'Eastern United States'!J327,'Pennsylvania anthracite'!J322)</f>
        <v>127.62750699968771</v>
      </c>
    </row>
    <row r="318" spans="4:8" x14ac:dyDescent="0.15">
      <c r="D318" s="195">
        <v>2114</v>
      </c>
      <c r="E318" s="195"/>
      <c r="H318" s="35">
        <f ca="1">SUM('Western United States'!J309,'Eastern United States'!J328,'Pennsylvania anthracite'!J323)</f>
        <v>127.73264723964429</v>
      </c>
    </row>
    <row r="319" spans="4:8" x14ac:dyDescent="0.15">
      <c r="D319" s="195">
        <v>2115</v>
      </c>
      <c r="E319" s="195"/>
      <c r="H319" s="35">
        <f ca="1">SUM('Western United States'!J310,'Eastern United States'!J329,'Pennsylvania anthracite'!J324)</f>
        <v>127.83518511752413</v>
      </c>
    </row>
    <row r="320" spans="4:8" x14ac:dyDescent="0.15">
      <c r="D320" s="195">
        <v>2116</v>
      </c>
      <c r="E320" s="195"/>
      <c r="H320" s="35">
        <f ca="1">SUM('Western United States'!J311,'Eastern United States'!J330,'Pennsylvania anthracite'!J325)</f>
        <v>127.93518968819539</v>
      </c>
    </row>
    <row r="321" spans="4:8" x14ac:dyDescent="0.15">
      <c r="D321" s="195">
        <v>2117</v>
      </c>
      <c r="E321" s="195"/>
      <c r="H321" s="35">
        <f ca="1">SUM('Western United States'!J312,'Eastern United States'!J331,'Pennsylvania anthracite'!J326)</f>
        <v>128.03272784998759</v>
      </c>
    </row>
    <row r="322" spans="4:8" x14ac:dyDescent="0.15">
      <c r="D322" s="195">
        <v>2118</v>
      </c>
      <c r="E322" s="195"/>
      <c r="H322" s="35">
        <f ca="1">SUM('Western United States'!J313,'Eastern United States'!J332,'Pennsylvania anthracite'!J327)</f>
        <v>128.12786443034162</v>
      </c>
    </row>
    <row r="323" spans="4:8" x14ac:dyDescent="0.15">
      <c r="D323" s="195">
        <v>2119</v>
      </c>
      <c r="E323" s="195"/>
      <c r="H323" s="35">
        <f ca="1">SUM('Western United States'!J314,'Eastern United States'!J333,'Pennsylvania anthracite'!J328)</f>
        <v>128.22066226736402</v>
      </c>
    </row>
    <row r="324" spans="4:8" x14ac:dyDescent="0.15">
      <c r="D324" s="195">
        <v>2120</v>
      </c>
      <c r="E324" s="195"/>
      <c r="H324" s="35">
        <f ca="1">SUM('Western United States'!J315,'Eastern United States'!J334,'Pennsylvania anthracite'!J329)</f>
        <v>128.31118228748437</v>
      </c>
    </row>
    <row r="325" spans="4:8" x14ac:dyDescent="0.15">
      <c r="D325" s="195">
        <v>2121</v>
      </c>
      <c r="E325" s="195"/>
      <c r="H325" s="35">
        <f ca="1">SUM('Western United States'!J316,'Eastern United States'!J335,'Pennsylvania anthracite'!J330)</f>
        <v>128.39948357940759</v>
      </c>
    </row>
    <row r="326" spans="4:8" x14ac:dyDescent="0.15">
      <c r="D326" s="195">
        <v>2122</v>
      </c>
      <c r="E326" s="195"/>
      <c r="H326" s="35">
        <f ca="1">SUM('Western United States'!J317,'Eastern United States'!J336,'Pennsylvania anthracite'!J331)</f>
        <v>128.48562346454472</v>
      </c>
    </row>
    <row r="327" spans="4:8" x14ac:dyDescent="0.15">
      <c r="D327" s="195">
        <v>2123</v>
      </c>
      <c r="E327" s="195"/>
      <c r="H327" s="35">
        <f ca="1">SUM('Western United States'!J318,'Eastern United States'!J337,'Pennsylvania anthracite'!J332)</f>
        <v>128.56965756409966</v>
      </c>
    </row>
    <row r="328" spans="4:8" x14ac:dyDescent="0.15">
      <c r="D328" s="195">
        <v>2124</v>
      </c>
      <c r="E328" s="195"/>
      <c r="H328" s="35">
        <f ca="1">SUM('Western United States'!J319,'Eastern United States'!J338,'Pennsylvania anthracite'!J333)</f>
        <v>128.65163986298091</v>
      </c>
    </row>
    <row r="329" spans="4:8" x14ac:dyDescent="0.15">
      <c r="D329" s="195">
        <v>2125</v>
      </c>
      <c r="E329" s="195"/>
      <c r="H329" s="35">
        <f ca="1">SUM('Western United States'!J320,'Eastern United States'!J339,'Pennsylvania anthracite'!J334)</f>
        <v>128.7316227706996</v>
      </c>
    </row>
    <row r="330" spans="4:8" x14ac:dyDescent="0.15">
      <c r="D330" s="195">
        <v>2126</v>
      </c>
      <c r="E330" s="195"/>
      <c r="H330" s="35">
        <f ca="1">SUM('Western United States'!J321,'Eastern United States'!J340,'Pennsylvania anthracite'!J335)</f>
        <v>128.80965717941007</v>
      </c>
    </row>
    <row r="331" spans="4:8" x14ac:dyDescent="0.15">
      <c r="D331" s="195">
        <v>2127</v>
      </c>
      <c r="E331" s="195"/>
      <c r="H331" s="35">
        <f ca="1">SUM('Western United States'!J322,'Eastern United States'!J341,'Pennsylvania anthracite'!J336)</f>
        <v>128.88579251923889</v>
      </c>
    </row>
    <row r="332" spans="4:8" x14ac:dyDescent="0.15">
      <c r="D332" s="195">
        <v>2128</v>
      </c>
      <c r="E332" s="195"/>
      <c r="H332" s="35">
        <f ca="1">SUM('Western United States'!J323,'Eastern United States'!J342,'Pennsylvania anthracite'!J337)</f>
        <v>128.96007681104459</v>
      </c>
    </row>
    <row r="333" spans="4:8" x14ac:dyDescent="0.15">
      <c r="D333" s="195">
        <v>2129</v>
      </c>
      <c r="E333" s="195"/>
      <c r="H333" s="35">
        <f ca="1">SUM('Western United States'!J324,'Eastern United States'!J343,'Pennsylvania anthracite'!J338)</f>
        <v>129.03255671674083</v>
      </c>
    </row>
    <row r="334" spans="4:8" x14ac:dyDescent="0.15">
      <c r="D334" s="195">
        <v>2130</v>
      </c>
      <c r="E334" s="195"/>
      <c r="H334" s="35">
        <f ca="1">SUM('Western United States'!J325,'Eastern United States'!J344,'Pennsylvania anthracite'!J339)</f>
        <v>129.103277587311</v>
      </c>
    </row>
    <row r="335" spans="4:8" x14ac:dyDescent="0.15">
      <c r="D335" s="195">
        <v>2131</v>
      </c>
      <c r="E335" s="195"/>
      <c r="H335" s="35">
        <f ca="1">SUM('Western United States'!J326,'Eastern United States'!J345,'Pennsylvania anthracite'!J340)</f>
        <v>129.17228350863499</v>
      </c>
    </row>
    <row r="336" spans="4:8" x14ac:dyDescent="0.15">
      <c r="D336" s="195">
        <v>2132</v>
      </c>
      <c r="E336" s="195"/>
      <c r="H336" s="35">
        <f ca="1">SUM('Western United States'!J327,'Eastern United States'!J346,'Pennsylvania anthracite'!J341)</f>
        <v>129.23961734524323</v>
      </c>
    </row>
    <row r="337" spans="4:8" x14ac:dyDescent="0.15">
      <c r="D337" s="195">
        <v>2133</v>
      </c>
      <c r="E337" s="195"/>
      <c r="H337" s="35">
        <f ca="1">SUM('Western United States'!J328,'Eastern United States'!J347,'Pennsylvania anthracite'!J342)</f>
        <v>129.30532078210678</v>
      </c>
    </row>
    <row r="338" spans="4:8" x14ac:dyDescent="0.15">
      <c r="D338" s="195">
        <v>2134</v>
      </c>
      <c r="E338" s="195"/>
      <c r="H338" s="35">
        <f ca="1">SUM('Western United States'!J329,'Eastern United States'!J348,'Pennsylvania anthracite'!J343)</f>
        <v>129.36943436456676</v>
      </c>
    </row>
    <row r="339" spans="4:8" x14ac:dyDescent="0.15">
      <c r="D339" s="195">
        <v>2135</v>
      </c>
      <c r="E339" s="195"/>
      <c r="H339" s="35">
        <f ca="1">SUM('Western United States'!J330,'Eastern United States'!J349,'Pennsylvania anthracite'!J344)</f>
        <v>129.43199753650131</v>
      </c>
    </row>
    <row r="340" spans="4:8" x14ac:dyDescent="0.15">
      <c r="D340" s="195">
        <v>2136</v>
      </c>
      <c r="E340" s="195"/>
      <c r="H340" s="35">
        <f ca="1">SUM('Western United States'!J331,'Eastern United States'!J350,'Pennsylvania anthracite'!J345)</f>
        <v>129.49304867682233</v>
      </c>
    </row>
    <row r="341" spans="4:8" x14ac:dyDescent="0.15">
      <c r="D341" s="195">
        <v>2137</v>
      </c>
      <c r="E341" s="195"/>
      <c r="H341" s="35">
        <f ca="1">SUM('Western United States'!J332,'Eastern United States'!J351,'Pennsylvania anthracite'!J346)</f>
        <v>129.55262513438998</v>
      </c>
    </row>
    <row r="342" spans="4:8" x14ac:dyDescent="0.15">
      <c r="D342" s="195">
        <v>2138</v>
      </c>
      <c r="E342" s="195"/>
      <c r="H342" s="35">
        <f ca="1">SUM('Western United States'!J333,'Eastern United States'!J352,'Pennsylvania anthracite'!J347)</f>
        <v>129.61076326142793</v>
      </c>
    </row>
    <row r="343" spans="4:8" x14ac:dyDescent="0.15">
      <c r="D343" s="195">
        <v>2139</v>
      </c>
      <c r="E343" s="195"/>
      <c r="H343" s="35">
        <f ca="1">SUM('Western United States'!J334,'Eastern United States'!J353,'Pennsylvania anthracite'!J348)</f>
        <v>129.66749844551751</v>
      </c>
    </row>
    <row r="344" spans="4:8" x14ac:dyDescent="0.15">
      <c r="D344" s="195">
        <v>2140</v>
      </c>
      <c r="E344" s="195"/>
      <c r="H344" s="35">
        <f ca="1">SUM('Western United States'!J335,'Eastern United States'!J354,'Pennsylvania anthracite'!J349)</f>
        <v>129.72286514024535</v>
      </c>
    </row>
    <row r="345" spans="4:8" x14ac:dyDescent="0.15">
      <c r="D345" s="195">
        <v>2141</v>
      </c>
      <c r="E345" s="195"/>
      <c r="H345" s="35">
        <f ca="1">SUM('Western United States'!J336,'Eastern United States'!J355,'Pennsylvania anthracite'!J350)</f>
        <v>129.77689689457407</v>
      </c>
    </row>
    <row r="346" spans="4:8" x14ac:dyDescent="0.15">
      <c r="D346" s="195">
        <v>2142</v>
      </c>
      <c r="E346" s="195"/>
      <c r="H346" s="35">
        <f ca="1">SUM('Western United States'!J337,'Eastern United States'!J356,'Pennsylvania anthracite'!J351)</f>
        <v>129.82962638100261</v>
      </c>
    </row>
    <row r="347" spans="4:8" x14ac:dyDescent="0.15">
      <c r="D347" s="195">
        <v>2143</v>
      </c>
      <c r="E347" s="195"/>
      <c r="H347" s="35">
        <f ca="1">SUM('Western United States'!J338,'Eastern United States'!J357,'Pennsylvania anthracite'!J352)</f>
        <v>129.88108542257851</v>
      </c>
    </row>
    <row r="348" spans="4:8" x14ac:dyDescent="0.15">
      <c r="D348" s="195">
        <v>2144</v>
      </c>
      <c r="E348" s="195"/>
      <c r="H348" s="35">
        <f ca="1">SUM('Western United States'!J339,'Eastern United States'!J358,'Pennsylvania anthracite'!J353)</f>
        <v>129.93130501882089</v>
      </c>
    </row>
    <row r="349" spans="4:8" x14ac:dyDescent="0.15">
      <c r="D349" s="195">
        <v>2145</v>
      </c>
      <c r="E349" s="195"/>
      <c r="H349" s="35">
        <f ca="1">SUM('Western United States'!J340,'Eastern United States'!J359,'Pennsylvania anthracite'!J354)</f>
        <v>129.98031537061038</v>
      </c>
    </row>
    <row r="350" spans="4:8" x14ac:dyDescent="0.15">
      <c r="D350" s="195">
        <v>2146</v>
      </c>
      <c r="E350" s="195"/>
      <c r="H350" s="35">
        <f ca="1">SUM('Western United States'!J341,'Eastern United States'!J360,'Pennsylvania anthracite'!J355)</f>
        <v>130.02814590409801</v>
      </c>
    </row>
    <row r="351" spans="4:8" x14ac:dyDescent="0.15">
      <c r="D351" s="195">
        <v>2147</v>
      </c>
      <c r="E351" s="195"/>
      <c r="H351" s="35">
        <f ca="1">SUM('Western United States'!J342,'Eastern United States'!J361,'Pennsylvania anthracite'!J356)</f>
        <v>130.07482529368264</v>
      </c>
    </row>
    <row r="352" spans="4:8" x14ac:dyDescent="0.15">
      <c r="D352" s="195">
        <v>2148</v>
      </c>
      <c r="E352" s="195"/>
      <c r="H352" s="35">
        <f ca="1">SUM('Western United States'!J343,'Eastern United States'!J362,'Pennsylvania anthracite'!J357)</f>
        <v>130.12038148410446</v>
      </c>
    </row>
    <row r="353" spans="4:8" x14ac:dyDescent="0.15">
      <c r="D353" s="195">
        <v>2149</v>
      </c>
      <c r="E353" s="195"/>
      <c r="H353" s="35">
        <f ca="1">SUM('Western United States'!J344,'Eastern United States'!J363,'Pennsylvania anthracite'!J358)</f>
        <v>130.16484171169733</v>
      </c>
    </row>
    <row r="354" spans="4:8" x14ac:dyDescent="0.15">
      <c r="D354" s="195">
        <v>2150</v>
      </c>
      <c r="E354" s="195"/>
      <c r="H354" s="35">
        <f ca="1">SUM('Western United States'!J345,'Eastern United States'!J364,'Pennsylvania anthracite'!J359)</f>
        <v>130.20823252484328</v>
      </c>
    </row>
  </sheetData>
  <pageMargins left="0.7" right="0.7" top="0.75" bottom="0.75" header="0.3" footer="0.3"/>
  <pageSetup scale="55"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tabColor theme="1"/>
  </sheetPr>
  <dimension ref="A1:BA357"/>
  <sheetViews>
    <sheetView zoomScaleNormal="100" workbookViewId="0">
      <selection activeCell="C31" sqref="C31"/>
    </sheetView>
  </sheetViews>
  <sheetFormatPr baseColWidth="10" defaultColWidth="9.1640625" defaultRowHeight="11" x14ac:dyDescent="0.15"/>
  <cols>
    <col min="1" max="1" width="6.6640625" style="15" customWidth="1"/>
    <col min="2" max="2" width="90.6640625" style="15" customWidth="1"/>
    <col min="3" max="3" width="7.5" style="15" customWidth="1"/>
    <col min="4" max="4" width="5.1640625" style="16" bestFit="1" customWidth="1"/>
    <col min="5" max="5" width="16.5" style="18" bestFit="1" customWidth="1"/>
    <col min="6" max="6" width="5.1640625" style="16" bestFit="1" customWidth="1"/>
    <col min="7" max="7" width="5" style="16" bestFit="1" customWidth="1"/>
    <col min="8" max="8" width="9.1640625" style="16" customWidth="1"/>
    <col min="9" max="9" width="7" style="16" customWidth="1"/>
    <col min="10" max="10" width="6.83203125" style="16" bestFit="1" customWidth="1"/>
    <col min="11" max="11" width="7.6640625" style="16" bestFit="1" customWidth="1"/>
    <col min="12" max="12" width="8.1640625" style="16" bestFit="1" customWidth="1"/>
    <col min="13" max="13" width="5.6640625" style="16" bestFit="1" customWidth="1"/>
    <col min="14" max="14" width="6.5" style="16" bestFit="1" customWidth="1"/>
    <col min="15" max="15" width="6.1640625" style="16" bestFit="1" customWidth="1"/>
    <col min="16" max="16" width="10.5" style="15" bestFit="1" customWidth="1"/>
    <col min="17" max="17" width="9.1640625" style="15" bestFit="1" customWidth="1"/>
    <col min="18" max="18" width="5.83203125" style="15" bestFit="1" customWidth="1"/>
    <col min="19" max="19" width="6.5" style="15" bestFit="1" customWidth="1"/>
    <col min="20" max="20" width="5.83203125" style="15" bestFit="1" customWidth="1"/>
    <col min="21" max="21" width="4" style="15" bestFit="1" customWidth="1"/>
    <col min="22" max="22" width="9.5" style="15" bestFit="1" customWidth="1"/>
    <col min="23" max="23" width="6.1640625" style="15" bestFit="1" customWidth="1"/>
    <col min="24" max="24" width="5.6640625" style="15" bestFit="1" customWidth="1"/>
    <col min="25" max="25" width="6.6640625" style="15" bestFit="1" customWidth="1"/>
    <col min="26" max="26" width="7" style="15" bestFit="1" customWidth="1"/>
    <col min="27" max="27" width="4.6640625" style="15" bestFit="1" customWidth="1"/>
    <col min="28" max="28" width="6.33203125" style="15" bestFit="1" customWidth="1"/>
    <col min="29" max="29" width="5.5" style="15" bestFit="1" customWidth="1"/>
    <col min="30" max="30" width="6.33203125" style="15" bestFit="1" customWidth="1"/>
    <col min="31" max="31" width="8.1640625" style="15" bestFit="1" customWidth="1"/>
    <col min="32" max="16384" width="9.1640625" style="15"/>
  </cols>
  <sheetData>
    <row r="1" spans="1:53" x14ac:dyDescent="0.15">
      <c r="D1" s="339">
        <f>AVERAGE(H138:H301)</f>
        <v>2.1730566482632378E-2</v>
      </c>
      <c r="E1" s="18" t="s">
        <v>294</v>
      </c>
    </row>
    <row r="2" spans="1:53" x14ac:dyDescent="0.15">
      <c r="D2" s="339">
        <f>AVERAGE(H37:H120)</f>
        <v>4.1077391915211661E-2</v>
      </c>
      <c r="E2" s="18" t="s">
        <v>295</v>
      </c>
    </row>
    <row r="3" spans="1:53" x14ac:dyDescent="0.15">
      <c r="D3" s="340">
        <f>('United States'!F117+Europe!F133+'United Kingdom'!F96+'France and Belgium'!F107)/'World coal'!E120</f>
        <v>0.96128725804633064</v>
      </c>
      <c r="E3" s="18" t="s">
        <v>296</v>
      </c>
    </row>
    <row r="4" spans="1:53" x14ac:dyDescent="0.15">
      <c r="C4" s="129"/>
      <c r="E4" s="202"/>
      <c r="F4" s="21"/>
    </row>
    <row r="5" spans="1:53" x14ac:dyDescent="0.15">
      <c r="E5" s="204" t="s">
        <v>1</v>
      </c>
      <c r="F5" s="17" t="s">
        <v>220</v>
      </c>
      <c r="G5" s="17" t="s">
        <v>230</v>
      </c>
      <c r="H5" s="17" t="s">
        <v>293</v>
      </c>
      <c r="J5" s="29"/>
      <c r="K5" s="16" t="s">
        <v>4</v>
      </c>
      <c r="L5" s="29" t="s">
        <v>67</v>
      </c>
      <c r="M5" s="29" t="s">
        <v>40</v>
      </c>
      <c r="Q5" s="210"/>
    </row>
    <row r="6" spans="1:53" x14ac:dyDescent="0.15">
      <c r="A6" s="75"/>
      <c r="B6" s="82"/>
      <c r="C6" s="354"/>
      <c r="D6" s="195">
        <v>1799</v>
      </c>
      <c r="E6" s="196">
        <f>SUM(IFERROR(LOOKUP(D6,'United Kingdom'!D$12:D$303,'United Kingdom'!F$12:F$303),0),IFERROR(LOOKUP(D6,'Pennsylvania anthracite'!D$8:D$300,'Pennsylvania anthracite'!F$8:F$300),0),IFERROR(LOOKUP(D6,'France and Belgium'!D$8:D$300,'France and Belgium'!F$8:F$300),0),IFERROR(LOOKUP(D6,'Japan and South Korea'!D$8:D$200,'Japan and South Korea'!F$8:F$200),0),IFERROR(LOOKUP(D6,Australia!D$57:D$248,Australia!F$57:F$248),0),IFERROR(LOOKUP(D6,China!D$11:D$200,China!F$11:F$200),0),IFERROR(LOOKUP(D6,Africa!D$18:D$200,Africa!F$18:F$200),0),IFERROR(LOOKUP(D6,Europe!D$18:D$300,Europe!F$18:F$300),0),IFERROR(LOOKUP(D6,Russia!D$18:D$198,Russia!F$18:F$198),0),IFERROR(LOOKUP(D6,'Western United States'!D$13:D$300,'Western United States'!F$13:F$300),0),IFERROR(LOOKUP(D6,'Eastern United States'!D$13:D$300,'Eastern United States'!F$13:F$300),0),IFERROR(LOOKUP(D6,Canada!D$13:D$200,Canada!F$13:F$200),0),IFERROR(LOOKUP(D6,'South Asia'!D$11:D$200,'South Asia'!F$11:F$200),0),IFERROR(LOOKUP(D6,'Latin America'!D$11:D$200,'Latin America'!F$11:F$200),0))</f>
        <v>1.7600000000000001E-5</v>
      </c>
      <c r="J6" s="16" t="s">
        <v>7</v>
      </c>
      <c r="K6" s="15">
        <v>1913</v>
      </c>
      <c r="L6" s="197">
        <f t="shared" ref="L6:L21" si="0">M6+LOOKUP(K6-2,D$6:D$303,E$6:E$303)</f>
        <v>7426.9440643290145</v>
      </c>
      <c r="M6" s="211">
        <v>7397.5330000000004</v>
      </c>
      <c r="N6" s="205"/>
      <c r="R6" s="22"/>
      <c r="S6" s="22"/>
      <c r="T6" s="22"/>
      <c r="U6" s="22"/>
      <c r="V6" s="22"/>
      <c r="W6" s="22"/>
      <c r="X6" s="22"/>
      <c r="Y6" s="22"/>
      <c r="Z6" s="22"/>
      <c r="AA6" s="22"/>
      <c r="AB6" s="22"/>
      <c r="AC6" s="22"/>
      <c r="AD6" s="22"/>
      <c r="AE6" s="22"/>
      <c r="AG6" s="23"/>
      <c r="AH6" s="23"/>
      <c r="AI6" s="23"/>
      <c r="AJ6" s="23"/>
      <c r="AK6" s="23"/>
      <c r="AL6" s="23"/>
      <c r="AM6" s="23"/>
      <c r="AN6" s="23"/>
      <c r="AO6" s="23"/>
      <c r="AP6" s="23"/>
      <c r="AQ6" s="23"/>
      <c r="AR6" s="23"/>
      <c r="AS6" s="23"/>
      <c r="AT6" s="23"/>
      <c r="AU6" s="23"/>
      <c r="AV6" s="23"/>
      <c r="AW6" s="23"/>
      <c r="AX6" s="23"/>
      <c r="AY6" s="23"/>
      <c r="AZ6" s="23"/>
      <c r="BA6" s="23"/>
    </row>
    <row r="7" spans="1:53" x14ac:dyDescent="0.15">
      <c r="A7" s="75"/>
      <c r="B7" s="75"/>
      <c r="C7" s="354"/>
      <c r="D7" s="195">
        <v>1800</v>
      </c>
      <c r="E7" s="196">
        <f>SUM(IFERROR(LOOKUP(D7,'United Kingdom'!D$12:D$303,'United Kingdom'!F$12:F$303),0),IFERROR(LOOKUP(D7,'Pennsylvania anthracite'!D$8:D$300,'Pennsylvania anthracite'!F$8:F$300),0),IFERROR(LOOKUP(D7,'France and Belgium'!D$8:D$300,'France and Belgium'!F$8:F$300),0),IFERROR(LOOKUP(D7,'Japan and South Korea'!D$8:D$200,'Japan and South Korea'!F$8:F$200),0),IFERROR(LOOKUP(D7,Australia!D$57:D$248,Australia!F$57:F$248),0),IFERROR(LOOKUP(D7,China!D$11:D$200,China!F$11:F$200),0),IFERROR(LOOKUP(D7,Africa!D$18:D$200,Africa!F$18:F$200),0),IFERROR(LOOKUP(D7,Europe!D$18:D$300,Europe!F$18:F$300),0),IFERROR(LOOKUP(D7,Russia!D$18:D$198,Russia!F$18:F$198),0),IFERROR(LOOKUP(D7,'Western United States'!D$13:D$300,'Western United States'!F$13:F$300),0),IFERROR(LOOKUP(D7,'Eastern United States'!D$13:D$300,'Eastern United States'!F$13:F$300),0),IFERROR(LOOKUP(D7,Canada!D$13:D$200,Canada!F$13:F$200),0),IFERROR(LOOKUP(D7,'South Asia'!D$11:D$200,'South Asia'!F$11:F$200),0),IFERROR(LOOKUP(D7,'Latin America'!D$11:D$200,'Latin America'!F$11:F$200),0))</f>
        <v>1.1375263091322179E-4</v>
      </c>
      <c r="H7" s="339">
        <f>1-E6/E7</f>
        <v>0.84527830381851587</v>
      </c>
      <c r="J7" s="24" t="s">
        <v>99</v>
      </c>
      <c r="K7" s="3">
        <v>1936</v>
      </c>
      <c r="L7" s="197">
        <f t="shared" si="0"/>
        <v>16140.190192121145</v>
      </c>
      <c r="M7" s="211">
        <v>16080.9</v>
      </c>
      <c r="N7" s="205"/>
      <c r="P7" s="212"/>
      <c r="R7" s="23"/>
      <c r="S7" s="23"/>
      <c r="T7" s="23"/>
      <c r="U7" s="23"/>
      <c r="V7" s="23"/>
      <c r="W7" s="23"/>
      <c r="X7" s="23"/>
      <c r="Y7" s="23"/>
      <c r="Z7" s="23"/>
      <c r="AA7" s="23"/>
      <c r="AB7" s="23"/>
      <c r="AC7" s="23"/>
      <c r="AD7" s="23"/>
      <c r="AE7" s="23"/>
      <c r="AG7" s="23"/>
      <c r="AH7" s="23"/>
      <c r="AI7" s="23"/>
      <c r="AJ7" s="23"/>
      <c r="AK7" s="23"/>
      <c r="AL7" s="23"/>
      <c r="AM7" s="23"/>
      <c r="AN7" s="23"/>
      <c r="AO7" s="23"/>
      <c r="AP7" s="23"/>
      <c r="AQ7" s="23"/>
      <c r="AR7" s="23"/>
      <c r="AS7" s="23"/>
      <c r="AT7" s="23"/>
      <c r="AU7" s="23"/>
      <c r="AV7" s="23"/>
      <c r="AW7" s="23"/>
      <c r="AX7" s="23"/>
      <c r="AY7" s="23"/>
      <c r="AZ7" s="23"/>
      <c r="BA7" s="23"/>
    </row>
    <row r="8" spans="1:53" x14ac:dyDescent="0.15">
      <c r="A8" s="75"/>
      <c r="B8" s="75"/>
      <c r="C8" s="354"/>
      <c r="D8" s="195">
        <v>1801</v>
      </c>
      <c r="E8" s="196">
        <f>SUM(IFERROR(LOOKUP(D8,'United Kingdom'!D$12:D$303,'United Kingdom'!F$12:F$303),0),IFERROR(LOOKUP(D8,'Pennsylvania anthracite'!D$8:D$300,'Pennsylvania anthracite'!F$8:F$300),0),IFERROR(LOOKUP(D8,'France and Belgium'!D$8:D$300,'France and Belgium'!F$8:F$300),0),IFERROR(LOOKUP(D8,'Japan and South Korea'!D$8:D$200,'Japan and South Korea'!F$8:F$200),0),IFERROR(LOOKUP(D8,Australia!D$57:D$248,Australia!F$57:F$248),0),IFERROR(LOOKUP(D8,China!D$11:D$200,China!F$11:F$200),0),IFERROR(LOOKUP(D8,Africa!D$18:D$200,Africa!F$18:F$200),0),IFERROR(LOOKUP(D8,Europe!D$18:D$300,Europe!F$18:F$300),0),IFERROR(LOOKUP(D8,Russia!D$18:D$198,Russia!F$18:F$198),0),IFERROR(LOOKUP(D8,'Western United States'!D$13:D$300,'Western United States'!F$13:F$300),0),IFERROR(LOOKUP(D8,'Eastern United States'!D$13:D$300,'Eastern United States'!F$13:F$300),0),IFERROR(LOOKUP(D8,Canada!D$13:D$200,Canada!F$13:F$200),0),IFERROR(LOOKUP(D8,'South Asia'!D$11:D$200,'South Asia'!F$11:F$200),0),IFERROR(LOOKUP(D8,'Latin America'!D$11:D$200,'Latin America'!F$11:F$200),0))</f>
        <v>2.1545837027100808E-4</v>
      </c>
      <c r="H8" s="339">
        <f t="shared" ref="H8:H71" si="1">1-E7/E8</f>
        <v>0.4720435749600197</v>
      </c>
      <c r="J8" s="24" t="s">
        <v>100</v>
      </c>
      <c r="K8" s="3">
        <v>1937</v>
      </c>
      <c r="L8" s="197">
        <f t="shared" si="0"/>
        <v>16182.625072784496</v>
      </c>
      <c r="M8" s="211">
        <v>16122</v>
      </c>
      <c r="N8" s="205"/>
      <c r="P8" s="123"/>
      <c r="R8" s="23"/>
      <c r="S8" s="23"/>
      <c r="T8" s="23"/>
      <c r="U8" s="23"/>
      <c r="V8" s="23"/>
      <c r="W8" s="23"/>
      <c r="X8" s="23"/>
      <c r="Y8" s="23"/>
      <c r="Z8" s="23"/>
      <c r="AA8" s="23"/>
      <c r="AB8" s="23"/>
      <c r="AC8" s="23"/>
      <c r="AD8" s="23"/>
      <c r="AE8" s="23"/>
      <c r="AG8" s="23"/>
      <c r="AH8" s="23"/>
      <c r="AI8" s="23"/>
      <c r="AJ8" s="23"/>
      <c r="AK8" s="23"/>
      <c r="AL8" s="23"/>
      <c r="AM8" s="23"/>
      <c r="AN8" s="23"/>
      <c r="AO8" s="23"/>
      <c r="AP8" s="23"/>
      <c r="AQ8" s="23"/>
      <c r="AR8" s="23"/>
      <c r="AS8" s="23"/>
      <c r="AT8" s="23"/>
      <c r="AU8" s="23"/>
      <c r="AV8" s="23"/>
      <c r="AW8" s="23"/>
      <c r="AX8" s="23"/>
      <c r="AY8" s="23"/>
      <c r="AZ8" s="23"/>
      <c r="BA8" s="23"/>
    </row>
    <row r="9" spans="1:53" x14ac:dyDescent="0.15">
      <c r="A9" s="75"/>
      <c r="B9" s="75"/>
      <c r="C9" s="354"/>
      <c r="D9" s="195">
        <v>1802</v>
      </c>
      <c r="E9" s="196">
        <f>SUM(IFERROR(LOOKUP(D9,'United Kingdom'!D$12:D$303,'United Kingdom'!F$12:F$303),0),IFERROR(LOOKUP(D9,'Pennsylvania anthracite'!D$8:D$300,'Pennsylvania anthracite'!F$8:F$300),0),IFERROR(LOOKUP(D9,'France and Belgium'!D$8:D$300,'France and Belgium'!F$8:F$300),0),IFERROR(LOOKUP(D9,'Japan and South Korea'!D$8:D$200,'Japan and South Korea'!F$8:F$200),0),IFERROR(LOOKUP(D9,Australia!D$57:D$248,Australia!F$57:F$248),0),IFERROR(LOOKUP(D9,China!D$11:D$200,China!F$11:F$200),0),IFERROR(LOOKUP(D9,Africa!D$18:D$200,Africa!F$18:F$200),0),IFERROR(LOOKUP(D9,Europe!D$18:D$300,Europe!F$18:F$300),0),IFERROR(LOOKUP(D9,Russia!D$18:D$198,Russia!F$18:F$198),0),IFERROR(LOOKUP(D9,'Western United States'!D$13:D$300,'Western United States'!F$13:F$300),0),IFERROR(LOOKUP(D9,'Eastern United States'!D$13:D$300,'Eastern United States'!F$13:F$300),0),IFERROR(LOOKUP(D9,Canada!D$13:D$200,Canada!F$13:F$200),0),IFERROR(LOOKUP(D9,'South Asia'!D$11:D$200,'South Asia'!F$11:F$200),0),IFERROR(LOOKUP(D9,'Latin America'!D$11:D$200,'Latin America'!F$11:F$200),0))</f>
        <v>3.2361440281411969E-4</v>
      </c>
      <c r="H9" s="339">
        <f t="shared" si="1"/>
        <v>0.33421266668787653</v>
      </c>
      <c r="J9" s="24" t="s">
        <v>101</v>
      </c>
      <c r="K9" s="3">
        <v>1938</v>
      </c>
      <c r="L9" s="197">
        <f t="shared" si="0"/>
        <v>16087.08599188295</v>
      </c>
      <c r="M9" s="211">
        <v>16025</v>
      </c>
      <c r="N9" s="205"/>
      <c r="P9" s="123"/>
      <c r="R9" s="23"/>
      <c r="S9" s="23"/>
      <c r="T9" s="23"/>
      <c r="U9" s="23"/>
      <c r="V9" s="23"/>
      <c r="W9" s="23"/>
      <c r="X9" s="23"/>
      <c r="Y9" s="23"/>
      <c r="Z9" s="23"/>
      <c r="AA9" s="23"/>
      <c r="AB9" s="23"/>
      <c r="AC9" s="23"/>
      <c r="AD9" s="23"/>
      <c r="AE9" s="23"/>
    </row>
    <row r="10" spans="1:53" x14ac:dyDescent="0.15">
      <c r="A10" s="75"/>
      <c r="B10" s="75"/>
      <c r="C10" s="354"/>
      <c r="D10" s="195">
        <v>1803</v>
      </c>
      <c r="E10" s="196">
        <f>SUM(IFERROR(LOOKUP(D10,'United Kingdom'!D$12:D$303,'United Kingdom'!F$12:F$303),0),IFERROR(LOOKUP(D10,'Pennsylvania anthracite'!D$8:D$300,'Pennsylvania anthracite'!F$8:F$300),0),IFERROR(LOOKUP(D10,'France and Belgium'!D$8:D$300,'France and Belgium'!F$8:F$300),0),IFERROR(LOOKUP(D10,'Japan and South Korea'!D$8:D$200,'Japan and South Korea'!F$8:F$200),0),IFERROR(LOOKUP(D10,Australia!D$57:D$248,Australia!F$57:F$248),0),IFERROR(LOOKUP(D10,China!D$11:D$200,China!F$11:F$200),0),IFERROR(LOOKUP(D10,Africa!D$18:D$200,Africa!F$18:F$200),0),IFERROR(LOOKUP(D10,Europe!D$18:D$300,Europe!F$18:F$300),0),IFERROR(LOOKUP(D10,Russia!D$18:D$198,Russia!F$18:F$198),0),IFERROR(LOOKUP(D10,'Western United States'!D$13:D$300,'Western United States'!F$13:F$300),0),IFERROR(LOOKUP(D10,'Eastern United States'!D$13:D$300,'Eastern United States'!F$13:F$300),0),IFERROR(LOOKUP(D10,Canada!D$13:D$200,Canada!F$13:F$200),0),IFERROR(LOOKUP(D10,'South Asia'!D$11:D$200,'South Asia'!F$11:F$200),0),IFERROR(LOOKUP(D10,'Latin America'!D$11:D$200,'Latin America'!F$11:F$200),0))</f>
        <v>4.3740674761660571E-4</v>
      </c>
      <c r="H10" s="339">
        <f t="shared" si="1"/>
        <v>0.26015223912875463</v>
      </c>
      <c r="J10" s="24" t="s">
        <v>102</v>
      </c>
      <c r="K10" s="3">
        <v>1948</v>
      </c>
      <c r="L10" s="197">
        <f t="shared" si="0"/>
        <v>6344.1436727245364</v>
      </c>
      <c r="M10" s="211">
        <f>4984+1282</f>
        <v>6266</v>
      </c>
      <c r="N10" s="21"/>
      <c r="P10" s="123"/>
      <c r="R10" s="23"/>
      <c r="S10" s="23"/>
      <c r="T10" s="23"/>
      <c r="U10" s="23"/>
      <c r="V10" s="23"/>
      <c r="W10" s="23"/>
      <c r="X10" s="23"/>
      <c r="Y10" s="23"/>
      <c r="Z10" s="23"/>
      <c r="AA10" s="23"/>
      <c r="AB10" s="23"/>
      <c r="AC10" s="23"/>
      <c r="AD10" s="23"/>
      <c r="AE10" s="23"/>
    </row>
    <row r="11" spans="1:53" x14ac:dyDescent="0.15">
      <c r="A11" s="75"/>
      <c r="B11" s="75"/>
      <c r="C11" s="354"/>
      <c r="D11" s="195">
        <v>1804</v>
      </c>
      <c r="E11" s="196">
        <f>SUM(IFERROR(LOOKUP(D11,'United Kingdom'!D$12:D$303,'United Kingdom'!F$12:F$303),0),IFERROR(LOOKUP(D11,'Pennsylvania anthracite'!D$8:D$300,'Pennsylvania anthracite'!F$8:F$300),0),IFERROR(LOOKUP(D11,'France and Belgium'!D$8:D$300,'France and Belgium'!F$8:F$300),0),IFERROR(LOOKUP(D11,'Japan and South Korea'!D$8:D$200,'Japan and South Korea'!F$8:F$200),0),IFERROR(LOOKUP(D11,Australia!D$57:D$248,Australia!F$57:F$248),0),IFERROR(LOOKUP(D11,China!D$11:D$200,China!F$11:F$200),0),IFERROR(LOOKUP(D11,Africa!D$18:D$200,Africa!F$18:F$200),0),IFERROR(LOOKUP(D11,Europe!D$18:D$300,Europe!F$18:F$300),0),IFERROR(LOOKUP(D11,Russia!D$18:D$198,Russia!F$18:F$198),0),IFERROR(LOOKUP(D11,'Western United States'!D$13:D$300,'Western United States'!F$13:F$300),0),IFERROR(LOOKUP(D11,'Eastern United States'!D$13:D$300,'Eastern United States'!F$13:F$300),0),IFERROR(LOOKUP(D11,Canada!D$13:D$200,Canada!F$13:F$200),0),IFERROR(LOOKUP(D11,'South Asia'!D$11:D$200,'South Asia'!F$11:F$200),0),IFERROR(LOOKUP(D11,'Latin America'!D$11:D$200,'Latin America'!F$11:F$200),0))</f>
        <v>5.6431575650085634E-4</v>
      </c>
      <c r="H11" s="339">
        <f t="shared" si="1"/>
        <v>0.22489006805546818</v>
      </c>
      <c r="J11" s="146" t="s">
        <v>8</v>
      </c>
      <c r="K11" s="16">
        <v>1974</v>
      </c>
      <c r="L11" s="197">
        <f t="shared" si="0"/>
        <v>730.9494993826363</v>
      </c>
      <c r="M11" s="197">
        <v>591.19100000000003</v>
      </c>
      <c r="N11" s="21"/>
      <c r="O11" s="213"/>
      <c r="P11" s="123"/>
      <c r="Q11" s="23"/>
      <c r="R11" s="23"/>
      <c r="S11" s="23"/>
      <c r="T11" s="23"/>
      <c r="U11" s="23"/>
      <c r="V11" s="23"/>
      <c r="W11" s="23"/>
      <c r="X11" s="23"/>
      <c r="Y11" s="23"/>
      <c r="Z11" s="23"/>
      <c r="AA11" s="23"/>
      <c r="AB11" s="23"/>
    </row>
    <row r="12" spans="1:53" x14ac:dyDescent="0.15">
      <c r="A12" s="75"/>
      <c r="B12" s="75"/>
      <c r="C12" s="354"/>
      <c r="D12" s="195">
        <v>1805</v>
      </c>
      <c r="E12" s="196">
        <f>SUM(IFERROR(LOOKUP(D12,'United Kingdom'!D$12:D$303,'United Kingdom'!F$12:F$303),0),IFERROR(LOOKUP(D12,'Pennsylvania anthracite'!D$8:D$300,'Pennsylvania anthracite'!F$8:F$300),0),IFERROR(LOOKUP(D12,'France and Belgium'!D$8:D$300,'France and Belgium'!F$8:F$300),0),IFERROR(LOOKUP(D12,'Japan and South Korea'!D$8:D$200,'Japan and South Korea'!F$8:F$200),0),IFERROR(LOOKUP(D12,Australia!D$57:D$248,Australia!F$57:F$248),0),IFERROR(LOOKUP(D12,China!D$11:D$200,China!F$11:F$200),0),IFERROR(LOOKUP(D12,Africa!D$18:D$200,Africa!F$18:F$200),0),IFERROR(LOOKUP(D12,Europe!D$18:D$300,Europe!F$18:F$300),0),IFERROR(LOOKUP(D12,Russia!D$18:D$198,Russia!F$18:F$198),0),IFERROR(LOOKUP(D12,'Western United States'!D$13:D$300,'Western United States'!F$13:F$300),0),IFERROR(LOOKUP(D12,'Eastern United States'!D$13:D$300,'Eastern United States'!F$13:F$300),0),IFERROR(LOOKUP(D12,Canada!D$13:D$200,Canada!F$13:F$200),0),IFERROR(LOOKUP(D12,'South Asia'!D$11:D$200,'South Asia'!F$11:F$200),0),IFERROR(LOOKUP(D12,'Latin America'!D$11:D$200,'Latin America'!F$11:F$200),0))</f>
        <v>6.9554317442964463E-4</v>
      </c>
      <c r="H12" s="339">
        <f t="shared" si="1"/>
        <v>0.18866897520257697</v>
      </c>
      <c r="J12" s="146" t="s">
        <v>9</v>
      </c>
      <c r="K12" s="16">
        <v>1980</v>
      </c>
      <c r="L12" s="197">
        <f t="shared" si="0"/>
        <v>1041.4112629356714</v>
      </c>
      <c r="M12" s="197">
        <v>881.8</v>
      </c>
      <c r="N12" s="21"/>
      <c r="O12" s="214"/>
      <c r="P12" s="123"/>
      <c r="Q12" s="23"/>
      <c r="R12" s="23"/>
      <c r="S12" s="23"/>
      <c r="T12" s="23"/>
      <c r="U12" s="23"/>
      <c r="V12" s="23"/>
      <c r="W12" s="23"/>
      <c r="X12" s="23"/>
      <c r="Y12" s="23"/>
      <c r="Z12" s="23"/>
      <c r="AA12" s="23"/>
      <c r="AB12" s="23"/>
      <c r="AC12" s="23"/>
      <c r="AD12" s="23"/>
      <c r="AE12" s="23"/>
    </row>
    <row r="13" spans="1:53" x14ac:dyDescent="0.15">
      <c r="A13" s="75"/>
      <c r="B13" s="75"/>
      <c r="C13" s="354"/>
      <c r="D13" s="195">
        <v>1806</v>
      </c>
      <c r="E13" s="196">
        <f>SUM(IFERROR(LOOKUP(D13,'United Kingdom'!D$12:D$303,'United Kingdom'!F$12:F$303),0),IFERROR(LOOKUP(D13,'Pennsylvania anthracite'!D$8:D$300,'Pennsylvania anthracite'!F$8:F$300),0),IFERROR(LOOKUP(D13,'France and Belgium'!D$8:D$300,'France and Belgium'!F$8:F$300),0),IFERROR(LOOKUP(D13,'Japan and South Korea'!D$8:D$200,'Japan and South Korea'!F$8:F$200),0),IFERROR(LOOKUP(D13,Australia!D$57:D$248,Australia!F$57:F$248),0),IFERROR(LOOKUP(D13,China!D$11:D$200,China!F$11:F$200),0),IFERROR(LOOKUP(D13,Africa!D$18:D$200,Africa!F$18:F$200),0),IFERROR(LOOKUP(D13,Europe!D$18:D$300,Europe!F$18:F$300),0),IFERROR(LOOKUP(D13,Russia!D$18:D$198,Russia!F$18:F$198),0),IFERROR(LOOKUP(D13,'Western United States'!D$13:D$300,'Western United States'!F$13:F$300),0),IFERROR(LOOKUP(D13,'Eastern United States'!D$13:D$300,'Eastern United States'!F$13:F$300),0),IFERROR(LOOKUP(D13,Canada!D$13:D$200,Canada!F$13:F$200),0),IFERROR(LOOKUP(D13,'South Asia'!D$11:D$200,'South Asia'!F$11:F$200),0),IFERROR(LOOKUP(D13,'Latin America'!D$11:D$200,'Latin America'!F$11:F$200),0))</f>
        <v>8.3198403072150284E-4</v>
      </c>
      <c r="H13" s="339">
        <f t="shared" si="1"/>
        <v>0.16399456149841685</v>
      </c>
      <c r="J13" s="146" t="s">
        <v>10</v>
      </c>
      <c r="K13" s="16">
        <v>1986</v>
      </c>
      <c r="L13" s="197">
        <f t="shared" si="0"/>
        <v>1101.1132730936961</v>
      </c>
      <c r="M13" s="197">
        <v>918</v>
      </c>
      <c r="N13" s="21"/>
      <c r="P13" s="30"/>
      <c r="Q13" s="23"/>
      <c r="R13" s="23"/>
      <c r="S13" s="23"/>
      <c r="T13" s="23"/>
      <c r="U13" s="23"/>
      <c r="V13" s="23"/>
      <c r="W13" s="23"/>
      <c r="X13" s="23"/>
      <c r="Y13" s="23"/>
      <c r="Z13" s="23"/>
      <c r="AA13" s="23"/>
      <c r="AB13" s="23"/>
      <c r="AC13" s="23"/>
      <c r="AD13" s="23"/>
      <c r="AE13" s="23"/>
    </row>
    <row r="14" spans="1:53" x14ac:dyDescent="0.15">
      <c r="A14" s="75"/>
      <c r="B14" s="75"/>
      <c r="C14" s="354"/>
      <c r="D14" s="195">
        <v>1807</v>
      </c>
      <c r="E14" s="196">
        <f>SUM(IFERROR(LOOKUP(D14,'United Kingdom'!D$12:D$303,'United Kingdom'!F$12:F$303),0),IFERROR(LOOKUP(D14,'Pennsylvania anthracite'!D$8:D$300,'Pennsylvania anthracite'!F$8:F$300),0),IFERROR(LOOKUP(D14,'France and Belgium'!D$8:D$300,'France and Belgium'!F$8:F$300),0),IFERROR(LOOKUP(D14,'Japan and South Korea'!D$8:D$200,'Japan and South Korea'!F$8:F$200),0),IFERROR(LOOKUP(D14,Australia!D$57:D$248,Australia!F$57:F$248),0),IFERROR(LOOKUP(D14,China!D$11:D$200,China!F$11:F$200),0),IFERROR(LOOKUP(D14,Africa!D$18:D$200,Africa!F$18:F$200),0),IFERROR(LOOKUP(D14,Europe!D$18:D$300,Europe!F$18:F$300),0),IFERROR(LOOKUP(D14,Russia!D$18:D$198,Russia!F$18:F$198),0),IFERROR(LOOKUP(D14,'Western United States'!D$13:D$300,'Western United States'!F$13:F$300),0),IFERROR(LOOKUP(D14,'Eastern United States'!D$13:D$300,'Eastern United States'!F$13:F$300),0),IFERROR(LOOKUP(D14,Canada!D$13:D$200,Canada!F$13:F$200),0),IFERROR(LOOKUP(D14,'South Asia'!D$11:D$200,'South Asia'!F$11:F$200),0),IFERROR(LOOKUP(D14,'Latin America'!D$11:D$200,'Latin America'!F$11:F$200),0))</f>
        <v>9.732276069023551E-4</v>
      </c>
      <c r="H14" s="339">
        <f t="shared" si="1"/>
        <v>0.14512902755647306</v>
      </c>
      <c r="J14" s="146" t="s">
        <v>11</v>
      </c>
      <c r="K14" s="16">
        <v>1989</v>
      </c>
      <c r="L14" s="197">
        <f t="shared" si="0"/>
        <v>1794.670618841513</v>
      </c>
      <c r="M14" s="197">
        <v>1597.98</v>
      </c>
      <c r="N14" s="21"/>
      <c r="P14" s="123"/>
      <c r="Q14" s="23"/>
      <c r="R14" s="23"/>
      <c r="S14" s="23"/>
      <c r="T14" s="23"/>
      <c r="U14" s="23"/>
      <c r="V14" s="23"/>
      <c r="W14" s="23"/>
      <c r="X14" s="23"/>
      <c r="Y14" s="23"/>
      <c r="Z14" s="23"/>
      <c r="AA14" s="23"/>
      <c r="AB14" s="23"/>
      <c r="AC14" s="23"/>
      <c r="AD14" s="23"/>
      <c r="AE14" s="23"/>
    </row>
    <row r="15" spans="1:53" x14ac:dyDescent="0.15">
      <c r="C15" s="354"/>
      <c r="D15" s="195">
        <v>1808</v>
      </c>
      <c r="E15" s="196">
        <f>SUM(IFERROR(LOOKUP(D15,'United Kingdom'!D$12:D$303,'United Kingdom'!F$12:F$303),0),IFERROR(LOOKUP(D15,'Pennsylvania anthracite'!D$8:D$300,'Pennsylvania anthracite'!F$8:F$300),0),IFERROR(LOOKUP(D15,'France and Belgium'!D$8:D$300,'France and Belgium'!F$8:F$300),0),IFERROR(LOOKUP(D15,'Japan and South Korea'!D$8:D$200,'Japan and South Korea'!F$8:F$200),0),IFERROR(LOOKUP(D15,Australia!D$57:D$248,Australia!F$57:F$248),0),IFERROR(LOOKUP(D15,China!D$11:D$200,China!F$11:F$200),0),IFERROR(LOOKUP(D15,Africa!D$18:D$200,Africa!F$18:F$200),0),IFERROR(LOOKUP(D15,Europe!D$18:D$300,Europe!F$18:F$300),0),IFERROR(LOOKUP(D15,Russia!D$18:D$198,Russia!F$18:F$198),0),IFERROR(LOOKUP(D15,'Western United States'!D$13:D$300,'Western United States'!F$13:F$300),0),IFERROR(LOOKUP(D15,'Eastern United States'!D$13:D$300,'Eastern United States'!F$13:F$300),0),IFERROR(LOOKUP(D15,Canada!D$13:D$200,Canada!F$13:F$200),0),IFERROR(LOOKUP(D15,'South Asia'!D$11:D$200,'South Asia'!F$11:F$200),0),IFERROR(LOOKUP(D15,'Latin America'!D$11:D$200,'Latin America'!F$11:F$200),0))</f>
        <v>1.1198421361055435E-3</v>
      </c>
      <c r="H15" s="339">
        <f t="shared" si="1"/>
        <v>0.13092428341111306</v>
      </c>
      <c r="J15" s="146" t="s">
        <v>12</v>
      </c>
      <c r="K15" s="16">
        <v>1992</v>
      </c>
      <c r="L15" s="197">
        <f t="shared" si="0"/>
        <v>1250.1421745083492</v>
      </c>
      <c r="M15" s="197">
        <v>1039.183</v>
      </c>
      <c r="N15" s="21"/>
      <c r="O15" s="214"/>
      <c r="P15" s="123"/>
      <c r="Q15" s="23"/>
      <c r="R15" s="23"/>
      <c r="S15" s="23"/>
      <c r="T15" s="23"/>
      <c r="U15" s="23"/>
      <c r="V15" s="23"/>
      <c r="W15" s="23"/>
      <c r="X15" s="23"/>
      <c r="Y15" s="23"/>
      <c r="Z15" s="23"/>
      <c r="AA15" s="23"/>
      <c r="AB15" s="23"/>
      <c r="AC15" s="23"/>
      <c r="AD15" s="23"/>
      <c r="AE15" s="23"/>
    </row>
    <row r="16" spans="1:53" x14ac:dyDescent="0.15">
      <c r="C16" s="354"/>
      <c r="D16" s="195">
        <v>1809</v>
      </c>
      <c r="E16" s="196">
        <f>SUM(IFERROR(LOOKUP(D16,'United Kingdom'!D$12:D$303,'United Kingdom'!F$12:F$303),0),IFERROR(LOOKUP(D16,'Pennsylvania anthracite'!D$8:D$300,'Pennsylvania anthracite'!F$8:F$300),0),IFERROR(LOOKUP(D16,'France and Belgium'!D$8:D$300,'France and Belgium'!F$8:F$300),0),IFERROR(LOOKUP(D16,'Japan and South Korea'!D$8:D$200,'Japan and South Korea'!F$8:F$200),0),IFERROR(LOOKUP(D16,Australia!D$57:D$248,Australia!F$57:F$248),0),IFERROR(LOOKUP(D16,China!D$11:D$200,China!F$11:F$200),0),IFERROR(LOOKUP(D16,Africa!D$18:D$200,Africa!F$18:F$200),0),IFERROR(LOOKUP(D16,Europe!D$18:D$300,Europe!F$18:F$300),0),IFERROR(LOOKUP(D16,Russia!D$18:D$198,Russia!F$18:F$198),0),IFERROR(LOOKUP(D16,'Western United States'!D$13:D$300,'Western United States'!F$13:F$300),0),IFERROR(LOOKUP(D16,'Eastern United States'!D$13:D$300,'Eastern United States'!F$13:F$300),0),IFERROR(LOOKUP(D16,Canada!D$13:D$200,Canada!F$13:F$200),0),IFERROR(LOOKUP(D16,'South Asia'!D$11:D$200,'South Asia'!F$11:F$200),0),IFERROR(LOOKUP(D16,'Latin America'!D$11:D$200,'Latin America'!F$11:F$200),0))</f>
        <v>1.2719183368051445E-3</v>
      </c>
      <c r="H16" s="339">
        <f t="shared" si="1"/>
        <v>0.11956443766790248</v>
      </c>
      <c r="J16" s="146" t="s">
        <v>13</v>
      </c>
      <c r="K16" s="16">
        <v>1995</v>
      </c>
      <c r="L16" s="197">
        <f t="shared" si="0"/>
        <v>1255.9901162435945</v>
      </c>
      <c r="M16" s="197">
        <v>1031.6099999999999</v>
      </c>
      <c r="N16" s="21"/>
      <c r="O16" s="214"/>
      <c r="P16" s="123"/>
      <c r="Q16" s="23"/>
      <c r="R16" s="23"/>
      <c r="S16" s="23"/>
      <c r="T16" s="23"/>
      <c r="U16" s="23"/>
      <c r="V16" s="23"/>
      <c r="W16" s="23"/>
      <c r="X16" s="23"/>
      <c r="Y16" s="23"/>
      <c r="Z16" s="23"/>
      <c r="AA16" s="23"/>
      <c r="AB16" s="23"/>
      <c r="AC16" s="23"/>
      <c r="AD16" s="23"/>
      <c r="AE16" s="23"/>
    </row>
    <row r="17" spans="3:31" x14ac:dyDescent="0.15">
      <c r="C17" s="354"/>
      <c r="D17" s="195">
        <v>1810</v>
      </c>
      <c r="E17" s="196">
        <f>SUM(IFERROR(LOOKUP(D17,'United Kingdom'!D$12:D$303,'United Kingdom'!F$12:F$303),0),IFERROR(LOOKUP(D17,'Pennsylvania anthracite'!D$8:D$300,'Pennsylvania anthracite'!F$8:F$300),0),IFERROR(LOOKUP(D17,'France and Belgium'!D$8:D$300,'France and Belgium'!F$8:F$300),0),IFERROR(LOOKUP(D17,'Japan and South Korea'!D$8:D$200,'Japan and South Korea'!F$8:F$200),0),IFERROR(LOOKUP(D17,Australia!D$57:D$248,Australia!F$57:F$248),0),IFERROR(LOOKUP(D17,China!D$11:D$200,China!F$11:F$200),0),IFERROR(LOOKUP(D17,Africa!D$18:D$200,Africa!F$18:F$200),0),IFERROR(LOOKUP(D17,Europe!D$18:D$300,Europe!F$18:F$300),0),IFERROR(LOOKUP(D17,Russia!D$18:D$198,Russia!F$18:F$198),0),IFERROR(LOOKUP(D17,'Western United States'!D$13:D$300,'Western United States'!F$13:F$300),0),IFERROR(LOOKUP(D17,'Eastern United States'!D$13:D$300,'Eastern United States'!F$13:F$300),0),IFERROR(LOOKUP(D17,Canada!D$13:D$200,Canada!F$13:F$200),0),IFERROR(LOOKUP(D17,'South Asia'!D$11:D$200,'South Asia'!F$11:F$200),0),IFERROR(LOOKUP(D17,'Latin America'!D$11:D$200,'Latin America'!F$11:F$200),0))</f>
        <v>1.4301819567937664E-3</v>
      </c>
      <c r="H17" s="339">
        <f t="shared" si="1"/>
        <v>0.11065977950345773</v>
      </c>
      <c r="J17" s="146" t="s">
        <v>14</v>
      </c>
      <c r="K17" s="16">
        <v>1998</v>
      </c>
      <c r="L17" s="197">
        <f t="shared" si="0"/>
        <v>1222.3202537493823</v>
      </c>
      <c r="M17" s="197">
        <v>984.21100000000001</v>
      </c>
      <c r="N17" s="21"/>
      <c r="O17" s="214"/>
      <c r="P17" s="123"/>
      <c r="Q17" s="23"/>
      <c r="R17" s="23"/>
      <c r="S17" s="23"/>
      <c r="T17" s="23"/>
      <c r="U17" s="23"/>
      <c r="V17" s="23"/>
      <c r="W17" s="23"/>
      <c r="X17" s="23"/>
      <c r="Y17" s="23"/>
      <c r="Z17" s="23"/>
      <c r="AA17" s="23"/>
      <c r="AB17" s="23"/>
      <c r="AC17" s="23"/>
      <c r="AD17" s="23"/>
      <c r="AE17" s="23"/>
    </row>
    <row r="18" spans="3:31" x14ac:dyDescent="0.15">
      <c r="C18" s="354"/>
      <c r="D18" s="195">
        <v>1811</v>
      </c>
      <c r="E18" s="196">
        <f>SUM(IFERROR(LOOKUP(D18,'United Kingdom'!D$12:D$303,'United Kingdom'!F$12:F$303),0),IFERROR(LOOKUP(D18,'Pennsylvania anthracite'!D$8:D$300,'Pennsylvania anthracite'!F$8:F$300),0),IFERROR(LOOKUP(D18,'France and Belgium'!D$8:D$300,'France and Belgium'!F$8:F$300),0),IFERROR(LOOKUP(D18,'Japan and South Korea'!D$8:D$200,'Japan and South Korea'!F$8:F$200),0),IFERROR(LOOKUP(D18,Australia!D$57:D$248,Australia!F$57:F$248),0),IFERROR(LOOKUP(D18,China!D$11:D$200,China!F$11:F$200),0),IFERROR(LOOKUP(D18,Africa!D$18:D$200,Africa!F$18:F$200),0),IFERROR(LOOKUP(D18,Europe!D$18:D$300,Europe!F$18:F$300),0),IFERROR(LOOKUP(D18,Russia!D$18:D$198,Russia!F$18:F$198),0),IFERROR(LOOKUP(D18,'Western United States'!D$13:D$300,'Western United States'!F$13:F$300),0),IFERROR(LOOKUP(D18,'Eastern United States'!D$13:D$300,'Eastern United States'!F$13:F$300),0),IFERROR(LOOKUP(D18,Canada!D$13:D$200,Canada!F$13:F$200),0),IFERROR(LOOKUP(D18,'South Asia'!D$11:D$200,'South Asia'!F$11:F$200),0),IFERROR(LOOKUP(D18,'Latin America'!D$11:D$200,'Latin America'!F$11:F$200),0))</f>
        <v>1.5989982013011369E-3</v>
      </c>
      <c r="H18" s="339">
        <f t="shared" si="1"/>
        <v>0.10557625666495518</v>
      </c>
      <c r="J18" s="146" t="s">
        <v>15</v>
      </c>
      <c r="K18" s="16">
        <v>2001</v>
      </c>
      <c r="L18" s="197">
        <f t="shared" si="0"/>
        <v>1236.3649123058565</v>
      </c>
      <c r="M18" s="197">
        <v>984.45299999999997</v>
      </c>
      <c r="N18" s="21"/>
      <c r="O18" s="214"/>
      <c r="P18" s="123"/>
      <c r="Q18" s="23"/>
      <c r="R18" s="23"/>
      <c r="S18" s="23"/>
      <c r="T18" s="23"/>
      <c r="U18" s="23"/>
      <c r="V18" s="23"/>
      <c r="W18" s="23"/>
      <c r="X18" s="23"/>
      <c r="Y18" s="23"/>
      <c r="Z18" s="23"/>
      <c r="AA18" s="23"/>
      <c r="AB18" s="23"/>
      <c r="AC18" s="23"/>
      <c r="AD18" s="23"/>
      <c r="AE18" s="23"/>
    </row>
    <row r="19" spans="3:31" x14ac:dyDescent="0.15">
      <c r="C19" s="354"/>
      <c r="D19" s="195">
        <v>1812</v>
      </c>
      <c r="E19" s="196">
        <f>SUM(IFERROR(LOOKUP(D19,'United Kingdom'!D$12:D$303,'United Kingdom'!F$12:F$303),0),IFERROR(LOOKUP(D19,'Pennsylvania anthracite'!D$8:D$300,'Pennsylvania anthracite'!F$8:F$300),0),IFERROR(LOOKUP(D19,'France and Belgium'!D$8:D$300,'France and Belgium'!F$8:F$300),0),IFERROR(LOOKUP(D19,'Japan and South Korea'!D$8:D$200,'Japan and South Korea'!F$8:F$200),0),IFERROR(LOOKUP(D19,Australia!D$57:D$248,Australia!F$57:F$248),0),IFERROR(LOOKUP(D19,China!D$11:D$200,China!F$11:F$200),0),IFERROR(LOOKUP(D19,Africa!D$18:D$200,Africa!F$18:F$200),0),IFERROR(LOOKUP(D19,Europe!D$18:D$300,Europe!F$18:F$300),0),IFERROR(LOOKUP(D19,Russia!D$18:D$198,Russia!F$18:F$198),0),IFERROR(LOOKUP(D19,'Western United States'!D$13:D$300,'Western United States'!F$13:F$300),0),IFERROR(LOOKUP(D19,'Eastern United States'!D$13:D$300,'Eastern United States'!F$13:F$300),0),IFERROR(LOOKUP(D19,Canada!D$13:D$200,Canada!F$13:F$200),0),IFERROR(LOOKUP(D19,'South Asia'!D$11:D$200,'South Asia'!F$11:F$200),0),IFERROR(LOOKUP(D19,'Latin America'!D$11:D$200,'Latin America'!F$11:F$200),0))</f>
        <v>1.7812300614976906E-3</v>
      </c>
      <c r="H19" s="339">
        <f t="shared" si="1"/>
        <v>0.10230675089961694</v>
      </c>
      <c r="J19" s="146" t="s">
        <v>16</v>
      </c>
      <c r="K19" s="16">
        <v>2004</v>
      </c>
      <c r="L19" s="197">
        <f t="shared" si="0"/>
        <v>1175.2584134504241</v>
      </c>
      <c r="M19" s="197">
        <v>909.06399999999996</v>
      </c>
      <c r="N19" s="21"/>
      <c r="O19" s="214"/>
      <c r="P19" s="123"/>
      <c r="Q19" s="23"/>
      <c r="R19" s="23"/>
      <c r="S19" s="23"/>
      <c r="T19" s="23"/>
      <c r="U19" s="23"/>
      <c r="V19" s="23"/>
      <c r="W19" s="23"/>
      <c r="X19" s="23"/>
      <c r="Y19" s="23"/>
      <c r="Z19" s="23"/>
      <c r="AA19" s="23"/>
      <c r="AB19" s="23"/>
      <c r="AC19" s="23"/>
      <c r="AD19" s="23"/>
      <c r="AE19" s="23"/>
    </row>
    <row r="20" spans="3:31" x14ac:dyDescent="0.15">
      <c r="C20" s="354"/>
      <c r="D20" s="195">
        <v>1813</v>
      </c>
      <c r="E20" s="196">
        <f>SUM(IFERROR(LOOKUP(D20,'United Kingdom'!D$12:D$303,'United Kingdom'!F$12:F$303),0),IFERROR(LOOKUP(D20,'Pennsylvania anthracite'!D$8:D$300,'Pennsylvania anthracite'!F$8:F$300),0),IFERROR(LOOKUP(D20,'France and Belgium'!D$8:D$300,'France and Belgium'!F$8:F$300),0),IFERROR(LOOKUP(D20,'Japan and South Korea'!D$8:D$200,'Japan and South Korea'!F$8:F$200),0),IFERROR(LOOKUP(D20,Australia!D$57:D$248,Australia!F$57:F$248),0),IFERROR(LOOKUP(D20,China!D$11:D$200,China!F$11:F$200),0),IFERROR(LOOKUP(D20,Africa!D$18:D$200,Africa!F$18:F$200),0),IFERROR(LOOKUP(D20,Europe!D$18:D$300,Europe!F$18:F$300),0),IFERROR(LOOKUP(D20,Russia!D$18:D$198,Russia!F$18:F$198),0),IFERROR(LOOKUP(D20,'Western United States'!D$13:D$300,'Western United States'!F$13:F$300),0),IFERROR(LOOKUP(D20,'Eastern United States'!D$13:D$300,'Eastern United States'!F$13:F$300),0),IFERROR(LOOKUP(D20,Canada!D$13:D$200,Canada!F$13:F$200),0),IFERROR(LOOKUP(D20,'South Asia'!D$11:D$200,'South Asia'!F$11:F$200),0),IFERROR(LOOKUP(D20,'Latin America'!D$11:D$200,'Latin America'!F$11:F$200),0))</f>
        <v>1.9771236150945416E-3</v>
      </c>
      <c r="H20" s="339">
        <f t="shared" si="1"/>
        <v>9.9080073750210995E-2</v>
      </c>
      <c r="J20" s="146" t="s">
        <v>17</v>
      </c>
      <c r="K20" s="16">
        <v>2007</v>
      </c>
      <c r="L20" s="197">
        <f t="shared" si="0"/>
        <v>1130.3475935865195</v>
      </c>
      <c r="M20" s="197">
        <v>847.48800000000006</v>
      </c>
      <c r="N20" s="21"/>
      <c r="O20" s="214"/>
      <c r="P20" s="123"/>
      <c r="Q20" s="23"/>
      <c r="R20" s="23"/>
      <c r="S20" s="23"/>
      <c r="T20" s="23"/>
      <c r="U20" s="23"/>
      <c r="V20" s="23"/>
      <c r="W20" s="23"/>
      <c r="X20" s="23"/>
      <c r="Y20" s="23"/>
      <c r="Z20" s="23"/>
      <c r="AA20" s="23"/>
      <c r="AB20" s="23"/>
      <c r="AC20" s="23"/>
      <c r="AD20" s="23"/>
      <c r="AE20" s="23"/>
    </row>
    <row r="21" spans="3:31" x14ac:dyDescent="0.15">
      <c r="C21" s="354"/>
      <c r="D21" s="195">
        <v>1814</v>
      </c>
      <c r="E21" s="196">
        <f>SUM(IFERROR(LOOKUP(D21,'United Kingdom'!D$12:D$303,'United Kingdom'!F$12:F$303),0),IFERROR(LOOKUP(D21,'Pennsylvania anthracite'!D$8:D$300,'Pennsylvania anthracite'!F$8:F$300),0),IFERROR(LOOKUP(D21,'France and Belgium'!D$8:D$300,'France and Belgium'!F$8:F$300),0),IFERROR(LOOKUP(D21,'Japan and South Korea'!D$8:D$200,'Japan and South Korea'!F$8:F$200),0),IFERROR(LOOKUP(D21,Australia!D$57:D$248,Australia!F$57:F$248),0),IFERROR(LOOKUP(D21,China!D$11:D$200,China!F$11:F$200),0),IFERROR(LOOKUP(D21,Africa!D$18:D$200,Africa!F$18:F$200),0),IFERROR(LOOKUP(D21,Europe!D$18:D$300,Europe!F$18:F$300),0),IFERROR(LOOKUP(D21,Russia!D$18:D$198,Russia!F$18:F$198),0),IFERROR(LOOKUP(D21,'Western United States'!D$13:D$300,'Western United States'!F$13:F$300),0),IFERROR(LOOKUP(D21,'Eastern United States'!D$13:D$300,'Eastern United States'!F$13:F$300),0),IFERROR(LOOKUP(D21,Canada!D$13:D$200,Canada!F$13:F$200),0),IFERROR(LOOKUP(D21,'South Asia'!D$11:D$200,'South Asia'!F$11:F$200),0),IFERROR(LOOKUP(D21,'Latin America'!D$11:D$200,'Latin America'!F$11:F$200),0))</f>
        <v>2.1884493092843254E-3</v>
      </c>
      <c r="H21" s="339">
        <f t="shared" si="1"/>
        <v>9.6564125699988179E-2</v>
      </c>
      <c r="J21" s="16" t="s">
        <v>297</v>
      </c>
      <c r="K21" s="16">
        <v>2010</v>
      </c>
      <c r="L21" s="197">
        <f t="shared" si="0"/>
        <v>1163.1855945328637</v>
      </c>
      <c r="M21" s="203">
        <v>860.93799999999999</v>
      </c>
      <c r="N21" s="21"/>
      <c r="O21" s="215"/>
      <c r="P21" s="123"/>
      <c r="Q21" s="23"/>
      <c r="R21" s="23"/>
      <c r="S21" s="23"/>
      <c r="T21" s="23"/>
      <c r="U21" s="23"/>
      <c r="V21" s="23"/>
      <c r="W21" s="23"/>
      <c r="X21" s="23"/>
      <c r="Y21" s="23"/>
      <c r="Z21" s="23"/>
      <c r="AA21" s="23"/>
      <c r="AB21" s="23"/>
      <c r="AC21" s="23"/>
      <c r="AD21" s="23"/>
      <c r="AE21" s="23"/>
    </row>
    <row r="22" spans="3:31" x14ac:dyDescent="0.15">
      <c r="C22" s="354"/>
      <c r="D22" s="195">
        <v>1815</v>
      </c>
      <c r="E22" s="196">
        <f>SUM(IFERROR(LOOKUP(D22,'United Kingdom'!D$12:D$303,'United Kingdom'!F$12:F$303),0),IFERROR(LOOKUP(D22,'Pennsylvania anthracite'!D$8:D$300,'Pennsylvania anthracite'!F$8:F$300),0),IFERROR(LOOKUP(D22,'France and Belgium'!D$8:D$300,'France and Belgium'!F$8:F$300),0),IFERROR(LOOKUP(D22,'Japan and South Korea'!D$8:D$200,'Japan and South Korea'!F$8:F$200),0),IFERROR(LOOKUP(D22,Australia!D$57:D$248,Australia!F$57:F$248),0),IFERROR(LOOKUP(D22,China!D$11:D$200,China!F$11:F$200),0),IFERROR(LOOKUP(D22,Africa!D$18:D$200,Africa!F$18:F$200),0),IFERROR(LOOKUP(D22,Europe!D$18:D$300,Europe!F$18:F$300),0),IFERROR(LOOKUP(D22,Russia!D$18:D$198,Russia!F$18:F$198),0),IFERROR(LOOKUP(D22,'Western United States'!D$13:D$300,'Western United States'!F$13:F$300),0),IFERROR(LOOKUP(D22,'Eastern United States'!D$13:D$300,'Eastern United States'!F$13:F$300),0),IFERROR(LOOKUP(D22,Canada!D$13:D$200,Canada!F$13:F$200),0),IFERROR(LOOKUP(D22,'South Asia'!D$11:D$200,'South Asia'!F$11:F$200),0),IFERROR(LOOKUP(D22,'Latin America'!D$11:D$200,'Latin America'!F$11:F$200),0))</f>
        <v>3.3154878625411182E-3</v>
      </c>
      <c r="H22" s="339">
        <f t="shared" si="1"/>
        <v>0.33993143693579586</v>
      </c>
      <c r="N22" s="21"/>
      <c r="O22" s="215"/>
      <c r="P22" s="123"/>
      <c r="Q22" s="23"/>
      <c r="R22" s="23"/>
      <c r="S22" s="23"/>
      <c r="T22" s="23"/>
      <c r="U22" s="23"/>
      <c r="V22" s="23"/>
      <c r="W22" s="23"/>
      <c r="X22" s="23"/>
      <c r="Y22" s="23"/>
      <c r="Z22" s="23"/>
      <c r="AA22" s="23"/>
      <c r="AB22" s="23"/>
      <c r="AC22" s="23"/>
      <c r="AD22" s="23"/>
      <c r="AE22" s="23"/>
    </row>
    <row r="23" spans="3:31" x14ac:dyDescent="0.15">
      <c r="C23" s="354"/>
      <c r="D23" s="195">
        <v>1816</v>
      </c>
      <c r="E23" s="196">
        <f>SUM(IFERROR(LOOKUP(D23,'United Kingdom'!D$12:D$303,'United Kingdom'!F$12:F$303),0),IFERROR(LOOKUP(D23,'Pennsylvania anthracite'!D$8:D$300,'Pennsylvania anthracite'!F$8:F$300),0),IFERROR(LOOKUP(D23,'France and Belgium'!D$8:D$300,'France and Belgium'!F$8:F$300),0),IFERROR(LOOKUP(D23,'Japan and South Korea'!D$8:D$200,'Japan and South Korea'!F$8:F$200),0),IFERROR(LOOKUP(D23,Australia!D$57:D$248,Australia!F$57:F$248),0),IFERROR(LOOKUP(D23,China!D$11:D$200,China!F$11:F$200),0),IFERROR(LOOKUP(D23,Africa!D$18:D$200,Africa!F$18:F$200),0),IFERROR(LOOKUP(D23,Europe!D$18:D$300,Europe!F$18:F$300),0),IFERROR(LOOKUP(D23,Russia!D$18:D$198,Russia!F$18:F$198),0),IFERROR(LOOKUP(D23,'Western United States'!D$13:D$300,'Western United States'!F$13:F$300),0),IFERROR(LOOKUP(D23,'Eastern United States'!D$13:D$300,'Eastern United States'!F$13:F$300),0),IFERROR(LOOKUP(D23,Canada!D$13:D$200,Canada!F$13:F$200),0),IFERROR(LOOKUP(D23,'South Asia'!D$11:D$200,'South Asia'!F$11:F$200),0),IFERROR(LOOKUP(D23,'Latin America'!D$11:D$200,'Latin America'!F$11:F$200),0))</f>
        <v>4.5050685196576633E-3</v>
      </c>
      <c r="H23" s="339">
        <f t="shared" si="1"/>
        <v>0.26405384333797888</v>
      </c>
      <c r="N23" s="21"/>
      <c r="O23" s="215"/>
      <c r="P23" s="123"/>
      <c r="Q23" s="23"/>
      <c r="R23" s="23"/>
      <c r="S23" s="23"/>
      <c r="T23" s="23"/>
      <c r="U23" s="23"/>
      <c r="V23" s="23"/>
      <c r="W23" s="23"/>
      <c r="X23" s="23"/>
      <c r="Y23" s="23"/>
      <c r="Z23" s="23"/>
      <c r="AA23" s="23"/>
      <c r="AB23" s="23"/>
      <c r="AC23" s="23"/>
      <c r="AD23" s="23"/>
      <c r="AE23" s="23"/>
    </row>
    <row r="24" spans="3:31" x14ac:dyDescent="0.15">
      <c r="C24" s="354"/>
      <c r="D24" s="195">
        <v>1817</v>
      </c>
      <c r="E24" s="196">
        <f>SUM(IFERROR(LOOKUP(D24,'United Kingdom'!D$12:D$303,'United Kingdom'!F$12:F$303),0),IFERROR(LOOKUP(D24,'Pennsylvania anthracite'!D$8:D$300,'Pennsylvania anthracite'!F$8:F$300),0),IFERROR(LOOKUP(D24,'France and Belgium'!D$8:D$300,'France and Belgium'!F$8:F$300),0),IFERROR(LOOKUP(D24,'Japan and South Korea'!D$8:D$200,'Japan and South Korea'!F$8:F$200),0),IFERROR(LOOKUP(D24,Australia!D$57:D$248,Australia!F$57:F$248),0),IFERROR(LOOKUP(D24,China!D$11:D$200,China!F$11:F$200),0),IFERROR(LOOKUP(D24,Africa!D$18:D$200,Africa!F$18:F$200),0),IFERROR(LOOKUP(D24,Europe!D$18:D$300,Europe!F$18:F$300),0),IFERROR(LOOKUP(D24,Russia!D$18:D$198,Russia!F$18:F$198),0),IFERROR(LOOKUP(D24,'Western United States'!D$13:D$300,'Western United States'!F$13:F$300),0),IFERROR(LOOKUP(D24,'Eastern United States'!D$13:D$300,'Eastern United States'!F$13:F$300),0),IFERROR(LOOKUP(D24,Canada!D$13:D$200,Canada!F$13:F$200),0),IFERROR(LOOKUP(D24,'South Asia'!D$11:D$200,'South Asia'!F$11:F$200),0),IFERROR(LOOKUP(D24,'Latin America'!D$11:D$200,'Latin America'!F$11:F$200),0))</f>
        <v>7.0565616105524673E-3</v>
      </c>
      <c r="H24" s="339">
        <f t="shared" si="1"/>
        <v>0.36157738452666099</v>
      </c>
      <c r="N24" s="21"/>
      <c r="O24" s="146"/>
      <c r="P24" s="123"/>
      <c r="R24" s="23"/>
      <c r="S24" s="23"/>
      <c r="T24" s="23"/>
      <c r="U24" s="23"/>
      <c r="V24" s="23"/>
      <c r="W24" s="23"/>
      <c r="X24" s="23"/>
      <c r="Y24" s="23"/>
      <c r="Z24" s="23"/>
      <c r="AA24" s="23"/>
      <c r="AB24" s="23"/>
      <c r="AC24" s="23"/>
      <c r="AD24" s="23"/>
      <c r="AE24" s="23"/>
    </row>
    <row r="25" spans="3:31" x14ac:dyDescent="0.15">
      <c r="C25" s="354"/>
      <c r="D25" s="195">
        <v>1818</v>
      </c>
      <c r="E25" s="196">
        <f>SUM(IFERROR(LOOKUP(D25,'United Kingdom'!D$12:D$303,'United Kingdom'!F$12:F$303),0),IFERROR(LOOKUP(D25,'Pennsylvania anthracite'!D$8:D$300,'Pennsylvania anthracite'!F$8:F$300),0),IFERROR(LOOKUP(D25,'France and Belgium'!D$8:D$300,'France and Belgium'!F$8:F$300),0),IFERROR(LOOKUP(D25,'Japan and South Korea'!D$8:D$200,'Japan and South Korea'!F$8:F$200),0),IFERROR(LOOKUP(D25,Australia!D$57:D$248,Australia!F$57:F$248),0),IFERROR(LOOKUP(D25,China!D$11:D$200,China!F$11:F$200),0),IFERROR(LOOKUP(D25,Africa!D$18:D$200,Africa!F$18:F$200),0),IFERROR(LOOKUP(D25,Europe!D$18:D$300,Europe!F$18:F$300),0),IFERROR(LOOKUP(D25,Russia!D$18:D$198,Russia!F$18:F$198),0),IFERROR(LOOKUP(D25,'Western United States'!D$13:D$300,'Western United States'!F$13:F$300),0),IFERROR(LOOKUP(D25,'Eastern United States'!D$13:D$300,'Eastern United States'!F$13:F$300),0),IFERROR(LOOKUP(D25,Canada!D$13:D$200,Canada!F$13:F$200),0),IFERROR(LOOKUP(D25,'South Asia'!D$11:D$200,'South Asia'!F$11:F$200),0),IFERROR(LOOKUP(D25,'Latin America'!D$11:D$200,'Latin America'!F$11:F$200),0))</f>
        <v>9.6711864753885185E-3</v>
      </c>
      <c r="H25" s="339">
        <f t="shared" si="1"/>
        <v>0.27035202676422532</v>
      </c>
      <c r="N25" s="21"/>
      <c r="O25" s="146"/>
      <c r="P25" s="123"/>
      <c r="R25" s="23"/>
      <c r="S25" s="23"/>
      <c r="T25" s="23"/>
      <c r="U25" s="23"/>
      <c r="V25" s="23"/>
      <c r="W25" s="23"/>
      <c r="X25" s="23"/>
      <c r="Y25" s="23"/>
      <c r="Z25" s="23"/>
      <c r="AA25" s="23"/>
      <c r="AB25" s="23"/>
      <c r="AC25" s="23"/>
      <c r="AD25" s="23"/>
      <c r="AE25" s="23"/>
    </row>
    <row r="26" spans="3:31" x14ac:dyDescent="0.15">
      <c r="C26" s="354"/>
      <c r="D26" s="195">
        <v>1819</v>
      </c>
      <c r="E26" s="196">
        <f>SUM(IFERROR(LOOKUP(D26,'United Kingdom'!D$12:D$303,'United Kingdom'!F$12:F$303),0),IFERROR(LOOKUP(D26,'Pennsylvania anthracite'!D$8:D$300,'Pennsylvania anthracite'!F$8:F$300),0),IFERROR(LOOKUP(D26,'France and Belgium'!D$8:D$300,'France and Belgium'!F$8:F$300),0),IFERROR(LOOKUP(D26,'Japan and South Korea'!D$8:D$200,'Japan and South Korea'!F$8:F$200),0),IFERROR(LOOKUP(D26,Australia!D$57:D$248,Australia!F$57:F$248),0),IFERROR(LOOKUP(D26,China!D$11:D$200,China!F$11:F$200),0),IFERROR(LOOKUP(D26,Africa!D$18:D$200,Africa!F$18:F$200),0),IFERROR(LOOKUP(D26,Europe!D$18:D$300,Europe!F$18:F$300),0),IFERROR(LOOKUP(D26,Russia!D$18:D$198,Russia!F$18:F$198),0),IFERROR(LOOKUP(D26,'Western United States'!D$13:D$300,'Western United States'!F$13:F$300),0),IFERROR(LOOKUP(D26,'Eastern United States'!D$13:D$300,'Eastern United States'!F$13:F$300),0),IFERROR(LOOKUP(D26,Canada!D$13:D$200,Canada!F$13:F$200),0),IFERROR(LOOKUP(D26,'South Asia'!D$11:D$200,'South Asia'!F$11:F$200),0),IFERROR(LOOKUP(D26,'Latin America'!D$11:D$200,'Latin America'!F$11:F$200),0))</f>
        <v>1.231190461750574E-2</v>
      </c>
      <c r="H26" s="339">
        <f t="shared" si="1"/>
        <v>0.21448494153881792</v>
      </c>
      <c r="N26" s="21"/>
      <c r="O26" s="146"/>
      <c r="P26" s="123"/>
      <c r="R26" s="23"/>
      <c r="S26" s="23"/>
      <c r="T26" s="23"/>
      <c r="U26" s="23"/>
      <c r="V26" s="23"/>
      <c r="W26" s="23"/>
      <c r="X26" s="23"/>
      <c r="Y26" s="23"/>
      <c r="Z26" s="23"/>
      <c r="AA26" s="23"/>
      <c r="AB26" s="23"/>
      <c r="AC26" s="23"/>
      <c r="AD26" s="23"/>
      <c r="AE26" s="23"/>
    </row>
    <row r="27" spans="3:31" x14ac:dyDescent="0.15">
      <c r="C27" s="354"/>
      <c r="D27" s="195">
        <v>1820</v>
      </c>
      <c r="E27" s="196">
        <f>SUM(IFERROR(LOOKUP(D27,'United Kingdom'!D$12:D$303,'United Kingdom'!F$12:F$303),0),IFERROR(LOOKUP(D27,'Pennsylvania anthracite'!D$8:D$300,'Pennsylvania anthracite'!F$8:F$300),0),IFERROR(LOOKUP(D27,'France and Belgium'!D$8:D$300,'France and Belgium'!F$8:F$300),0),IFERROR(LOOKUP(D27,'Japan and South Korea'!D$8:D$200,'Japan and South Korea'!F$8:F$200),0),IFERROR(LOOKUP(D27,Australia!D$57:D$248,Australia!F$57:F$248),0),IFERROR(LOOKUP(D27,China!D$11:D$200,China!F$11:F$200),0),IFERROR(LOOKUP(D27,Africa!D$18:D$200,Africa!F$18:F$200),0),IFERROR(LOOKUP(D27,Europe!D$18:D$300,Europe!F$18:F$300),0),IFERROR(LOOKUP(D27,Russia!D$18:D$198,Russia!F$18:F$198),0),IFERROR(LOOKUP(D27,'Western United States'!D$13:D$300,'Western United States'!F$13:F$300),0),IFERROR(LOOKUP(D27,'Eastern United States'!D$13:D$300,'Eastern United States'!F$13:F$300),0),IFERROR(LOOKUP(D27,Canada!D$13:D$200,Canada!F$13:F$200),0),IFERROR(LOOKUP(D27,'South Asia'!D$11:D$200,'South Asia'!F$11:F$200),0),IFERROR(LOOKUP(D27,'Latin America'!D$11:D$200,'Latin America'!F$11:F$200),0))</f>
        <v>1.5095204329245972E-2</v>
      </c>
      <c r="H27" s="339">
        <f t="shared" si="1"/>
        <v>0.18438304318595877</v>
      </c>
      <c r="N27" s="21"/>
      <c r="O27" s="146"/>
      <c r="P27" s="123"/>
      <c r="R27" s="23"/>
      <c r="S27" s="23"/>
      <c r="T27" s="23"/>
      <c r="U27" s="23"/>
      <c r="V27" s="23"/>
      <c r="W27" s="23"/>
      <c r="X27" s="23"/>
      <c r="Y27" s="23"/>
      <c r="Z27" s="23"/>
      <c r="AA27" s="23"/>
      <c r="AB27" s="23"/>
      <c r="AC27" s="23"/>
      <c r="AD27" s="23"/>
      <c r="AE27" s="23"/>
    </row>
    <row r="28" spans="3:31" x14ac:dyDescent="0.15">
      <c r="C28" s="354"/>
      <c r="D28" s="195">
        <v>1821</v>
      </c>
      <c r="E28" s="196">
        <f>SUM(IFERROR(LOOKUP(D28,'United Kingdom'!D$12:D$303,'United Kingdom'!F$12:F$303),0),IFERROR(LOOKUP(D28,'Pennsylvania anthracite'!D$8:D$300,'Pennsylvania anthracite'!F$8:F$300),0),IFERROR(LOOKUP(D28,'France and Belgium'!D$8:D$300,'France and Belgium'!F$8:F$300),0),IFERROR(LOOKUP(D28,'Japan and South Korea'!D$8:D$200,'Japan and South Korea'!F$8:F$200),0),IFERROR(LOOKUP(D28,Australia!D$57:D$248,Australia!F$57:F$248),0),IFERROR(LOOKUP(D28,China!D$11:D$200,China!F$11:F$200),0),IFERROR(LOOKUP(D28,Africa!D$18:D$200,Africa!F$18:F$200),0),IFERROR(LOOKUP(D28,Europe!D$18:D$300,Europe!F$18:F$300),0),IFERROR(LOOKUP(D28,Russia!D$18:D$198,Russia!F$18:F$198),0),IFERROR(LOOKUP(D28,'Western United States'!D$13:D$300,'Western United States'!F$13:F$300),0),IFERROR(LOOKUP(D28,'Eastern United States'!D$13:D$300,'Eastern United States'!F$13:F$300),0),IFERROR(LOOKUP(D28,Canada!D$13:D$200,Canada!F$13:F$200),0),IFERROR(LOOKUP(D28,'South Asia'!D$11:D$200,'South Asia'!F$11:F$200),0),IFERROR(LOOKUP(D28,'Latin America'!D$11:D$200,'Latin America'!F$11:F$200),0))</f>
        <v>1.8067197455415566E-2</v>
      </c>
      <c r="H28" s="339">
        <f t="shared" si="1"/>
        <v>0.16449663172739348</v>
      </c>
      <c r="N28" s="21"/>
      <c r="O28" s="146"/>
      <c r="P28" s="123"/>
      <c r="R28" s="23"/>
      <c r="S28" s="23"/>
      <c r="T28" s="23"/>
      <c r="U28" s="23"/>
      <c r="V28" s="23"/>
      <c r="W28" s="23"/>
      <c r="X28" s="23"/>
      <c r="Y28" s="23"/>
      <c r="Z28" s="23"/>
      <c r="AA28" s="23"/>
      <c r="AB28" s="23"/>
      <c r="AC28" s="23"/>
      <c r="AD28" s="23"/>
      <c r="AE28" s="23"/>
    </row>
    <row r="29" spans="3:31" x14ac:dyDescent="0.15">
      <c r="C29" s="354"/>
      <c r="D29" s="195">
        <v>1822</v>
      </c>
      <c r="E29" s="196">
        <f>SUM(IFERROR(LOOKUP(D29,'United Kingdom'!D$12:D$303,'United Kingdom'!F$12:F$303),0),IFERROR(LOOKUP(D29,'Pennsylvania anthracite'!D$8:D$300,'Pennsylvania anthracite'!F$8:F$300),0),IFERROR(LOOKUP(D29,'France and Belgium'!D$8:D$300,'France and Belgium'!F$8:F$300),0),IFERROR(LOOKUP(D29,'Japan and South Korea'!D$8:D$200,'Japan and South Korea'!F$8:F$200),0),IFERROR(LOOKUP(D29,Australia!D$57:D$248,Australia!F$57:F$248),0),IFERROR(LOOKUP(D29,China!D$11:D$200,China!F$11:F$200),0),IFERROR(LOOKUP(D29,Africa!D$18:D$200,Africa!F$18:F$200),0),IFERROR(LOOKUP(D29,Europe!D$18:D$300,Europe!F$18:F$300),0),IFERROR(LOOKUP(D29,Russia!D$18:D$198,Russia!F$18:F$198),0),IFERROR(LOOKUP(D29,'Western United States'!D$13:D$300,'Western United States'!F$13:F$300),0),IFERROR(LOOKUP(D29,'Eastern United States'!D$13:D$300,'Eastern United States'!F$13:F$300),0),IFERROR(LOOKUP(D29,Canada!D$13:D$200,Canada!F$13:F$200),0),IFERROR(LOOKUP(D29,'South Asia'!D$11:D$200,'South Asia'!F$11:F$200),0),IFERROR(LOOKUP(D29,'Latin America'!D$11:D$200,'Latin America'!F$11:F$200),0))</f>
        <v>2.1222957946503605E-2</v>
      </c>
      <c r="H29" s="339">
        <f t="shared" si="1"/>
        <v>0.14869560119954617</v>
      </c>
      <c r="O29" s="146"/>
      <c r="P29" s="123"/>
    </row>
    <row r="30" spans="3:31" x14ac:dyDescent="0.15">
      <c r="C30" s="354"/>
      <c r="D30" s="195">
        <v>1823</v>
      </c>
      <c r="E30" s="196">
        <f>SUM(IFERROR(LOOKUP(D30,'United Kingdom'!D$12:D$303,'United Kingdom'!F$12:F$303),0),IFERROR(LOOKUP(D30,'Pennsylvania anthracite'!D$8:D$300,'Pennsylvania anthracite'!F$8:F$300),0),IFERROR(LOOKUP(D30,'France and Belgium'!D$8:D$300,'France and Belgium'!F$8:F$300),0),IFERROR(LOOKUP(D30,'Japan and South Korea'!D$8:D$200,'Japan and South Korea'!F$8:F$200),0),IFERROR(LOOKUP(D30,Australia!D$57:D$248,Australia!F$57:F$248),0),IFERROR(LOOKUP(D30,China!D$11:D$200,China!F$11:F$200),0),IFERROR(LOOKUP(D30,Africa!D$18:D$200,Africa!F$18:F$200),0),IFERROR(LOOKUP(D30,Europe!D$18:D$300,Europe!F$18:F$300),0),IFERROR(LOOKUP(D30,Russia!D$18:D$198,Russia!F$18:F$198),0),IFERROR(LOOKUP(D30,'Western United States'!D$13:D$300,'Western United States'!F$13:F$300),0),IFERROR(LOOKUP(D30,'Eastern United States'!D$13:D$300,'Eastern United States'!F$13:F$300),0),IFERROR(LOOKUP(D30,Canada!D$13:D$200,Canada!F$13:F$200),0),IFERROR(LOOKUP(D30,'South Asia'!D$11:D$200,'South Asia'!F$11:F$200),0),IFERROR(LOOKUP(D30,'Latin America'!D$11:D$200,'Latin America'!F$11:F$200),0))</f>
        <v>2.4465472674033706E-2</v>
      </c>
      <c r="H30" s="339">
        <f t="shared" si="1"/>
        <v>0.13253431767829793</v>
      </c>
      <c r="O30" s="146"/>
      <c r="P30" s="123"/>
    </row>
    <row r="31" spans="3:31" x14ac:dyDescent="0.15">
      <c r="C31" s="354"/>
      <c r="D31" s="195">
        <v>1824</v>
      </c>
      <c r="E31" s="196">
        <f>SUM(IFERROR(LOOKUP(D31,'United Kingdom'!D$12:D$303,'United Kingdom'!F$12:F$303),0),IFERROR(LOOKUP(D31,'Pennsylvania anthracite'!D$8:D$300,'Pennsylvania anthracite'!F$8:F$300),0),IFERROR(LOOKUP(D31,'France and Belgium'!D$8:D$300,'France and Belgium'!F$8:F$300),0),IFERROR(LOOKUP(D31,'Japan and South Korea'!D$8:D$200,'Japan and South Korea'!F$8:F$200),0),IFERROR(LOOKUP(D31,Australia!D$57:D$248,Australia!F$57:F$248),0),IFERROR(LOOKUP(D31,China!D$11:D$200,China!F$11:F$200),0),IFERROR(LOOKUP(D31,Africa!D$18:D$200,Africa!F$18:F$200),0),IFERROR(LOOKUP(D31,Europe!D$18:D$300,Europe!F$18:F$300),0),IFERROR(LOOKUP(D31,Russia!D$18:D$198,Russia!F$18:F$198),0),IFERROR(LOOKUP(D31,'Western United States'!D$13:D$300,'Western United States'!F$13:F$300),0),IFERROR(LOOKUP(D31,'Eastern United States'!D$13:D$300,'Eastern United States'!F$13:F$300),0),IFERROR(LOOKUP(D31,Canada!D$13:D$200,Canada!F$13:F$200),0),IFERROR(LOOKUP(D31,'South Asia'!D$11:D$200,'South Asia'!F$11:F$200),0),IFERROR(LOOKUP(D31,'Latin America'!D$11:D$200,'Latin America'!F$11:F$200),0))</f>
        <v>2.8024647240166393E-2</v>
      </c>
      <c r="H31" s="339">
        <f t="shared" si="1"/>
        <v>0.12700158312899268</v>
      </c>
      <c r="O31" s="146"/>
      <c r="P31" s="123"/>
    </row>
    <row r="32" spans="3:31" x14ac:dyDescent="0.15">
      <c r="C32" s="354"/>
      <c r="D32" s="195">
        <v>1825</v>
      </c>
      <c r="E32" s="196">
        <f>SUM(IFERROR(LOOKUP(D32,'United Kingdom'!D$12:D$303,'United Kingdom'!F$12:F$303),0),IFERROR(LOOKUP(D32,'Pennsylvania anthracite'!D$8:D$300,'Pennsylvania anthracite'!F$8:F$300),0),IFERROR(LOOKUP(D32,'France and Belgium'!D$8:D$300,'France and Belgium'!F$8:F$300),0),IFERROR(LOOKUP(D32,'Japan and South Korea'!D$8:D$200,'Japan and South Korea'!F$8:F$200),0),IFERROR(LOOKUP(D32,Australia!D$57:D$248,Australia!F$57:F$248),0),IFERROR(LOOKUP(D32,China!D$11:D$200,China!F$11:F$200),0),IFERROR(LOOKUP(D32,Africa!D$18:D$200,Africa!F$18:F$200),0),IFERROR(LOOKUP(D32,Europe!D$18:D$300,Europe!F$18:F$300),0),IFERROR(LOOKUP(D32,Russia!D$18:D$198,Russia!F$18:F$198),0),IFERROR(LOOKUP(D32,'Western United States'!D$13:D$300,'Western United States'!F$13:F$300),0),IFERROR(LOOKUP(D32,'Eastern United States'!D$13:D$300,'Eastern United States'!F$13:F$300),0),IFERROR(LOOKUP(D32,Canada!D$13:D$200,Canada!F$13:F$200),0),IFERROR(LOOKUP(D32,'South Asia'!D$11:D$200,'South Asia'!F$11:F$200),0),IFERROR(LOOKUP(D32,'Latin America'!D$11:D$200,'Latin America'!F$11:F$200),0))</f>
        <v>3.1703305878742455E-2</v>
      </c>
      <c r="H32" s="339">
        <f t="shared" si="1"/>
        <v>0.1160339130766378</v>
      </c>
      <c r="O32" s="146"/>
      <c r="P32" s="123"/>
    </row>
    <row r="33" spans="3:16" x14ac:dyDescent="0.15">
      <c r="C33" s="354"/>
      <c r="D33" s="195">
        <v>1826</v>
      </c>
      <c r="E33" s="196">
        <f>SUM(IFERROR(LOOKUP(D33,'United Kingdom'!D$12:D$303,'United Kingdom'!F$12:F$303),0),IFERROR(LOOKUP(D33,'Pennsylvania anthracite'!D$8:D$300,'Pennsylvania anthracite'!F$8:F$300),0),IFERROR(LOOKUP(D33,'France and Belgium'!D$8:D$300,'France and Belgium'!F$8:F$300),0),IFERROR(LOOKUP(D33,'Japan and South Korea'!D$8:D$200,'Japan and South Korea'!F$8:F$200),0),IFERROR(LOOKUP(D33,Australia!D$57:D$248,Australia!F$57:F$248),0),IFERROR(LOOKUP(D33,China!D$11:D$200,China!F$11:F$200),0),IFERROR(LOOKUP(D33,Africa!D$18:D$200,Africa!F$18:F$200),0),IFERROR(LOOKUP(D33,Europe!D$18:D$300,Europe!F$18:F$300),0),IFERROR(LOOKUP(D33,Russia!D$18:D$198,Russia!F$18:F$198),0),IFERROR(LOOKUP(D33,'Western United States'!D$13:D$300,'Western United States'!F$13:F$300),0),IFERROR(LOOKUP(D33,'Eastern United States'!D$13:D$300,'Eastern United States'!F$13:F$300),0),IFERROR(LOOKUP(D33,Canada!D$13:D$200,Canada!F$13:F$200),0),IFERROR(LOOKUP(D33,'South Asia'!D$11:D$200,'South Asia'!F$11:F$200),0),IFERROR(LOOKUP(D33,'Latin America'!D$11:D$200,'Latin America'!F$11:F$200),0))</f>
        <v>3.5542465642034643E-2</v>
      </c>
      <c r="H33" s="339">
        <f t="shared" si="1"/>
        <v>0.10801613489503581</v>
      </c>
      <c r="O33" s="146"/>
      <c r="P33" s="108"/>
    </row>
    <row r="34" spans="3:16" x14ac:dyDescent="0.15">
      <c r="C34" s="354"/>
      <c r="D34" s="195">
        <v>1827</v>
      </c>
      <c r="E34" s="196">
        <f>SUM(IFERROR(LOOKUP(D34,'United Kingdom'!D$12:D$303,'United Kingdom'!F$12:F$303),0),IFERROR(LOOKUP(D34,'Pennsylvania anthracite'!D$8:D$300,'Pennsylvania anthracite'!F$8:F$300),0),IFERROR(LOOKUP(D34,'France and Belgium'!D$8:D$300,'France and Belgium'!F$8:F$300),0),IFERROR(LOOKUP(D34,'Japan and South Korea'!D$8:D$200,'Japan and South Korea'!F$8:F$200),0),IFERROR(LOOKUP(D34,Australia!D$57:D$248,Australia!F$57:F$248),0),IFERROR(LOOKUP(D34,China!D$11:D$200,China!F$11:F$200),0),IFERROR(LOOKUP(D34,Africa!D$18:D$200,Africa!F$18:F$200),0),IFERROR(LOOKUP(D34,Europe!D$18:D$300,Europe!F$18:F$300),0),IFERROR(LOOKUP(D34,Russia!D$18:D$198,Russia!F$18:F$198),0),IFERROR(LOOKUP(D34,'Western United States'!D$13:D$300,'Western United States'!F$13:F$300),0),IFERROR(LOOKUP(D34,'Eastern United States'!D$13:D$300,'Eastern United States'!F$13:F$300),0),IFERROR(LOOKUP(D34,Canada!D$13:D$200,Canada!F$13:F$200),0),IFERROR(LOOKUP(D34,'South Asia'!D$11:D$200,'South Asia'!F$11:F$200),0),IFERROR(LOOKUP(D34,'Latin America'!D$11:D$200,'Latin America'!F$11:F$200),0))</f>
        <v>3.9626400299418323E-2</v>
      </c>
      <c r="H34" s="339">
        <f t="shared" si="1"/>
        <v>0.10306095498267165</v>
      </c>
      <c r="O34" s="146"/>
      <c r="P34" s="123"/>
    </row>
    <row r="35" spans="3:16" x14ac:dyDescent="0.15">
      <c r="C35" s="354"/>
      <c r="D35" s="195">
        <v>1828</v>
      </c>
      <c r="E35" s="196">
        <f>SUM(IFERROR(LOOKUP(D35,'United Kingdom'!D$12:D$303,'United Kingdom'!F$12:F$303),0),IFERROR(LOOKUP(D35,'Pennsylvania anthracite'!D$8:D$300,'Pennsylvania anthracite'!F$8:F$300),0),IFERROR(LOOKUP(D35,'France and Belgium'!D$8:D$300,'France and Belgium'!F$8:F$300),0),IFERROR(LOOKUP(D35,'Japan and South Korea'!D$8:D$200,'Japan and South Korea'!F$8:F$200),0),IFERROR(LOOKUP(D35,Australia!D$57:D$248,Australia!F$57:F$248),0),IFERROR(LOOKUP(D35,China!D$11:D$200,China!F$11:F$200),0),IFERROR(LOOKUP(D35,Africa!D$18:D$200,Africa!F$18:F$200),0),IFERROR(LOOKUP(D35,Europe!D$18:D$300,Europe!F$18:F$300),0),IFERROR(LOOKUP(D35,Russia!D$18:D$198,Russia!F$18:F$198),0),IFERROR(LOOKUP(D35,'Western United States'!D$13:D$300,'Western United States'!F$13:F$300),0),IFERROR(LOOKUP(D35,'Eastern United States'!D$13:D$300,'Eastern United States'!F$13:F$300),0),IFERROR(LOOKUP(D35,Canada!D$13:D$200,Canada!F$13:F$200),0),IFERROR(LOOKUP(D35,'South Asia'!D$11:D$200,'South Asia'!F$11:F$200),0),IFERROR(LOOKUP(D35,'Latin America'!D$11:D$200,'Latin America'!F$11:F$200),0))</f>
        <v>4.387371406007138E-2</v>
      </c>
      <c r="H35" s="339">
        <f t="shared" si="1"/>
        <v>9.6807709391497743E-2</v>
      </c>
      <c r="O35" s="146"/>
      <c r="P35" s="123"/>
    </row>
    <row r="36" spans="3:16" x14ac:dyDescent="0.15">
      <c r="C36" s="354"/>
      <c r="D36" s="195">
        <v>1829</v>
      </c>
      <c r="E36" s="196">
        <f>SUM(IFERROR(LOOKUP(D36,'United Kingdom'!D$12:D$303,'United Kingdom'!F$12:F$303),0),IFERROR(LOOKUP(D36,'Pennsylvania anthracite'!D$8:D$300,'Pennsylvania anthracite'!F$8:F$300),0),IFERROR(LOOKUP(D36,'France and Belgium'!D$8:D$300,'France and Belgium'!F$8:F$300),0),IFERROR(LOOKUP(D36,'Japan and South Korea'!D$8:D$200,'Japan and South Korea'!F$8:F$200),0),IFERROR(LOOKUP(D36,Australia!D$57:D$248,Australia!F$57:F$248),0),IFERROR(LOOKUP(D36,China!D$11:D$200,China!F$11:F$200),0),IFERROR(LOOKUP(D36,Africa!D$18:D$200,Africa!F$18:F$200),0),IFERROR(LOOKUP(D36,Europe!D$18:D$300,Europe!F$18:F$300),0),IFERROR(LOOKUP(D36,Russia!D$18:D$198,Russia!F$18:F$198),0),IFERROR(LOOKUP(D36,'Western United States'!D$13:D$300,'Western United States'!F$13:F$300),0),IFERROR(LOOKUP(D36,'Eastern United States'!D$13:D$300,'Eastern United States'!F$13:F$300),0),IFERROR(LOOKUP(D36,Canada!D$13:D$200,Canada!F$13:F$200),0),IFERROR(LOOKUP(D36,'South Asia'!D$11:D$200,'South Asia'!F$11:F$200),0),IFERROR(LOOKUP(D36,'Latin America'!D$11:D$200,'Latin America'!F$11:F$200),0))</f>
        <v>0.94474936546050392</v>
      </c>
      <c r="H36" s="339">
        <f t="shared" si="1"/>
        <v>0.95356047258239141</v>
      </c>
      <c r="O36" s="146"/>
      <c r="P36" s="123"/>
    </row>
    <row r="37" spans="3:16" x14ac:dyDescent="0.15">
      <c r="C37" s="354"/>
      <c r="D37" s="195">
        <v>1830</v>
      </c>
      <c r="E37" s="196">
        <f>SUM(IFERROR(LOOKUP(D37,'United Kingdom'!D$12:D$303,'United Kingdom'!F$12:F$303),0),IFERROR(LOOKUP(D37,'Pennsylvania anthracite'!D$8:D$300,'Pennsylvania anthracite'!F$8:F$300),0),IFERROR(LOOKUP(D37,'France and Belgium'!D$8:D$300,'France and Belgium'!F$8:F$300),0),IFERROR(LOOKUP(D37,'Japan and South Korea'!D$8:D$200,'Japan and South Korea'!F$8:F$200),0),IFERROR(LOOKUP(D37,Australia!D$57:D$248,Australia!F$57:F$248),0),IFERROR(LOOKUP(D37,China!D$11:D$200,China!F$11:F$200),0),IFERROR(LOOKUP(D37,Africa!D$18:D$200,Africa!F$18:F$200),0),IFERROR(LOOKUP(D37,Europe!D$18:D$300,Europe!F$18:F$300),0),IFERROR(LOOKUP(D37,Russia!D$18:D$198,Russia!F$18:F$198),0),IFERROR(LOOKUP(D37,'Western United States'!D$13:D$300,'Western United States'!F$13:F$300),0),IFERROR(LOOKUP(D37,'Eastern United States'!D$13:D$300,'Eastern United States'!F$13:F$300),0),IFERROR(LOOKUP(D37,Canada!D$13:D$200,Canada!F$13:F$200),0),IFERROR(LOOKUP(D37,'South Asia'!D$11:D$200,'South Asia'!F$11:F$200),0),IFERROR(LOOKUP(D37,'Latin America'!D$11:D$200,'Latin America'!F$11:F$200),0))</f>
        <v>0.9798796108841098</v>
      </c>
      <c r="H37" s="339">
        <f t="shared" si="1"/>
        <v>3.5851593433921081E-2</v>
      </c>
      <c r="P37" s="123"/>
    </row>
    <row r="38" spans="3:16" x14ac:dyDescent="0.15">
      <c r="C38" s="354"/>
      <c r="D38" s="195">
        <v>1831</v>
      </c>
      <c r="E38" s="196">
        <f>SUM(IFERROR(LOOKUP(D38,'United Kingdom'!D$12:D$303,'United Kingdom'!F$12:F$303),0),IFERROR(LOOKUP(D38,'Pennsylvania anthracite'!D$8:D$300,'Pennsylvania anthracite'!F$8:F$300),0),IFERROR(LOOKUP(D38,'France and Belgium'!D$8:D$300,'France and Belgium'!F$8:F$300),0),IFERROR(LOOKUP(D38,'Japan and South Korea'!D$8:D$200,'Japan and South Korea'!F$8:F$200),0),IFERROR(LOOKUP(D38,Australia!D$57:D$248,Australia!F$57:F$248),0),IFERROR(LOOKUP(D38,China!D$11:D$200,China!F$11:F$200),0),IFERROR(LOOKUP(D38,Africa!D$18:D$200,Africa!F$18:F$200),0),IFERROR(LOOKUP(D38,Europe!D$18:D$300,Europe!F$18:F$300),0),IFERROR(LOOKUP(D38,Russia!D$18:D$198,Russia!F$18:F$198),0),IFERROR(LOOKUP(D38,'Western United States'!D$13:D$300,'Western United States'!F$13:F$300),0),IFERROR(LOOKUP(D38,'Eastern United States'!D$13:D$300,'Eastern United States'!F$13:F$300),0),IFERROR(LOOKUP(D38,Canada!D$13:D$200,Canada!F$13:F$200),0),IFERROR(LOOKUP(D38,'South Asia'!D$11:D$200,'South Asia'!F$11:F$200),0),IFERROR(LOOKUP(D38,'Latin America'!D$11:D$200,'Latin America'!F$11:F$200),0))</f>
        <v>1.0181646201081485</v>
      </c>
      <c r="H38" s="339">
        <f t="shared" si="1"/>
        <v>3.7601983478832812E-2</v>
      </c>
      <c r="I38" s="197"/>
    </row>
    <row r="39" spans="3:16" x14ac:dyDescent="0.15">
      <c r="C39" s="354"/>
      <c r="D39" s="195">
        <v>1832</v>
      </c>
      <c r="E39" s="196">
        <f>SUM(IFERROR(LOOKUP(D39,'United Kingdom'!D$12:D$303,'United Kingdom'!F$12:F$303),0),IFERROR(LOOKUP(D39,'Pennsylvania anthracite'!D$8:D$300,'Pennsylvania anthracite'!F$8:F$300),0),IFERROR(LOOKUP(D39,'France and Belgium'!D$8:D$300,'France and Belgium'!F$8:F$300),0),IFERROR(LOOKUP(D39,'Japan and South Korea'!D$8:D$200,'Japan and South Korea'!F$8:F$200),0),IFERROR(LOOKUP(D39,Australia!D$57:D$248,Australia!F$57:F$248),0),IFERROR(LOOKUP(D39,China!D$11:D$200,China!F$11:F$200),0),IFERROR(LOOKUP(D39,Africa!D$18:D$200,Africa!F$18:F$200),0),IFERROR(LOOKUP(D39,Europe!D$18:D$300,Europe!F$18:F$300),0),IFERROR(LOOKUP(D39,Russia!D$18:D$198,Russia!F$18:F$198),0),IFERROR(LOOKUP(D39,'Western United States'!D$13:D$300,'Western United States'!F$13:F$300),0),IFERROR(LOOKUP(D39,'Eastern United States'!D$13:D$300,'Eastern United States'!F$13:F$300),0),IFERROR(LOOKUP(D39,Canada!D$13:D$200,Canada!F$13:F$200),0),IFERROR(LOOKUP(D39,'South Asia'!D$11:D$200,'South Asia'!F$11:F$200),0),IFERROR(LOOKUP(D39,'Latin America'!D$11:D$200,'Latin America'!F$11:F$200),0))</f>
        <v>1.0577366665903241</v>
      </c>
      <c r="H39" s="339">
        <f t="shared" si="1"/>
        <v>3.7412002185514104E-2</v>
      </c>
      <c r="I39" s="197"/>
    </row>
    <row r="40" spans="3:16" x14ac:dyDescent="0.15">
      <c r="C40" s="354"/>
      <c r="D40" s="195">
        <v>1833</v>
      </c>
      <c r="E40" s="196">
        <f>SUM(IFERROR(LOOKUP(D40,'United Kingdom'!D$12:D$303,'United Kingdom'!F$12:F$303),0),IFERROR(LOOKUP(D40,'Pennsylvania anthracite'!D$8:D$300,'Pennsylvania anthracite'!F$8:F$300),0),IFERROR(LOOKUP(D40,'France and Belgium'!D$8:D$300,'France and Belgium'!F$8:F$300),0),IFERROR(LOOKUP(D40,'Japan and South Korea'!D$8:D$200,'Japan and South Korea'!F$8:F$200),0),IFERROR(LOOKUP(D40,Australia!D$57:D$248,Australia!F$57:F$248),0),IFERROR(LOOKUP(D40,China!D$11:D$200,China!F$11:F$200),0),IFERROR(LOOKUP(D40,Africa!D$18:D$200,Africa!F$18:F$200),0),IFERROR(LOOKUP(D40,Europe!D$18:D$300,Europe!F$18:F$300),0),IFERROR(LOOKUP(D40,Russia!D$18:D$198,Russia!F$18:F$198),0),IFERROR(LOOKUP(D40,'Western United States'!D$13:D$300,'Western United States'!F$13:F$300),0),IFERROR(LOOKUP(D40,'Eastern United States'!D$13:D$300,'Eastern United States'!F$13:F$300),0),IFERROR(LOOKUP(D40,Canada!D$13:D$200,Canada!F$13:F$200),0),IFERROR(LOOKUP(D40,'South Asia'!D$11:D$200,'South Asia'!F$11:F$200),0),IFERROR(LOOKUP(D40,'Latin America'!D$11:D$200,'Latin America'!F$11:F$200),0))</f>
        <v>1.0987682674709005</v>
      </c>
      <c r="H40" s="339">
        <f t="shared" si="1"/>
        <v>3.7343270728978473E-2</v>
      </c>
      <c r="I40" s="197"/>
    </row>
    <row r="41" spans="3:16" x14ac:dyDescent="0.15">
      <c r="C41" s="354"/>
      <c r="D41" s="195">
        <v>1834</v>
      </c>
      <c r="E41" s="196">
        <f>SUM(IFERROR(LOOKUP(D41,'United Kingdom'!D$12:D$303,'United Kingdom'!F$12:F$303),0),IFERROR(LOOKUP(D41,'Pennsylvania anthracite'!D$8:D$300,'Pennsylvania anthracite'!F$8:F$300),0),IFERROR(LOOKUP(D41,'France and Belgium'!D$8:D$300,'France and Belgium'!F$8:F$300),0),IFERROR(LOOKUP(D41,'Japan and South Korea'!D$8:D$200,'Japan and South Korea'!F$8:F$200),0),IFERROR(LOOKUP(D41,Australia!D$57:D$248,Australia!F$57:F$248),0),IFERROR(LOOKUP(D41,China!D$11:D$200,China!F$11:F$200),0),IFERROR(LOOKUP(D41,Africa!D$18:D$200,Africa!F$18:F$200),0),IFERROR(LOOKUP(D41,Europe!D$18:D$300,Europe!F$18:F$300),0),IFERROR(LOOKUP(D41,Russia!D$18:D$198,Russia!F$18:F$198),0),IFERROR(LOOKUP(D41,'Western United States'!D$13:D$300,'Western United States'!F$13:F$300),0),IFERROR(LOOKUP(D41,'Eastern United States'!D$13:D$300,'Eastern United States'!F$13:F$300),0),IFERROR(LOOKUP(D41,Canada!D$13:D$200,Canada!F$13:F$200),0),IFERROR(LOOKUP(D41,'South Asia'!D$11:D$200,'South Asia'!F$11:F$200),0),IFERROR(LOOKUP(D41,'Latin America'!D$11:D$200,'Latin America'!F$11:F$200),0))</f>
        <v>1.1409076792624651</v>
      </c>
      <c r="H41" s="339">
        <f t="shared" si="1"/>
        <v>3.6934988305806993E-2</v>
      </c>
      <c r="I41" s="197"/>
    </row>
    <row r="42" spans="3:16" x14ac:dyDescent="0.15">
      <c r="C42" s="354"/>
      <c r="D42" s="195">
        <v>1835</v>
      </c>
      <c r="E42" s="196">
        <f>SUM(IFERROR(LOOKUP(D42,'United Kingdom'!D$12:D$303,'United Kingdom'!F$12:F$303),0),IFERROR(LOOKUP(D42,'Pennsylvania anthracite'!D$8:D$300,'Pennsylvania anthracite'!F$8:F$300),0),IFERROR(LOOKUP(D42,'France and Belgium'!D$8:D$300,'France and Belgium'!F$8:F$300),0),IFERROR(LOOKUP(D42,'Japan and South Korea'!D$8:D$200,'Japan and South Korea'!F$8:F$200),0),IFERROR(LOOKUP(D42,Australia!D$57:D$248,Australia!F$57:F$248),0),IFERROR(LOOKUP(D42,China!D$11:D$200,China!F$11:F$200),0),IFERROR(LOOKUP(D42,Africa!D$18:D$200,Africa!F$18:F$200),0),IFERROR(LOOKUP(D42,Europe!D$18:D$300,Europe!F$18:F$300),0),IFERROR(LOOKUP(D42,Russia!D$18:D$198,Russia!F$18:F$198),0),IFERROR(LOOKUP(D42,'Western United States'!D$13:D$300,'Western United States'!F$13:F$300),0),IFERROR(LOOKUP(D42,'Eastern United States'!D$13:D$300,'Eastern United States'!F$13:F$300),0),IFERROR(LOOKUP(D42,Canada!D$13:D$200,Canada!F$13:F$200),0),IFERROR(LOOKUP(D42,'South Asia'!D$11:D$200,'South Asia'!F$11:F$200),0),IFERROR(LOOKUP(D42,'Latin America'!D$11:D$200,'Latin America'!F$11:F$200),0))</f>
        <v>1.1850794172500876</v>
      </c>
      <c r="H42" s="339">
        <f t="shared" si="1"/>
        <v>3.7273230253311307E-2</v>
      </c>
      <c r="I42" s="197"/>
    </row>
    <row r="43" spans="3:16" x14ac:dyDescent="0.15">
      <c r="C43" s="354"/>
      <c r="D43" s="195">
        <v>1836</v>
      </c>
      <c r="E43" s="196">
        <f>SUM(IFERROR(LOOKUP(D43,'United Kingdom'!D$12:D$303,'United Kingdom'!F$12:F$303),0),IFERROR(LOOKUP(D43,'Pennsylvania anthracite'!D$8:D$300,'Pennsylvania anthracite'!F$8:F$300),0),IFERROR(LOOKUP(D43,'France and Belgium'!D$8:D$300,'France and Belgium'!F$8:F$300),0),IFERROR(LOOKUP(D43,'Japan and South Korea'!D$8:D$200,'Japan and South Korea'!F$8:F$200),0),IFERROR(LOOKUP(D43,Australia!D$57:D$248,Australia!F$57:F$248),0),IFERROR(LOOKUP(D43,China!D$11:D$200,China!F$11:F$200),0),IFERROR(LOOKUP(D43,Africa!D$18:D$200,Africa!F$18:F$200),0),IFERROR(LOOKUP(D43,Europe!D$18:D$300,Europe!F$18:F$300),0),IFERROR(LOOKUP(D43,Russia!D$18:D$198,Russia!F$18:F$198),0),IFERROR(LOOKUP(D43,'Western United States'!D$13:D$300,'Western United States'!F$13:F$300),0),IFERROR(LOOKUP(D43,'Eastern United States'!D$13:D$300,'Eastern United States'!F$13:F$300),0),IFERROR(LOOKUP(D43,Canada!D$13:D$200,Canada!F$13:F$200),0),IFERROR(LOOKUP(D43,'South Asia'!D$11:D$200,'South Asia'!F$11:F$200),0),IFERROR(LOOKUP(D43,'Latin America'!D$11:D$200,'Latin America'!F$11:F$200),0))</f>
        <v>1.2316131353642357</v>
      </c>
      <c r="H43" s="339">
        <f t="shared" si="1"/>
        <v>3.7782739383001362E-2</v>
      </c>
      <c r="I43" s="197"/>
    </row>
    <row r="44" spans="3:16" x14ac:dyDescent="0.15">
      <c r="C44" s="354"/>
      <c r="D44" s="195">
        <v>1837</v>
      </c>
      <c r="E44" s="196">
        <f>SUM(IFERROR(LOOKUP(D44,'United Kingdom'!D$12:D$303,'United Kingdom'!F$12:F$303),0),IFERROR(LOOKUP(D44,'Pennsylvania anthracite'!D$8:D$300,'Pennsylvania anthracite'!F$8:F$300),0),IFERROR(LOOKUP(D44,'France and Belgium'!D$8:D$300,'France and Belgium'!F$8:F$300),0),IFERROR(LOOKUP(D44,'Japan and South Korea'!D$8:D$200,'Japan and South Korea'!F$8:F$200),0),IFERROR(LOOKUP(D44,Australia!D$57:D$248,Australia!F$57:F$248),0),IFERROR(LOOKUP(D44,China!D$11:D$200,China!F$11:F$200),0),IFERROR(LOOKUP(D44,Africa!D$18:D$200,Africa!F$18:F$200),0),IFERROR(LOOKUP(D44,Europe!D$18:D$300,Europe!F$18:F$300),0),IFERROR(LOOKUP(D44,Russia!D$18:D$198,Russia!F$18:F$198),0),IFERROR(LOOKUP(D44,'Western United States'!D$13:D$300,'Western United States'!F$13:F$300),0),IFERROR(LOOKUP(D44,'Eastern United States'!D$13:D$300,'Eastern United States'!F$13:F$300),0),IFERROR(LOOKUP(D44,Canada!D$13:D$200,Canada!F$13:F$200),0),IFERROR(LOOKUP(D44,'South Asia'!D$11:D$200,'South Asia'!F$11:F$200),0),IFERROR(LOOKUP(D44,'Latin America'!D$11:D$200,'Latin America'!F$11:F$200),0))</f>
        <v>1.2809523995739289</v>
      </c>
      <c r="H44" s="339">
        <f t="shared" si="1"/>
        <v>3.8517640644652018E-2</v>
      </c>
      <c r="I44" s="197"/>
    </row>
    <row r="45" spans="3:16" x14ac:dyDescent="0.15">
      <c r="C45" s="354"/>
      <c r="D45" s="195">
        <v>1838</v>
      </c>
      <c r="E45" s="196">
        <f>SUM(IFERROR(LOOKUP(D45,'United Kingdom'!D$12:D$303,'United Kingdom'!F$12:F$303),0),IFERROR(LOOKUP(D45,'Pennsylvania anthracite'!D$8:D$300,'Pennsylvania anthracite'!F$8:F$300),0),IFERROR(LOOKUP(D45,'France and Belgium'!D$8:D$300,'France and Belgium'!F$8:F$300),0),IFERROR(LOOKUP(D45,'Japan and South Korea'!D$8:D$200,'Japan and South Korea'!F$8:F$200),0),IFERROR(LOOKUP(D45,Australia!D$57:D$248,Australia!F$57:F$248),0),IFERROR(LOOKUP(D45,China!D$11:D$200,China!F$11:F$200),0),IFERROR(LOOKUP(D45,Africa!D$18:D$200,Africa!F$18:F$200),0),IFERROR(LOOKUP(D45,Europe!D$18:D$300,Europe!F$18:F$300),0),IFERROR(LOOKUP(D45,Russia!D$18:D$198,Russia!F$18:F$198),0),IFERROR(LOOKUP(D45,'Western United States'!D$13:D$300,'Western United States'!F$13:F$300),0),IFERROR(LOOKUP(D45,'Eastern United States'!D$13:D$300,'Eastern United States'!F$13:F$300),0),IFERROR(LOOKUP(D45,Canada!D$13:D$200,Canada!F$13:F$200),0),IFERROR(LOOKUP(D45,'South Asia'!D$11:D$200,'South Asia'!F$11:F$200),0),IFERROR(LOOKUP(D45,'Latin America'!D$11:D$200,'Latin America'!F$11:F$200),0))</f>
        <v>1.3321837092188287</v>
      </c>
      <c r="H45" s="339">
        <f t="shared" si="1"/>
        <v>3.8456640244415641E-2</v>
      </c>
      <c r="I45" s="197"/>
    </row>
    <row r="46" spans="3:16" x14ac:dyDescent="0.15">
      <c r="C46" s="354"/>
      <c r="D46" s="195">
        <v>1839</v>
      </c>
      <c r="E46" s="196">
        <f>SUM(IFERROR(LOOKUP(D46,'United Kingdom'!D$12:D$303,'United Kingdom'!F$12:F$303),0),IFERROR(LOOKUP(D46,'Pennsylvania anthracite'!D$8:D$300,'Pennsylvania anthracite'!F$8:F$300),0),IFERROR(LOOKUP(D46,'France and Belgium'!D$8:D$300,'France and Belgium'!F$8:F$300),0),IFERROR(LOOKUP(D46,'Japan and South Korea'!D$8:D$200,'Japan and South Korea'!F$8:F$200),0),IFERROR(LOOKUP(D46,Australia!D$57:D$248,Australia!F$57:F$248),0),IFERROR(LOOKUP(D46,China!D$11:D$200,China!F$11:F$200),0),IFERROR(LOOKUP(D46,Africa!D$18:D$200,Africa!F$18:F$200),0),IFERROR(LOOKUP(D46,Europe!D$18:D$300,Europe!F$18:F$300),0),IFERROR(LOOKUP(D46,Russia!D$18:D$198,Russia!F$18:F$198),0),IFERROR(LOOKUP(D46,'Western United States'!D$13:D$300,'Western United States'!F$13:F$300),0),IFERROR(LOOKUP(D46,'Eastern United States'!D$13:D$300,'Eastern United States'!F$13:F$300),0),IFERROR(LOOKUP(D46,Canada!D$13:D$200,Canada!F$13:F$200),0),IFERROR(LOOKUP(D46,'South Asia'!D$11:D$200,'South Asia'!F$11:F$200),0),IFERROR(LOOKUP(D46,'Latin America'!D$11:D$200,'Latin America'!F$11:F$200),0))</f>
        <v>1.385524281606811</v>
      </c>
      <c r="H46" s="339">
        <f t="shared" si="1"/>
        <v>3.849847533969053E-2</v>
      </c>
      <c r="I46" s="197"/>
    </row>
    <row r="47" spans="3:16" x14ac:dyDescent="0.15">
      <c r="C47" s="354"/>
      <c r="D47" s="195">
        <v>1840</v>
      </c>
      <c r="E47" s="196">
        <f>SUM(IFERROR(LOOKUP(D47,'United Kingdom'!D$12:D$303,'United Kingdom'!F$12:F$303),0),IFERROR(LOOKUP(D47,'Pennsylvania anthracite'!D$8:D$300,'Pennsylvania anthracite'!F$8:F$300),0),IFERROR(LOOKUP(D47,'France and Belgium'!D$8:D$300,'France and Belgium'!F$8:F$300),0),IFERROR(LOOKUP(D47,'Japan and South Korea'!D$8:D$200,'Japan and South Korea'!F$8:F$200),0),IFERROR(LOOKUP(D47,Australia!D$57:D$248,Australia!F$57:F$248),0),IFERROR(LOOKUP(D47,China!D$11:D$200,China!F$11:F$200),0),IFERROR(LOOKUP(D47,Africa!D$18:D$200,Africa!F$18:F$200),0),IFERROR(LOOKUP(D47,Europe!D$18:D$300,Europe!F$18:F$300),0),IFERROR(LOOKUP(D47,Russia!D$18:D$198,Russia!F$18:F$198),0),IFERROR(LOOKUP(D47,'Western United States'!D$13:D$300,'Western United States'!F$13:F$300),0),IFERROR(LOOKUP(D47,'Eastern United States'!D$13:D$300,'Eastern United States'!F$13:F$300),0),IFERROR(LOOKUP(D47,Canada!D$13:D$200,Canada!F$13:F$200),0),IFERROR(LOOKUP(D47,'South Asia'!D$11:D$200,'South Asia'!F$11:F$200),0),IFERROR(LOOKUP(D47,'Latin America'!D$11:D$200,'Latin America'!F$11:F$200),0))</f>
        <v>1.4414168054651939</v>
      </c>
      <c r="H47" s="339">
        <f t="shared" si="1"/>
        <v>3.8776101157183662E-2</v>
      </c>
      <c r="I47" s="197"/>
    </row>
    <row r="48" spans="3:16" x14ac:dyDescent="0.15">
      <c r="C48" s="354"/>
      <c r="D48" s="195">
        <v>1841</v>
      </c>
      <c r="E48" s="196">
        <f>SUM(IFERROR(LOOKUP(D48,'United Kingdom'!D$12:D$303,'United Kingdom'!F$12:F$303),0),IFERROR(LOOKUP(D48,'Pennsylvania anthracite'!D$8:D$300,'Pennsylvania anthracite'!F$8:F$300),0),IFERROR(LOOKUP(D48,'France and Belgium'!D$8:D$300,'France and Belgium'!F$8:F$300),0),IFERROR(LOOKUP(D48,'Japan and South Korea'!D$8:D$200,'Japan and South Korea'!F$8:F$200),0),IFERROR(LOOKUP(D48,Australia!D$57:D$248,Australia!F$57:F$248),0),IFERROR(LOOKUP(D48,China!D$11:D$200,China!F$11:F$200),0),IFERROR(LOOKUP(D48,Africa!D$18:D$200,Africa!F$18:F$200),0),IFERROR(LOOKUP(D48,Europe!D$18:D$300,Europe!F$18:F$300),0),IFERROR(LOOKUP(D48,Russia!D$18:D$198,Russia!F$18:F$198),0),IFERROR(LOOKUP(D48,'Western United States'!D$13:D$300,'Western United States'!F$13:F$300),0),IFERROR(LOOKUP(D48,'Eastern United States'!D$13:D$300,'Eastern United States'!F$13:F$300),0),IFERROR(LOOKUP(D48,Canada!D$13:D$200,Canada!F$13:F$200),0),IFERROR(LOOKUP(D48,'South Asia'!D$11:D$200,'South Asia'!F$11:F$200),0),IFERROR(LOOKUP(D48,'Latin America'!D$11:D$200,'Latin America'!F$11:F$200),0))</f>
        <v>1.4993362957470102</v>
      </c>
      <c r="H48" s="339">
        <f t="shared" si="1"/>
        <v>3.8630086156194343E-2</v>
      </c>
      <c r="I48" s="197"/>
    </row>
    <row r="49" spans="3:10" x14ac:dyDescent="0.15">
      <c r="C49" s="354"/>
      <c r="D49" s="195">
        <v>1842</v>
      </c>
      <c r="E49" s="196">
        <f>SUM(IFERROR(LOOKUP(D49,'United Kingdom'!D$12:D$303,'United Kingdom'!F$12:F$303),0),IFERROR(LOOKUP(D49,'Pennsylvania anthracite'!D$8:D$300,'Pennsylvania anthracite'!F$8:F$300),0),IFERROR(LOOKUP(D49,'France and Belgium'!D$8:D$300,'France and Belgium'!F$8:F$300),0),IFERROR(LOOKUP(D49,'Japan and South Korea'!D$8:D$200,'Japan and South Korea'!F$8:F$200),0),IFERROR(LOOKUP(D49,Australia!D$57:D$248,Australia!F$57:F$248),0),IFERROR(LOOKUP(D49,China!D$11:D$200,China!F$11:F$200),0),IFERROR(LOOKUP(D49,Africa!D$18:D$200,Africa!F$18:F$200),0),IFERROR(LOOKUP(D49,Europe!D$18:D$300,Europe!F$18:F$300),0),IFERROR(LOOKUP(D49,Russia!D$18:D$198,Russia!F$18:F$198),0),IFERROR(LOOKUP(D49,'Western United States'!D$13:D$300,'Western United States'!F$13:F$300),0),IFERROR(LOOKUP(D49,'Eastern United States'!D$13:D$300,'Eastern United States'!F$13:F$300),0),IFERROR(LOOKUP(D49,Canada!D$13:D$200,Canada!F$13:F$200),0),IFERROR(LOOKUP(D49,'South Asia'!D$11:D$200,'South Asia'!F$11:F$200),0),IFERROR(LOOKUP(D49,'Latin America'!D$11:D$200,'Latin America'!F$11:F$200),0))</f>
        <v>1.5590095388960998</v>
      </c>
      <c r="H49" s="339">
        <f t="shared" si="1"/>
        <v>3.8276381035707407E-2</v>
      </c>
      <c r="I49" s="197"/>
    </row>
    <row r="50" spans="3:10" x14ac:dyDescent="0.15">
      <c r="C50" s="354"/>
      <c r="D50" s="195">
        <v>1843</v>
      </c>
      <c r="E50" s="196">
        <f>SUM(IFERROR(LOOKUP(D50,'United Kingdom'!D$12:D$303,'United Kingdom'!F$12:F$303),0),IFERROR(LOOKUP(D50,'Pennsylvania anthracite'!D$8:D$300,'Pennsylvania anthracite'!F$8:F$300),0),IFERROR(LOOKUP(D50,'France and Belgium'!D$8:D$300,'France and Belgium'!F$8:F$300),0),IFERROR(LOOKUP(D50,'Japan and South Korea'!D$8:D$200,'Japan and South Korea'!F$8:F$200),0),IFERROR(LOOKUP(D50,Australia!D$57:D$248,Australia!F$57:F$248),0),IFERROR(LOOKUP(D50,China!D$11:D$200,China!F$11:F$200),0),IFERROR(LOOKUP(D50,Africa!D$18:D$200,Africa!F$18:F$200),0),IFERROR(LOOKUP(D50,Europe!D$18:D$300,Europe!F$18:F$300),0),IFERROR(LOOKUP(D50,Russia!D$18:D$198,Russia!F$18:F$198),0),IFERROR(LOOKUP(D50,'Western United States'!D$13:D$300,'Western United States'!F$13:F$300),0),IFERROR(LOOKUP(D50,'Eastern United States'!D$13:D$300,'Eastern United States'!F$13:F$300),0),IFERROR(LOOKUP(D50,Canada!D$13:D$200,Canada!F$13:F$200),0),IFERROR(LOOKUP(D50,'South Asia'!D$11:D$200,'South Asia'!F$11:F$200),0),IFERROR(LOOKUP(D50,'Latin America'!D$11:D$200,'Latin America'!F$11:F$200),0))</f>
        <v>1.6204991936962199</v>
      </c>
      <c r="H50" s="339">
        <f t="shared" si="1"/>
        <v>3.7944884538860801E-2</v>
      </c>
      <c r="I50" s="197"/>
    </row>
    <row r="51" spans="3:10" x14ac:dyDescent="0.15">
      <c r="C51" s="354"/>
      <c r="D51" s="195">
        <v>1844</v>
      </c>
      <c r="E51" s="196">
        <f>SUM(IFERROR(LOOKUP(D51,'United Kingdom'!D$12:D$303,'United Kingdom'!F$12:F$303),0),IFERROR(LOOKUP(D51,'Pennsylvania anthracite'!D$8:D$300,'Pennsylvania anthracite'!F$8:F$300),0),IFERROR(LOOKUP(D51,'France and Belgium'!D$8:D$300,'France and Belgium'!F$8:F$300),0),IFERROR(LOOKUP(D51,'Japan and South Korea'!D$8:D$200,'Japan and South Korea'!F$8:F$200),0),IFERROR(LOOKUP(D51,Australia!D$57:D$248,Australia!F$57:F$248),0),IFERROR(LOOKUP(D51,China!D$11:D$200,China!F$11:F$200),0),IFERROR(LOOKUP(D51,Africa!D$18:D$200,Africa!F$18:F$200),0),IFERROR(LOOKUP(D51,Europe!D$18:D$300,Europe!F$18:F$300),0),IFERROR(LOOKUP(D51,Russia!D$18:D$198,Russia!F$18:F$198),0),IFERROR(LOOKUP(D51,'Western United States'!D$13:D$300,'Western United States'!F$13:F$300),0),IFERROR(LOOKUP(D51,'Eastern United States'!D$13:D$300,'Eastern United States'!F$13:F$300),0),IFERROR(LOOKUP(D51,Canada!D$13:D$200,Canada!F$13:F$200),0),IFERROR(LOOKUP(D51,'South Asia'!D$11:D$200,'South Asia'!F$11:F$200),0),IFERROR(LOOKUP(D51,'Latin America'!D$11:D$200,'Latin America'!F$11:F$200),0))</f>
        <v>1.6850965582117543</v>
      </c>
      <c r="H51" s="339">
        <f t="shared" si="1"/>
        <v>3.8334518102681292E-2</v>
      </c>
      <c r="I51" s="197"/>
    </row>
    <row r="52" spans="3:10" x14ac:dyDescent="0.15">
      <c r="C52" s="354"/>
      <c r="D52" s="195">
        <v>1845</v>
      </c>
      <c r="E52" s="196">
        <f>SUM(IFERROR(LOOKUP(D52,'United Kingdom'!D$12:D$303,'United Kingdom'!F$12:F$303),0),IFERROR(LOOKUP(D52,'Pennsylvania anthracite'!D$8:D$300,'Pennsylvania anthracite'!F$8:F$300),0),IFERROR(LOOKUP(D52,'France and Belgium'!D$8:D$300,'France and Belgium'!F$8:F$300),0),IFERROR(LOOKUP(D52,'Japan and South Korea'!D$8:D$200,'Japan and South Korea'!F$8:F$200),0),IFERROR(LOOKUP(D52,Australia!D$57:D$248,Australia!F$57:F$248),0),IFERROR(LOOKUP(D52,China!D$11:D$200,China!F$11:F$200),0),IFERROR(LOOKUP(D52,Africa!D$18:D$200,Africa!F$18:F$200),0),IFERROR(LOOKUP(D52,Europe!D$18:D$300,Europe!F$18:F$300),0),IFERROR(LOOKUP(D52,Russia!D$18:D$198,Russia!F$18:F$198),0),IFERROR(LOOKUP(D52,'Western United States'!D$13:D$300,'Western United States'!F$13:F$300),0),IFERROR(LOOKUP(D52,'Eastern United States'!D$13:D$300,'Eastern United States'!F$13:F$300),0),IFERROR(LOOKUP(D52,Canada!D$13:D$200,Canada!F$13:F$200),0),IFERROR(LOOKUP(D52,'South Asia'!D$11:D$200,'South Asia'!F$11:F$200),0),IFERROR(LOOKUP(D52,'Latin America'!D$11:D$200,'Latin America'!F$11:F$200),0))</f>
        <v>1.755692035687044</v>
      </c>
      <c r="H52" s="339">
        <f t="shared" si="1"/>
        <v>4.0209487791897369E-2</v>
      </c>
      <c r="I52" s="197"/>
    </row>
    <row r="53" spans="3:10" x14ac:dyDescent="0.15">
      <c r="C53" s="354"/>
      <c r="D53" s="195">
        <v>1846</v>
      </c>
      <c r="E53" s="196">
        <f>SUM(IFERROR(LOOKUP(D53,'United Kingdom'!D$12:D$303,'United Kingdom'!F$12:F$303),0),IFERROR(LOOKUP(D53,'Pennsylvania anthracite'!D$8:D$300,'Pennsylvania anthracite'!F$8:F$300),0),IFERROR(LOOKUP(D53,'France and Belgium'!D$8:D$300,'France and Belgium'!F$8:F$300),0),IFERROR(LOOKUP(D53,'Japan and South Korea'!D$8:D$200,'Japan and South Korea'!F$8:F$200),0),IFERROR(LOOKUP(D53,Australia!D$57:D$248,Australia!F$57:F$248),0),IFERROR(LOOKUP(D53,China!D$11:D$200,China!F$11:F$200),0),IFERROR(LOOKUP(D53,Africa!D$18:D$200,Africa!F$18:F$200),0),IFERROR(LOOKUP(D53,Europe!D$18:D$300,Europe!F$18:F$300),0),IFERROR(LOOKUP(D53,Russia!D$18:D$198,Russia!F$18:F$198),0),IFERROR(LOOKUP(D53,'Western United States'!D$13:D$300,'Western United States'!F$13:F$300),0),IFERROR(LOOKUP(D53,'Eastern United States'!D$13:D$300,'Eastern United States'!F$13:F$300),0),IFERROR(LOOKUP(D53,Canada!D$13:D$200,Canada!F$13:F$200),0),IFERROR(LOOKUP(D53,'South Asia'!D$11:D$200,'South Asia'!F$11:F$200),0),IFERROR(LOOKUP(D53,'Latin America'!D$11:D$200,'Latin America'!F$11:F$200),0))</f>
        <v>1.8296265433784835</v>
      </c>
      <c r="H53" s="339">
        <f t="shared" si="1"/>
        <v>4.0409616901882162E-2</v>
      </c>
      <c r="I53" s="197"/>
      <c r="J53" s="339"/>
    </row>
    <row r="54" spans="3:10" x14ac:dyDescent="0.15">
      <c r="C54" s="354"/>
      <c r="D54" s="195">
        <v>1847</v>
      </c>
      <c r="E54" s="196">
        <f>SUM(IFERROR(LOOKUP(D54,'United Kingdom'!D$12:D$303,'United Kingdom'!F$12:F$303),0),IFERROR(LOOKUP(D54,'Pennsylvania anthracite'!D$8:D$300,'Pennsylvania anthracite'!F$8:F$300),0),IFERROR(LOOKUP(D54,'France and Belgium'!D$8:D$300,'France and Belgium'!F$8:F$300),0),IFERROR(LOOKUP(D54,'Japan and South Korea'!D$8:D$200,'Japan and South Korea'!F$8:F$200),0),IFERROR(LOOKUP(D54,Australia!D$57:D$248,Australia!F$57:F$248),0),IFERROR(LOOKUP(D54,China!D$11:D$200,China!F$11:F$200),0),IFERROR(LOOKUP(D54,Africa!D$18:D$200,Africa!F$18:F$200),0),IFERROR(LOOKUP(D54,Europe!D$18:D$300,Europe!F$18:F$300),0),IFERROR(LOOKUP(D54,Russia!D$18:D$198,Russia!F$18:F$198),0),IFERROR(LOOKUP(D54,'Western United States'!D$13:D$300,'Western United States'!F$13:F$300),0),IFERROR(LOOKUP(D54,'Eastern United States'!D$13:D$300,'Eastern United States'!F$13:F$300),0),IFERROR(LOOKUP(D54,Canada!D$13:D$200,Canada!F$13:F$200),0),IFERROR(LOOKUP(D54,'South Asia'!D$11:D$200,'South Asia'!F$11:F$200),0),IFERROR(LOOKUP(D54,'Latin America'!D$11:D$200,'Latin America'!F$11:F$200),0))</f>
        <v>1.907202246812717</v>
      </c>
      <c r="H54" s="339">
        <f t="shared" si="1"/>
        <v>4.0675132154377791E-2</v>
      </c>
      <c r="I54" s="197"/>
      <c r="J54" s="339"/>
    </row>
    <row r="55" spans="3:10" x14ac:dyDescent="0.15">
      <c r="C55" s="354"/>
      <c r="D55" s="195">
        <v>1848</v>
      </c>
      <c r="E55" s="196">
        <f>SUM(IFERROR(LOOKUP(D55,'United Kingdom'!D$12:D$303,'United Kingdom'!F$12:F$303),0),IFERROR(LOOKUP(D55,'Pennsylvania anthracite'!D$8:D$300,'Pennsylvania anthracite'!F$8:F$300),0),IFERROR(LOOKUP(D55,'France and Belgium'!D$8:D$300,'France and Belgium'!F$8:F$300),0),IFERROR(LOOKUP(D55,'Japan and South Korea'!D$8:D$200,'Japan and South Korea'!F$8:F$200),0),IFERROR(LOOKUP(D55,Australia!D$57:D$248,Australia!F$57:F$248),0),IFERROR(LOOKUP(D55,China!D$11:D$200,China!F$11:F$200),0),IFERROR(LOOKUP(D55,Africa!D$18:D$200,Africa!F$18:F$200),0),IFERROR(LOOKUP(D55,Europe!D$18:D$300,Europe!F$18:F$300),0),IFERROR(LOOKUP(D55,Russia!D$18:D$198,Russia!F$18:F$198),0),IFERROR(LOOKUP(D55,'Western United States'!D$13:D$300,'Western United States'!F$13:F$300),0),IFERROR(LOOKUP(D55,'Eastern United States'!D$13:D$300,'Eastern United States'!F$13:F$300),0),IFERROR(LOOKUP(D55,Canada!D$13:D$200,Canada!F$13:F$200),0),IFERROR(LOOKUP(D55,'South Asia'!D$11:D$200,'South Asia'!F$11:F$200),0),IFERROR(LOOKUP(D55,'Latin America'!D$11:D$200,'Latin America'!F$11:F$200),0))</f>
        <v>1.9859372277661489</v>
      </c>
      <c r="H55" s="339">
        <f t="shared" si="1"/>
        <v>3.9646258629229547E-2</v>
      </c>
      <c r="I55" s="197"/>
      <c r="J55" s="339"/>
    </row>
    <row r="56" spans="3:10" x14ac:dyDescent="0.15">
      <c r="C56" s="354"/>
      <c r="D56" s="195">
        <v>1849</v>
      </c>
      <c r="E56" s="196">
        <f>SUM(IFERROR(LOOKUP(D56,'United Kingdom'!D$12:D$303,'United Kingdom'!F$12:F$303),0),IFERROR(LOOKUP(D56,'Pennsylvania anthracite'!D$8:D$300,'Pennsylvania anthracite'!F$8:F$300),0),IFERROR(LOOKUP(D56,'France and Belgium'!D$8:D$300,'France and Belgium'!F$8:F$300),0),IFERROR(LOOKUP(D56,'Japan and South Korea'!D$8:D$200,'Japan and South Korea'!F$8:F$200),0),IFERROR(LOOKUP(D56,Australia!D$57:D$248,Australia!F$57:F$248),0),IFERROR(LOOKUP(D56,China!D$11:D$200,China!F$11:F$200),0),IFERROR(LOOKUP(D56,Africa!D$18:D$200,Africa!F$18:F$200),0),IFERROR(LOOKUP(D56,Europe!D$18:D$300,Europe!F$18:F$300),0),IFERROR(LOOKUP(D56,Russia!D$18:D$198,Russia!F$18:F$198),0),IFERROR(LOOKUP(D56,'Western United States'!D$13:D$300,'Western United States'!F$13:F$300),0),IFERROR(LOOKUP(D56,'Eastern United States'!D$13:D$300,'Eastern United States'!F$13:F$300),0),IFERROR(LOOKUP(D56,Canada!D$13:D$200,Canada!F$13:F$200),0),IFERROR(LOOKUP(D56,'South Asia'!D$11:D$200,'South Asia'!F$11:F$200),0),IFERROR(LOOKUP(D56,'Latin America'!D$11:D$200,'Latin America'!F$11:F$200),0))</f>
        <v>2.0685454796428155</v>
      </c>
      <c r="H56" s="339">
        <f t="shared" si="1"/>
        <v>3.9935429358280761E-2</v>
      </c>
      <c r="I56" s="197"/>
      <c r="J56" s="339"/>
    </row>
    <row r="57" spans="3:10" x14ac:dyDescent="0.15">
      <c r="C57" s="354"/>
      <c r="D57" s="195">
        <v>1850</v>
      </c>
      <c r="E57" s="196">
        <f>SUM(IFERROR(LOOKUP(D57,'United Kingdom'!D$12:D$303,'United Kingdom'!F$12:F$303),0),IFERROR(LOOKUP(D57,'Pennsylvania anthracite'!D$8:D$300,'Pennsylvania anthracite'!F$8:F$300),0),IFERROR(LOOKUP(D57,'France and Belgium'!D$8:D$300,'France and Belgium'!F$8:F$300),0),IFERROR(LOOKUP(D57,'Japan and South Korea'!D$8:D$200,'Japan and South Korea'!F$8:F$200),0),IFERROR(LOOKUP(D57,Australia!D$57:D$248,Australia!F$57:F$248),0),IFERROR(LOOKUP(D57,China!D$11:D$200,China!F$11:F$200),0),IFERROR(LOOKUP(D57,Africa!D$18:D$200,Africa!F$18:F$200),0),IFERROR(LOOKUP(D57,Europe!D$18:D$300,Europe!F$18:F$300),0),IFERROR(LOOKUP(D57,Russia!D$18:D$198,Russia!F$18:F$198),0),IFERROR(LOOKUP(D57,'Western United States'!D$13:D$300,'Western United States'!F$13:F$300),0),IFERROR(LOOKUP(D57,'Eastern United States'!D$13:D$300,'Eastern United States'!F$13:F$300),0),IFERROR(LOOKUP(D57,Canada!D$13:D$200,Canada!F$13:F$200),0),IFERROR(LOOKUP(D57,'South Asia'!D$11:D$200,'South Asia'!F$11:F$200),0),IFERROR(LOOKUP(D57,'Latin America'!D$11:D$200,'Latin America'!F$11:F$200),0))</f>
        <v>2.1563221411455058</v>
      </c>
      <c r="H57" s="339">
        <f t="shared" si="1"/>
        <v>4.070665501586912E-2</v>
      </c>
      <c r="I57" s="197">
        <f>-INTERCEPT(H$32:H57,E$32:E57)/SLOPE(H$32:H57,E$32:E57)</f>
        <v>2.637785993271748</v>
      </c>
      <c r="J57" s="339"/>
    </row>
    <row r="58" spans="3:10" x14ac:dyDescent="0.15">
      <c r="C58" s="354"/>
      <c r="D58" s="195">
        <v>1851</v>
      </c>
      <c r="E58" s="196">
        <f>SUM(IFERROR(LOOKUP(D58,'United Kingdom'!D$12:D$303,'United Kingdom'!F$12:F$303),0),IFERROR(LOOKUP(D58,'Pennsylvania anthracite'!D$8:D$300,'Pennsylvania anthracite'!F$8:F$300),0),IFERROR(LOOKUP(D58,'France and Belgium'!D$8:D$300,'France and Belgium'!F$8:F$300),0),IFERROR(LOOKUP(D58,'Japan and South Korea'!D$8:D$200,'Japan and South Korea'!F$8:F$200),0),IFERROR(LOOKUP(D58,Australia!D$57:D$248,Australia!F$57:F$248),0),IFERROR(LOOKUP(D58,China!D$11:D$200,China!F$11:F$200),0),IFERROR(LOOKUP(D58,Africa!D$18:D$200,Africa!F$18:F$200),0),IFERROR(LOOKUP(D58,Europe!D$18:D$300,Europe!F$18:F$300),0),IFERROR(LOOKUP(D58,Russia!D$18:D$198,Russia!F$18:F$198),0),IFERROR(LOOKUP(D58,'Western United States'!D$13:D$300,'Western United States'!F$13:F$300),0),IFERROR(LOOKUP(D58,'Eastern United States'!D$13:D$300,'Eastern United States'!F$13:F$300),0),IFERROR(LOOKUP(D58,Canada!D$13:D$200,Canada!F$13:F$200),0),IFERROR(LOOKUP(D58,'South Asia'!D$11:D$200,'South Asia'!F$11:F$200),0),IFERROR(LOOKUP(D58,'Latin America'!D$11:D$200,'Latin America'!F$11:F$200),0))</f>
        <v>2.2505969331597941</v>
      </c>
      <c r="H58" s="339">
        <f t="shared" si="1"/>
        <v>4.1888794312861855E-2</v>
      </c>
      <c r="I58" s="197">
        <f>-INTERCEPT(H$32:H58,E$32:E58)/SLOPE(H$32:H58,E$32:E58)</f>
        <v>2.6882492489853393</v>
      </c>
      <c r="J58" s="339"/>
    </row>
    <row r="59" spans="3:10" x14ac:dyDescent="0.15">
      <c r="C59" s="354"/>
      <c r="D59" s="195">
        <v>1852</v>
      </c>
      <c r="E59" s="196">
        <f>SUM(IFERROR(LOOKUP(D59,'United Kingdom'!D$12:D$303,'United Kingdom'!F$12:F$303),0),IFERROR(LOOKUP(D59,'Pennsylvania anthracite'!D$8:D$300,'Pennsylvania anthracite'!F$8:F$300),0),IFERROR(LOOKUP(D59,'France and Belgium'!D$8:D$300,'France and Belgium'!F$8:F$300),0),IFERROR(LOOKUP(D59,'Japan and South Korea'!D$8:D$200,'Japan and South Korea'!F$8:F$200),0),IFERROR(LOOKUP(D59,Australia!D$57:D$248,Australia!F$57:F$248),0),IFERROR(LOOKUP(D59,China!D$11:D$200,China!F$11:F$200),0),IFERROR(LOOKUP(D59,Africa!D$18:D$200,Africa!F$18:F$200),0),IFERROR(LOOKUP(D59,Europe!D$18:D$300,Europe!F$18:F$300),0),IFERROR(LOOKUP(D59,Russia!D$18:D$198,Russia!F$18:F$198),0),IFERROR(LOOKUP(D59,'Western United States'!D$13:D$300,'Western United States'!F$13:F$300),0),IFERROR(LOOKUP(D59,'Eastern United States'!D$13:D$300,'Eastern United States'!F$13:F$300),0),IFERROR(LOOKUP(D59,Canada!D$13:D$200,Canada!F$13:F$200),0),IFERROR(LOOKUP(D59,'South Asia'!D$11:D$200,'South Asia'!F$11:F$200),0),IFERROR(LOOKUP(D59,'Latin America'!D$11:D$200,'Latin America'!F$11:F$200),0))</f>
        <v>2.3511092510525051</v>
      </c>
      <c r="H59" s="339">
        <f t="shared" si="1"/>
        <v>4.2751019693242798E-2</v>
      </c>
      <c r="I59" s="197">
        <f>-INTERCEPT(H$32:H59,E$32:E59)/SLOPE(H$32:H59,E$32:E59)</f>
        <v>2.7511686922928922</v>
      </c>
      <c r="J59" s="339"/>
    </row>
    <row r="60" spans="3:10" x14ac:dyDescent="0.15">
      <c r="C60" s="354"/>
      <c r="D60" s="195">
        <v>1853</v>
      </c>
      <c r="E60" s="196">
        <f>SUM(IFERROR(LOOKUP(D60,'United Kingdom'!D$12:D$303,'United Kingdom'!F$12:F$303),0),IFERROR(LOOKUP(D60,'Pennsylvania anthracite'!D$8:D$300,'Pennsylvania anthracite'!F$8:F$300),0),IFERROR(LOOKUP(D60,'France and Belgium'!D$8:D$300,'France and Belgium'!F$8:F$300),0),IFERROR(LOOKUP(D60,'Japan and South Korea'!D$8:D$200,'Japan and South Korea'!F$8:F$200),0),IFERROR(LOOKUP(D60,Australia!D$57:D$248,Australia!F$57:F$248),0),IFERROR(LOOKUP(D60,China!D$11:D$200,China!F$11:F$200),0),IFERROR(LOOKUP(D60,Africa!D$18:D$200,Africa!F$18:F$200),0),IFERROR(LOOKUP(D60,Europe!D$18:D$300,Europe!F$18:F$300),0),IFERROR(LOOKUP(D60,Russia!D$18:D$198,Russia!F$18:F$198),0),IFERROR(LOOKUP(D60,'Western United States'!D$13:D$300,'Western United States'!F$13:F$300),0),IFERROR(LOOKUP(D60,'Eastern United States'!D$13:D$300,'Eastern United States'!F$13:F$300),0),IFERROR(LOOKUP(D60,Canada!D$13:D$200,Canada!F$13:F$200),0),IFERROR(LOOKUP(D60,'South Asia'!D$11:D$200,'South Asia'!F$11:F$200),0),IFERROR(LOOKUP(D60,'Latin America'!D$11:D$200,'Latin America'!F$11:F$200),0))</f>
        <v>2.458356911220402</v>
      </c>
      <c r="H60" s="339">
        <f t="shared" si="1"/>
        <v>4.362574843319067E-2</v>
      </c>
      <c r="I60" s="197">
        <f>-INTERCEPT(H$32:H60,E$32:E60)/SLOPE(H$32:H60,E$32:E60)</f>
        <v>2.8265177021667558</v>
      </c>
      <c r="J60" s="339"/>
    </row>
    <row r="61" spans="3:10" x14ac:dyDescent="0.15">
      <c r="C61" s="354"/>
      <c r="D61" s="195">
        <v>1854</v>
      </c>
      <c r="E61" s="196">
        <f>SUM(IFERROR(LOOKUP(D61,'United Kingdom'!D$12:D$303,'United Kingdom'!F$12:F$303),0),IFERROR(LOOKUP(D61,'Pennsylvania anthracite'!D$8:D$300,'Pennsylvania anthracite'!F$8:F$300),0),IFERROR(LOOKUP(D61,'France and Belgium'!D$8:D$300,'France and Belgium'!F$8:F$300),0),IFERROR(LOOKUP(D61,'Japan and South Korea'!D$8:D$200,'Japan and South Korea'!F$8:F$200),0),IFERROR(LOOKUP(D61,Australia!D$57:D$248,Australia!F$57:F$248),0),IFERROR(LOOKUP(D61,China!D$11:D$200,China!F$11:F$200),0),IFERROR(LOOKUP(D61,Africa!D$18:D$200,Africa!F$18:F$200),0),IFERROR(LOOKUP(D61,Europe!D$18:D$300,Europe!F$18:F$300),0),IFERROR(LOOKUP(D61,Russia!D$18:D$198,Russia!F$18:F$198),0),IFERROR(LOOKUP(D61,'Western United States'!D$13:D$300,'Western United States'!F$13:F$300),0),IFERROR(LOOKUP(D61,'Eastern United States'!D$13:D$300,'Eastern United States'!F$13:F$300),0),IFERROR(LOOKUP(D61,Canada!D$13:D$200,Canada!F$13:F$200),0),IFERROR(LOOKUP(D61,'South Asia'!D$11:D$200,'South Asia'!F$11:F$200),0),IFERROR(LOOKUP(D61,'Latin America'!D$11:D$200,'Latin America'!F$11:F$200),0))</f>
        <v>2.5747682309911917</v>
      </c>
      <c r="H61" s="339">
        <f t="shared" si="1"/>
        <v>4.5212348967804239E-2</v>
      </c>
      <c r="I61" s="197">
        <f>-INTERCEPT(H$32:H61,E$32:E61)/SLOPE(H$32:H61,E$32:E61)</f>
        <v>2.9171088759831059</v>
      </c>
      <c r="J61" s="339"/>
    </row>
    <row r="62" spans="3:10" x14ac:dyDescent="0.15">
      <c r="C62" s="354"/>
      <c r="D62" s="195">
        <v>1855</v>
      </c>
      <c r="E62" s="196">
        <f>SUM(IFERROR(LOOKUP(D62,'United Kingdom'!D$12:D$303,'United Kingdom'!F$12:F$303),0),IFERROR(LOOKUP(D62,'Pennsylvania anthracite'!D$8:D$300,'Pennsylvania anthracite'!F$8:F$300),0),IFERROR(LOOKUP(D62,'France and Belgium'!D$8:D$300,'France and Belgium'!F$8:F$300),0),IFERROR(LOOKUP(D62,'Japan and South Korea'!D$8:D$200,'Japan and South Korea'!F$8:F$200),0),IFERROR(LOOKUP(D62,Australia!D$57:D$248,Australia!F$57:F$248),0),IFERROR(LOOKUP(D62,China!D$11:D$200,China!F$11:F$200),0),IFERROR(LOOKUP(D62,Africa!D$18:D$200,Africa!F$18:F$200),0),IFERROR(LOOKUP(D62,Europe!D$18:D$300,Europe!F$18:F$300),0),IFERROR(LOOKUP(D62,Russia!D$18:D$198,Russia!F$18:F$198),0),IFERROR(LOOKUP(D62,'Western United States'!D$13:D$300,'Western United States'!F$13:F$300),0),IFERROR(LOOKUP(D62,'Eastern United States'!D$13:D$300,'Eastern United States'!F$13:F$300),0),IFERROR(LOOKUP(D62,Canada!D$13:D$200,Canada!F$13:F$200),0),IFERROR(LOOKUP(D62,'South Asia'!D$11:D$200,'South Asia'!F$11:F$200),0),IFERROR(LOOKUP(D62,'Latin America'!D$11:D$200,'Latin America'!F$11:F$200),0))</f>
        <v>2.6967219242284828</v>
      </c>
      <c r="H62" s="339">
        <f t="shared" si="1"/>
        <v>4.5222939800209971E-2</v>
      </c>
      <c r="I62" s="197">
        <f>-INTERCEPT(H$32:H62,E$32:E62)/SLOPE(H$32:H62,E$32:E62)</f>
        <v>3.018142644513035</v>
      </c>
      <c r="J62" s="339"/>
    </row>
    <row r="63" spans="3:10" x14ac:dyDescent="0.15">
      <c r="C63" s="354"/>
      <c r="D63" s="195">
        <v>1856</v>
      </c>
      <c r="E63" s="196">
        <f>SUM(IFERROR(LOOKUP(D63,'United Kingdom'!D$12:D$303,'United Kingdom'!F$12:F$303),0),IFERROR(LOOKUP(D63,'Pennsylvania anthracite'!D$8:D$300,'Pennsylvania anthracite'!F$8:F$300),0),IFERROR(LOOKUP(D63,'France and Belgium'!D$8:D$300,'France and Belgium'!F$8:F$300),0),IFERROR(LOOKUP(D63,'Japan and South Korea'!D$8:D$200,'Japan and South Korea'!F$8:F$200),0),IFERROR(LOOKUP(D63,Australia!D$57:D$248,Australia!F$57:F$248),0),IFERROR(LOOKUP(D63,China!D$11:D$200,China!F$11:F$200),0),IFERROR(LOOKUP(D63,Africa!D$18:D$200,Africa!F$18:F$200),0),IFERROR(LOOKUP(D63,Europe!D$18:D$300,Europe!F$18:F$300),0),IFERROR(LOOKUP(D63,Russia!D$18:D$198,Russia!F$18:F$198),0),IFERROR(LOOKUP(D63,'Western United States'!D$13:D$300,'Western United States'!F$13:F$300),0),IFERROR(LOOKUP(D63,'Eastern United States'!D$13:D$300,'Eastern United States'!F$13:F$300),0),IFERROR(LOOKUP(D63,Canada!D$13:D$200,Canada!F$13:F$200),0),IFERROR(LOOKUP(D63,'South Asia'!D$11:D$200,'South Asia'!F$11:F$200),0),IFERROR(LOOKUP(D63,'Latin America'!D$11:D$200,'Latin America'!F$11:F$200),0))</f>
        <v>2.8237385706249003</v>
      </c>
      <c r="H63" s="339">
        <f t="shared" si="1"/>
        <v>4.4981730149440957E-2</v>
      </c>
      <c r="I63" s="197">
        <f>-INTERCEPT(H$32:H63,E$32:E63)/SLOPE(H$32:H63,E$32:E63)</f>
        <v>3.1287392694262692</v>
      </c>
      <c r="J63" s="339"/>
    </row>
    <row r="64" spans="3:10" x14ac:dyDescent="0.15">
      <c r="C64" s="354"/>
      <c r="D64" s="195">
        <v>1857</v>
      </c>
      <c r="E64" s="196">
        <f>SUM(IFERROR(LOOKUP(D64,'United Kingdom'!D$12:D$303,'United Kingdom'!F$12:F$303),0),IFERROR(LOOKUP(D64,'Pennsylvania anthracite'!D$8:D$300,'Pennsylvania anthracite'!F$8:F$300),0),IFERROR(LOOKUP(D64,'France and Belgium'!D$8:D$300,'France and Belgium'!F$8:F$300),0),IFERROR(LOOKUP(D64,'Japan and South Korea'!D$8:D$200,'Japan and South Korea'!F$8:F$200),0),IFERROR(LOOKUP(D64,Australia!D$57:D$248,Australia!F$57:F$248),0),IFERROR(LOOKUP(D64,China!D$11:D$200,China!F$11:F$200),0),IFERROR(LOOKUP(D64,Africa!D$18:D$200,Africa!F$18:F$200),0),IFERROR(LOOKUP(D64,Europe!D$18:D$300,Europe!F$18:F$300),0),IFERROR(LOOKUP(D64,Russia!D$18:D$198,Russia!F$18:F$198),0),IFERROR(LOOKUP(D64,'Western United States'!D$13:D$300,'Western United States'!F$13:F$300),0),IFERROR(LOOKUP(D64,'Eastern United States'!D$13:D$300,'Eastern United States'!F$13:F$300),0),IFERROR(LOOKUP(D64,Canada!D$13:D$200,Canada!F$13:F$200),0),IFERROR(LOOKUP(D64,'South Asia'!D$11:D$200,'South Asia'!F$11:F$200),0),IFERROR(LOOKUP(D64,'Latin America'!D$11:D$200,'Latin America'!F$11:F$200),0))</f>
        <v>2.9555837993949798</v>
      </c>
      <c r="H64" s="339">
        <f t="shared" si="1"/>
        <v>4.4608861639135022E-2</v>
      </c>
      <c r="I64" s="197">
        <f>-INTERCEPT(H$32:H64,E$32:E64)/SLOPE(H$32:H64,E$32:E64)</f>
        <v>3.2483180308560824</v>
      </c>
      <c r="J64" s="339"/>
    </row>
    <row r="65" spans="3:10" x14ac:dyDescent="0.15">
      <c r="C65" s="354"/>
      <c r="D65" s="195">
        <v>1858</v>
      </c>
      <c r="E65" s="196">
        <f>SUM(IFERROR(LOOKUP(D65,'United Kingdom'!D$12:D$303,'United Kingdom'!F$12:F$303),0),IFERROR(LOOKUP(D65,'Pennsylvania anthracite'!D$8:D$300,'Pennsylvania anthracite'!F$8:F$300),0),IFERROR(LOOKUP(D65,'France and Belgium'!D$8:D$300,'France and Belgium'!F$8:F$300),0),IFERROR(LOOKUP(D65,'Japan and South Korea'!D$8:D$200,'Japan and South Korea'!F$8:F$200),0),IFERROR(LOOKUP(D65,Australia!D$57:D$248,Australia!F$57:F$248),0),IFERROR(LOOKUP(D65,China!D$11:D$200,China!F$11:F$200),0),IFERROR(LOOKUP(D65,Africa!D$18:D$200,Africa!F$18:F$200),0),IFERROR(LOOKUP(D65,Europe!D$18:D$300,Europe!F$18:F$300),0),IFERROR(LOOKUP(D65,Russia!D$18:D$198,Russia!F$18:F$198),0),IFERROR(LOOKUP(D65,'Western United States'!D$13:D$300,'Western United States'!F$13:F$300),0),IFERROR(LOOKUP(D65,'Eastern United States'!D$13:D$300,'Eastern United States'!F$13:F$300),0),IFERROR(LOOKUP(D65,Canada!D$13:D$200,Canada!F$13:F$200),0),IFERROR(LOOKUP(D65,'South Asia'!D$11:D$200,'South Asia'!F$11:F$200),0),IFERROR(LOOKUP(D65,'Latin America'!D$11:D$200,'Latin America'!F$11:F$200),0))</f>
        <v>3.0873898385228524</v>
      </c>
      <c r="H65" s="339">
        <f t="shared" si="1"/>
        <v>4.2691738336139151E-2</v>
      </c>
      <c r="I65" s="197">
        <f>-INTERCEPT(H$32:H65,E$32:E65)/SLOPE(H$32:H65,E$32:E65)</f>
        <v>3.3700951611758949</v>
      </c>
      <c r="J65" s="339"/>
    </row>
    <row r="66" spans="3:10" x14ac:dyDescent="0.15">
      <c r="C66" s="354"/>
      <c r="D66" s="195">
        <v>1859</v>
      </c>
      <c r="E66" s="196">
        <f>SUM(IFERROR(LOOKUP(D66,'United Kingdom'!D$12:D$303,'United Kingdom'!F$12:F$303),0),IFERROR(LOOKUP(D66,'Pennsylvania anthracite'!D$8:D$300,'Pennsylvania anthracite'!F$8:F$300),0),IFERROR(LOOKUP(D66,'France and Belgium'!D$8:D$300,'France and Belgium'!F$8:F$300),0),IFERROR(LOOKUP(D66,'Japan and South Korea'!D$8:D$200,'Japan and South Korea'!F$8:F$200),0),IFERROR(LOOKUP(D66,Australia!D$57:D$248,Australia!F$57:F$248),0),IFERROR(LOOKUP(D66,China!D$11:D$200,China!F$11:F$200),0),IFERROR(LOOKUP(D66,Africa!D$18:D$200,Africa!F$18:F$200),0),IFERROR(LOOKUP(D66,Europe!D$18:D$300,Europe!F$18:F$300),0),IFERROR(LOOKUP(D66,Russia!D$18:D$198,Russia!F$18:F$198),0),IFERROR(LOOKUP(D66,'Western United States'!D$13:D$300,'Western United States'!F$13:F$300),0),IFERROR(LOOKUP(D66,'Eastern United States'!D$13:D$300,'Eastern United States'!F$13:F$300),0),IFERROR(LOOKUP(D66,Canada!D$13:D$200,Canada!F$13:F$200),0),IFERROR(LOOKUP(D66,'South Asia'!D$11:D$200,'South Asia'!F$11:F$200),0),IFERROR(LOOKUP(D66,'Latin America'!D$11:D$200,'Latin America'!F$11:F$200),0))</f>
        <v>3.22191839215394</v>
      </c>
      <c r="H66" s="339">
        <f t="shared" si="1"/>
        <v>4.1754177870765852E-2</v>
      </c>
      <c r="I66" s="197">
        <f>-INTERCEPT(H$32:H66,E$32:E66)/SLOPE(H$32:H66,E$32:E66)</f>
        <v>3.4969337534728533</v>
      </c>
      <c r="J66" s="339"/>
    </row>
    <row r="67" spans="3:10" x14ac:dyDescent="0.15">
      <c r="C67" s="354"/>
      <c r="D67" s="195">
        <v>1860</v>
      </c>
      <c r="E67" s="196">
        <f>SUM(IFERROR(LOOKUP(D67,'United Kingdom'!D$12:D$303,'United Kingdom'!F$12:F$303),0),IFERROR(LOOKUP(D67,'Pennsylvania anthracite'!D$8:D$300,'Pennsylvania anthracite'!F$8:F$300),0),IFERROR(LOOKUP(D67,'France and Belgium'!D$8:D$300,'France and Belgium'!F$8:F$300),0),IFERROR(LOOKUP(D67,'Japan and South Korea'!D$8:D$200,'Japan and South Korea'!F$8:F$200),0),IFERROR(LOOKUP(D67,Australia!D$57:D$248,Australia!F$57:F$248),0),IFERROR(LOOKUP(D67,China!D$11:D$200,China!F$11:F$200),0),IFERROR(LOOKUP(D67,Africa!D$18:D$200,Africa!F$18:F$200),0),IFERROR(LOOKUP(D67,Europe!D$18:D$300,Europe!F$18:F$300),0),IFERROR(LOOKUP(D67,Russia!D$18:D$198,Russia!F$18:F$198),0),IFERROR(LOOKUP(D67,'Western United States'!D$13:D$300,'Western United States'!F$13:F$300),0),IFERROR(LOOKUP(D67,'Eastern United States'!D$13:D$300,'Eastern United States'!F$13:F$300),0),IFERROR(LOOKUP(D67,Canada!D$13:D$200,Canada!F$13:F$200),0),IFERROR(LOOKUP(D67,'South Asia'!D$11:D$200,'South Asia'!F$11:F$200),0),IFERROR(LOOKUP(D67,'Latin America'!D$11:D$200,'Latin America'!F$11:F$200),0))</f>
        <v>3.368476399880791</v>
      </c>
      <c r="H67" s="339">
        <f t="shared" si="1"/>
        <v>4.3508693643226182E-2</v>
      </c>
      <c r="I67" s="197">
        <f>-INTERCEPT(H$32:H67,E$32:E67)/SLOPE(H$32:H67,E$32:E67)</f>
        <v>3.6408036115217728</v>
      </c>
      <c r="J67" s="339"/>
    </row>
    <row r="68" spans="3:10" x14ac:dyDescent="0.15">
      <c r="C68" s="354"/>
      <c r="D68" s="195">
        <v>1861</v>
      </c>
      <c r="E68" s="196">
        <f>SUM(IFERROR(LOOKUP(D68,'United Kingdom'!D$12:D$303,'United Kingdom'!F$12:F$303),0),IFERROR(LOOKUP(D68,'Pennsylvania anthracite'!D$8:D$300,'Pennsylvania anthracite'!F$8:F$300),0),IFERROR(LOOKUP(D68,'France and Belgium'!D$8:D$300,'France and Belgium'!F$8:F$300),0),IFERROR(LOOKUP(D68,'Japan and South Korea'!D$8:D$200,'Japan and South Korea'!F$8:F$200),0),IFERROR(LOOKUP(D68,Australia!D$57:D$248,Australia!F$57:F$248),0),IFERROR(LOOKUP(D68,China!D$11:D$200,China!F$11:F$200),0),IFERROR(LOOKUP(D68,Africa!D$18:D$200,Africa!F$18:F$200),0),IFERROR(LOOKUP(D68,Europe!D$18:D$300,Europe!F$18:F$300),0),IFERROR(LOOKUP(D68,Russia!D$18:D$198,Russia!F$18:F$198),0),IFERROR(LOOKUP(D68,'Western United States'!D$13:D$300,'Western United States'!F$13:F$300),0),IFERROR(LOOKUP(D68,'Eastern United States'!D$13:D$300,'Eastern United States'!F$13:F$300),0),IFERROR(LOOKUP(D68,Canada!D$13:D$200,Canada!F$13:F$200),0),IFERROR(LOOKUP(D68,'South Asia'!D$11:D$200,'South Asia'!F$11:F$200),0),IFERROR(LOOKUP(D68,'Latin America'!D$11:D$200,'Latin America'!F$11:F$200),0))</f>
        <v>3.5179606288364225</v>
      </c>
      <c r="H68" s="339">
        <f t="shared" si="1"/>
        <v>4.2491728796030914E-2</v>
      </c>
      <c r="I68" s="197">
        <f>-INTERCEPT(H$32:H68,E$32:E68)/SLOPE(H$32:H68,E$32:E68)</f>
        <v>3.7902342430034603</v>
      </c>
      <c r="J68" s="339"/>
    </row>
    <row r="69" spans="3:10" x14ac:dyDescent="0.15">
      <c r="C69" s="354"/>
      <c r="D69" s="195">
        <v>1862</v>
      </c>
      <c r="E69" s="196">
        <f>SUM(IFERROR(LOOKUP(D69,'United Kingdom'!D$12:D$303,'United Kingdom'!F$12:F$303),0),IFERROR(LOOKUP(D69,'Pennsylvania anthracite'!D$8:D$300,'Pennsylvania anthracite'!F$8:F$300),0),IFERROR(LOOKUP(D69,'France and Belgium'!D$8:D$300,'France and Belgium'!F$8:F$300),0),IFERROR(LOOKUP(D69,'Japan and South Korea'!D$8:D$200,'Japan and South Korea'!F$8:F$200),0),IFERROR(LOOKUP(D69,Australia!D$57:D$248,Australia!F$57:F$248),0),IFERROR(LOOKUP(D69,China!D$11:D$200,China!F$11:F$200),0),IFERROR(LOOKUP(D69,Africa!D$18:D$200,Africa!F$18:F$200),0),IFERROR(LOOKUP(D69,Europe!D$18:D$300,Europe!F$18:F$300),0),IFERROR(LOOKUP(D69,Russia!D$18:D$198,Russia!F$18:F$198),0),IFERROR(LOOKUP(D69,'Western United States'!D$13:D$300,'Western United States'!F$13:F$300),0),IFERROR(LOOKUP(D69,'Eastern United States'!D$13:D$300,'Eastern United States'!F$13:F$300),0),IFERROR(LOOKUP(D69,Canada!D$13:D$200,Canada!F$13:F$200),0),IFERROR(LOOKUP(D69,'South Asia'!D$11:D$200,'South Asia'!F$11:F$200),0),IFERROR(LOOKUP(D69,'Latin America'!D$11:D$200,'Latin America'!F$11:F$200),0))</f>
        <v>3.6731010813586353</v>
      </c>
      <c r="H69" s="339">
        <f t="shared" si="1"/>
        <v>4.2236913465182435E-2</v>
      </c>
      <c r="I69" s="197">
        <f>-INTERCEPT(H$32:H69,E$32:E69)/SLOPE(H$32:H69,E$32:E69)</f>
        <v>3.9483916523655895</v>
      </c>
      <c r="J69" s="339"/>
    </row>
    <row r="70" spans="3:10" x14ac:dyDescent="0.15">
      <c r="C70" s="354"/>
      <c r="D70" s="195">
        <v>1863</v>
      </c>
      <c r="E70" s="196">
        <f>SUM(IFERROR(LOOKUP(D70,'United Kingdom'!D$12:D$303,'United Kingdom'!F$12:F$303),0),IFERROR(LOOKUP(D70,'Pennsylvania anthracite'!D$8:D$300,'Pennsylvania anthracite'!F$8:F$300),0),IFERROR(LOOKUP(D70,'France and Belgium'!D$8:D$300,'France and Belgium'!F$8:F$300),0),IFERROR(LOOKUP(D70,'Japan and South Korea'!D$8:D$200,'Japan and South Korea'!F$8:F$200),0),IFERROR(LOOKUP(D70,Australia!D$57:D$248,Australia!F$57:F$248),0),IFERROR(LOOKUP(D70,China!D$11:D$200,China!F$11:F$200),0),IFERROR(LOOKUP(D70,Africa!D$18:D$200,Africa!F$18:F$200),0),IFERROR(LOOKUP(D70,Europe!D$18:D$300,Europe!F$18:F$300),0),IFERROR(LOOKUP(D70,Russia!D$18:D$198,Russia!F$18:F$198),0),IFERROR(LOOKUP(D70,'Western United States'!D$13:D$300,'Western United States'!F$13:F$300),0),IFERROR(LOOKUP(D70,'Eastern United States'!D$13:D$300,'Eastern United States'!F$13:F$300),0),IFERROR(LOOKUP(D70,Canada!D$13:D$200,Canada!F$13:F$200),0),IFERROR(LOOKUP(D70,'South Asia'!D$11:D$200,'South Asia'!F$11:F$200),0),IFERROR(LOOKUP(D70,'Latin America'!D$11:D$200,'Latin America'!F$11:F$200),0))</f>
        <v>3.8387411297492031</v>
      </c>
      <c r="H70" s="339">
        <f t="shared" si="1"/>
        <v>4.3149575027839782E-2</v>
      </c>
      <c r="I70" s="197">
        <f>-INTERCEPT(H$32:H70,E$32:E70)/SLOPE(H$32:H70,E$32:E70)</f>
        <v>4.1217812563715501</v>
      </c>
      <c r="J70" s="339"/>
    </row>
    <row r="71" spans="3:10" x14ac:dyDescent="0.15">
      <c r="C71" s="354"/>
      <c r="D71" s="195">
        <v>1864</v>
      </c>
      <c r="E71" s="196">
        <f>SUM(IFERROR(LOOKUP(D71,'United Kingdom'!D$12:D$303,'United Kingdom'!F$12:F$303),0),IFERROR(LOOKUP(D71,'Pennsylvania anthracite'!D$8:D$300,'Pennsylvania anthracite'!F$8:F$300),0),IFERROR(LOOKUP(D71,'France and Belgium'!D$8:D$300,'France and Belgium'!F$8:F$300),0),IFERROR(LOOKUP(D71,'Japan and South Korea'!D$8:D$200,'Japan and South Korea'!F$8:F$200),0),IFERROR(LOOKUP(D71,Australia!D$57:D$248,Australia!F$57:F$248),0),IFERROR(LOOKUP(D71,China!D$11:D$200,China!F$11:F$200),0),IFERROR(LOOKUP(D71,Africa!D$18:D$200,Africa!F$18:F$200),0),IFERROR(LOOKUP(D71,Europe!D$18:D$300,Europe!F$18:F$300),0),IFERROR(LOOKUP(D71,Russia!D$18:D$198,Russia!F$18:F$198),0),IFERROR(LOOKUP(D71,'Western United States'!D$13:D$300,'Western United States'!F$13:F$300),0),IFERROR(LOOKUP(D71,'Eastern United States'!D$13:D$300,'Eastern United States'!F$13:F$300),0),IFERROR(LOOKUP(D71,Canada!D$13:D$200,Canada!F$13:F$200),0),IFERROR(LOOKUP(D71,'South Asia'!D$11:D$200,'South Asia'!F$11:F$200),0),IFERROR(LOOKUP(D71,'Latin America'!D$11:D$200,'Latin America'!F$11:F$200),0))</f>
        <v>4.0133272456824214</v>
      </c>
      <c r="H71" s="339">
        <f t="shared" si="1"/>
        <v>4.3501589889296866E-2</v>
      </c>
      <c r="I71" s="197">
        <f>-INTERCEPT(H$32:H71,E$32:E71)/SLOPE(H$32:H71,E$32:E71)</f>
        <v>4.3088634434377076</v>
      </c>
      <c r="J71" s="339"/>
    </row>
    <row r="72" spans="3:10" x14ac:dyDescent="0.15">
      <c r="C72" s="354"/>
      <c r="D72" s="195">
        <v>1865</v>
      </c>
      <c r="E72" s="196">
        <f>SUM(IFERROR(LOOKUP(D72,'United Kingdom'!D$12:D$303,'United Kingdom'!F$12:F$303),0),IFERROR(LOOKUP(D72,'Pennsylvania anthracite'!D$8:D$300,'Pennsylvania anthracite'!F$8:F$300),0),IFERROR(LOOKUP(D72,'France and Belgium'!D$8:D$300,'France and Belgium'!F$8:F$300),0),IFERROR(LOOKUP(D72,'Japan and South Korea'!D$8:D$200,'Japan and South Korea'!F$8:F$200),0),IFERROR(LOOKUP(D72,Australia!D$57:D$248,Australia!F$57:F$248),0),IFERROR(LOOKUP(D72,China!D$11:D$200,China!F$11:F$200),0),IFERROR(LOOKUP(D72,Africa!D$18:D$200,Africa!F$18:F$200),0),IFERROR(LOOKUP(D72,Europe!D$18:D$300,Europe!F$18:F$300),0),IFERROR(LOOKUP(D72,Russia!D$18:D$198,Russia!F$18:F$198),0),IFERROR(LOOKUP(D72,'Western United States'!D$13:D$300,'Western United States'!F$13:F$300),0),IFERROR(LOOKUP(D72,'Eastern United States'!D$13:D$300,'Eastern United States'!F$13:F$300),0),IFERROR(LOOKUP(D72,Canada!D$13:D$200,Canada!F$13:F$200),0),IFERROR(LOOKUP(D72,'South Asia'!D$11:D$200,'South Asia'!F$11:F$200),0),IFERROR(LOOKUP(D72,'Latin America'!D$11:D$200,'Latin America'!F$11:F$200),0))</f>
        <v>4.1963186212249726</v>
      </c>
      <c r="H72" s="339">
        <f t="shared" ref="H72:H135" si="2">1-E71/E72</f>
        <v>4.3607598006734083E-2</v>
      </c>
      <c r="I72" s="197">
        <f>-INTERCEPT(H$32:H72,E$32:E72)/SLOPE(H$32:H72,E$32:E72)</f>
        <v>4.5091819493268384</v>
      </c>
      <c r="J72" s="339"/>
    </row>
    <row r="73" spans="3:10" x14ac:dyDescent="0.15">
      <c r="C73" s="354"/>
      <c r="D73" s="195">
        <v>1866</v>
      </c>
      <c r="E73" s="196">
        <f>SUM(IFERROR(LOOKUP(D73,'United Kingdom'!D$12:D$303,'United Kingdom'!F$12:F$303),0),IFERROR(LOOKUP(D73,'Pennsylvania anthracite'!D$8:D$300,'Pennsylvania anthracite'!F$8:F$300),0),IFERROR(LOOKUP(D73,'France and Belgium'!D$8:D$300,'France and Belgium'!F$8:F$300),0),IFERROR(LOOKUP(D73,'Japan and South Korea'!D$8:D$200,'Japan and South Korea'!F$8:F$200),0),IFERROR(LOOKUP(D73,Australia!D$57:D$248,Australia!F$57:F$248),0),IFERROR(LOOKUP(D73,China!D$11:D$200,China!F$11:F$200),0),IFERROR(LOOKUP(D73,Africa!D$18:D$200,Africa!F$18:F$200),0),IFERROR(LOOKUP(D73,Europe!D$18:D$300,Europe!F$18:F$300),0),IFERROR(LOOKUP(D73,Russia!D$18:D$198,Russia!F$18:F$198),0),IFERROR(LOOKUP(D73,'Western United States'!D$13:D$300,'Western United States'!F$13:F$300),0),IFERROR(LOOKUP(D73,'Eastern United States'!D$13:D$300,'Eastern United States'!F$13:F$300),0),IFERROR(LOOKUP(D73,Canada!D$13:D$200,Canada!F$13:F$200),0),IFERROR(LOOKUP(D73,'South Asia'!D$11:D$200,'South Asia'!F$11:F$200),0),IFERROR(LOOKUP(D73,'Latin America'!D$11:D$200,'Latin America'!F$11:F$200),0))</f>
        <v>4.386995388500126</v>
      </c>
      <c r="H73" s="339">
        <f t="shared" si="2"/>
        <v>4.3464091112332848E-2</v>
      </c>
      <c r="I73" s="197">
        <f>-INTERCEPT(H$32:H73,E$32:E73)/SLOPE(H$32:H73,E$32:E73)</f>
        <v>4.7218517952585666</v>
      </c>
      <c r="J73" s="339"/>
    </row>
    <row r="74" spans="3:10" x14ac:dyDescent="0.15">
      <c r="C74" s="354"/>
      <c r="D74" s="195">
        <v>1867</v>
      </c>
      <c r="E74" s="196">
        <f>SUM(IFERROR(LOOKUP(D74,'United Kingdom'!D$12:D$303,'United Kingdom'!F$12:F$303),0),IFERROR(LOOKUP(D74,'Pennsylvania anthracite'!D$8:D$300,'Pennsylvania anthracite'!F$8:F$300),0),IFERROR(LOOKUP(D74,'France and Belgium'!D$8:D$300,'France and Belgium'!F$8:F$300),0),IFERROR(LOOKUP(D74,'Japan and South Korea'!D$8:D$200,'Japan and South Korea'!F$8:F$200),0),IFERROR(LOOKUP(D74,Australia!D$57:D$248,Australia!F$57:F$248),0),IFERROR(LOOKUP(D74,China!D$11:D$200,China!F$11:F$200),0),IFERROR(LOOKUP(D74,Africa!D$18:D$200,Africa!F$18:F$200),0),IFERROR(LOOKUP(D74,Europe!D$18:D$300,Europe!F$18:F$300),0),IFERROR(LOOKUP(D74,Russia!D$18:D$198,Russia!F$18:F$198),0),IFERROR(LOOKUP(D74,'Western United States'!D$13:D$300,'Western United States'!F$13:F$300),0),IFERROR(LOOKUP(D74,'Eastern United States'!D$13:D$300,'Eastern United States'!F$13:F$300),0),IFERROR(LOOKUP(D74,Canada!D$13:D$200,Canada!F$13:F$200),0),IFERROR(LOOKUP(D74,'South Asia'!D$11:D$200,'South Asia'!F$11:F$200),0),IFERROR(LOOKUP(D74,'Latin America'!D$11:D$200,'Latin America'!F$11:F$200),0))</f>
        <v>4.5840471148755304</v>
      </c>
      <c r="H74" s="339">
        <f t="shared" si="2"/>
        <v>4.2986409484308874E-2</v>
      </c>
      <c r="I74" s="197">
        <f>-INTERCEPT(H$32:H74,E$32:E74)/SLOPE(H$32:H74,E$32:E74)</f>
        <v>4.944906076771737</v>
      </c>
      <c r="J74" s="339"/>
    </row>
    <row r="75" spans="3:10" x14ac:dyDescent="0.15">
      <c r="C75" s="354"/>
      <c r="D75" s="195">
        <v>1868</v>
      </c>
      <c r="E75" s="196">
        <f>SUM(IFERROR(LOOKUP(D75,'United Kingdom'!D$12:D$303,'United Kingdom'!F$12:F$303),0),IFERROR(LOOKUP(D75,'Pennsylvania anthracite'!D$8:D$300,'Pennsylvania anthracite'!F$8:F$300),0),IFERROR(LOOKUP(D75,'France and Belgium'!D$8:D$300,'France and Belgium'!F$8:F$300),0),IFERROR(LOOKUP(D75,'Japan and South Korea'!D$8:D$200,'Japan and South Korea'!F$8:F$200),0),IFERROR(LOOKUP(D75,Australia!D$57:D$248,Australia!F$57:F$248),0),IFERROR(LOOKUP(D75,China!D$11:D$200,China!F$11:F$200),0),IFERROR(LOOKUP(D75,Africa!D$18:D$200,Africa!F$18:F$200),0),IFERROR(LOOKUP(D75,Europe!D$18:D$300,Europe!F$18:F$300),0),IFERROR(LOOKUP(D75,Russia!D$18:D$198,Russia!F$18:F$198),0),IFERROR(LOOKUP(D75,'Western United States'!D$13:D$300,'Western United States'!F$13:F$300),0),IFERROR(LOOKUP(D75,'Eastern United States'!D$13:D$300,'Eastern United States'!F$13:F$300),0),IFERROR(LOOKUP(D75,Canada!D$13:D$200,Canada!F$13:F$200),0),IFERROR(LOOKUP(D75,'South Asia'!D$11:D$200,'South Asia'!F$11:F$200),0),IFERROR(LOOKUP(D75,'Latin America'!D$11:D$200,'Latin America'!F$11:F$200),0))</f>
        <v>4.7896276561931552</v>
      </c>
      <c r="H75" s="339">
        <f t="shared" si="2"/>
        <v>4.2922029868397438E-2</v>
      </c>
      <c r="I75" s="197">
        <f>-INTERCEPT(H$32:H75,E$32:E75)/SLOPE(H$32:H75,E$32:E75)</f>
        <v>5.1812359052099621</v>
      </c>
      <c r="J75" s="339"/>
    </row>
    <row r="76" spans="3:10" x14ac:dyDescent="0.15">
      <c r="C76" s="354"/>
      <c r="D76" s="195">
        <v>1869</v>
      </c>
      <c r="E76" s="196">
        <f>SUM(IFERROR(LOOKUP(D76,'United Kingdom'!D$12:D$303,'United Kingdom'!F$12:F$303),0),IFERROR(LOOKUP(D76,'Pennsylvania anthracite'!D$8:D$300,'Pennsylvania anthracite'!F$8:F$300),0),IFERROR(LOOKUP(D76,'France and Belgium'!D$8:D$300,'France and Belgium'!F$8:F$300),0),IFERROR(LOOKUP(D76,'Japan and South Korea'!D$8:D$200,'Japan and South Korea'!F$8:F$200),0),IFERROR(LOOKUP(D76,Australia!D$57:D$248,Australia!F$57:F$248),0),IFERROR(LOOKUP(D76,China!D$11:D$200,China!F$11:F$200),0),IFERROR(LOOKUP(D76,Africa!D$18:D$200,Africa!F$18:F$200),0),IFERROR(LOOKUP(D76,Europe!D$18:D$300,Europe!F$18:F$300),0),IFERROR(LOOKUP(D76,Russia!D$18:D$198,Russia!F$18:F$198),0),IFERROR(LOOKUP(D76,'Western United States'!D$13:D$300,'Western United States'!F$13:F$300),0),IFERROR(LOOKUP(D76,'Eastern United States'!D$13:D$300,'Eastern United States'!F$13:F$300),0),IFERROR(LOOKUP(D76,Canada!D$13:D$200,Canada!F$13:F$200),0),IFERROR(LOOKUP(D76,'South Asia'!D$11:D$200,'South Asia'!F$11:F$200),0),IFERROR(LOOKUP(D76,'Latin America'!D$11:D$200,'Latin America'!F$11:F$200),0))</f>
        <v>5.0051679725655758</v>
      </c>
      <c r="H76" s="339">
        <f t="shared" si="2"/>
        <v>4.3063553022364975E-2</v>
      </c>
      <c r="I76" s="197">
        <f>-INTERCEPT(H$32:H76,E$32:E76)/SLOPE(H$32:H76,E$32:E76)</f>
        <v>5.4330621538162651</v>
      </c>
      <c r="J76" s="339"/>
    </row>
    <row r="77" spans="3:10" x14ac:dyDescent="0.15">
      <c r="C77" s="354"/>
      <c r="D77" s="195">
        <v>1870</v>
      </c>
      <c r="E77" s="196">
        <f>SUM(IFERROR(LOOKUP(D77,'United Kingdom'!D$12:D$303,'United Kingdom'!F$12:F$303),0),IFERROR(LOOKUP(D77,'Pennsylvania anthracite'!D$8:D$300,'Pennsylvania anthracite'!F$8:F$300),0),IFERROR(LOOKUP(D77,'France and Belgium'!D$8:D$300,'France and Belgium'!F$8:F$300),0),IFERROR(LOOKUP(D77,'Japan and South Korea'!D$8:D$200,'Japan and South Korea'!F$8:F$200),0),IFERROR(LOOKUP(D77,Australia!D$57:D$248,Australia!F$57:F$248),0),IFERROR(LOOKUP(D77,China!D$11:D$200,China!F$11:F$200),0),IFERROR(LOOKUP(D77,Africa!D$18:D$200,Africa!F$18:F$200),0),IFERROR(LOOKUP(D77,Europe!D$18:D$300,Europe!F$18:F$300),0),IFERROR(LOOKUP(D77,Russia!D$18:D$198,Russia!F$18:F$198),0),IFERROR(LOOKUP(D77,'Western United States'!D$13:D$300,'Western United States'!F$13:F$300),0),IFERROR(LOOKUP(D77,'Eastern United States'!D$13:D$300,'Eastern United States'!F$13:F$300),0),IFERROR(LOOKUP(D77,Canada!D$13:D$200,Canada!F$13:F$200),0),IFERROR(LOOKUP(D77,'South Asia'!D$11:D$200,'South Asia'!F$11:F$200),0),IFERROR(LOOKUP(D77,'Latin America'!D$11:D$200,'Latin America'!F$11:F$200),0))</f>
        <v>5.2279797233286835</v>
      </c>
      <c r="H77" s="339">
        <f t="shared" si="2"/>
        <v>4.2619092374987733E-2</v>
      </c>
      <c r="I77" s="197">
        <f>-INTERCEPT(H$32:H77,E$32:E77)/SLOPE(H$32:H77,E$32:E77)</f>
        <v>5.6964538202267736</v>
      </c>
      <c r="J77" s="339"/>
    </row>
    <row r="78" spans="3:10" x14ac:dyDescent="0.15">
      <c r="C78" s="354"/>
      <c r="D78" s="195">
        <v>1871</v>
      </c>
      <c r="E78" s="196">
        <f>SUM(IFERROR(LOOKUP(D78,'United Kingdom'!D$12:D$303,'United Kingdom'!F$12:F$303),0),IFERROR(LOOKUP(D78,'Pennsylvania anthracite'!D$8:D$300,'Pennsylvania anthracite'!F$8:F$300),0),IFERROR(LOOKUP(D78,'France and Belgium'!D$8:D$300,'France and Belgium'!F$8:F$300),0),IFERROR(LOOKUP(D78,'Japan and South Korea'!D$8:D$200,'Japan and South Korea'!F$8:F$200),0),IFERROR(LOOKUP(D78,Australia!D$57:D$248,Australia!F$57:F$248),0),IFERROR(LOOKUP(D78,China!D$11:D$200,China!F$11:F$200),0),IFERROR(LOOKUP(D78,Africa!D$18:D$200,Africa!F$18:F$200),0),IFERROR(LOOKUP(D78,Europe!D$18:D$300,Europe!F$18:F$300),0),IFERROR(LOOKUP(D78,Russia!D$18:D$198,Russia!F$18:F$198),0),IFERROR(LOOKUP(D78,'Western United States'!D$13:D$300,'Western United States'!F$13:F$300),0),IFERROR(LOOKUP(D78,'Eastern United States'!D$13:D$300,'Eastern United States'!F$13:F$300),0),IFERROR(LOOKUP(D78,Canada!D$13:D$200,Canada!F$13:F$200),0),IFERROR(LOOKUP(D78,'South Asia'!D$11:D$200,'South Asia'!F$11:F$200),0),IFERROR(LOOKUP(D78,'Latin America'!D$11:D$200,'Latin America'!F$11:F$200),0))</f>
        <v>5.4667751999721244</v>
      </c>
      <c r="H78" s="339">
        <f t="shared" si="2"/>
        <v>4.3681232153950367E-2</v>
      </c>
      <c r="I78" s="197">
        <f>-INTERCEPT(H$32:H78,E$32:E78)/SLOPE(H$32:H78,E$32:E78)</f>
        <v>5.9848730459783832</v>
      </c>
      <c r="J78" s="339"/>
    </row>
    <row r="79" spans="3:10" x14ac:dyDescent="0.15">
      <c r="C79" s="354"/>
      <c r="D79" s="195">
        <v>1872</v>
      </c>
      <c r="E79" s="196">
        <f>SUM(IFERROR(LOOKUP(D79,'United Kingdom'!D$12:D$303,'United Kingdom'!F$12:F$303),0),IFERROR(LOOKUP(D79,'Pennsylvania anthracite'!D$8:D$300,'Pennsylvania anthracite'!F$8:F$300),0),IFERROR(LOOKUP(D79,'France and Belgium'!D$8:D$300,'France and Belgium'!F$8:F$300),0),IFERROR(LOOKUP(D79,'Japan and South Korea'!D$8:D$200,'Japan and South Korea'!F$8:F$200),0),IFERROR(LOOKUP(D79,Australia!D$57:D$248,Australia!F$57:F$248),0),IFERROR(LOOKUP(D79,China!D$11:D$200,China!F$11:F$200),0),IFERROR(LOOKUP(D79,Africa!D$18:D$200,Africa!F$18:F$200),0),IFERROR(LOOKUP(D79,Europe!D$18:D$300,Europe!F$18:F$300),0),IFERROR(LOOKUP(D79,Russia!D$18:D$198,Russia!F$18:F$198),0),IFERROR(LOOKUP(D79,'Western United States'!D$13:D$300,'Western United States'!F$13:F$300),0),IFERROR(LOOKUP(D79,'Eastern United States'!D$13:D$300,'Eastern United States'!F$13:F$300),0),IFERROR(LOOKUP(D79,Canada!D$13:D$200,Canada!F$13:F$200),0),IFERROR(LOOKUP(D79,'South Asia'!D$11:D$200,'South Asia'!F$11:F$200),0),IFERROR(LOOKUP(D79,'Latin America'!D$11:D$200,'Latin America'!F$11:F$200),0))</f>
        <v>5.7279980315276964</v>
      </c>
      <c r="H79" s="339">
        <f t="shared" si="2"/>
        <v>4.5604560287515028E-2</v>
      </c>
      <c r="I79" s="197">
        <f>-INTERCEPT(H$32:H79,E$32:E79)/SLOPE(H$32:H79,E$32:E79)</f>
        <v>6.3103115008089672</v>
      </c>
      <c r="J79" s="339"/>
    </row>
    <row r="80" spans="3:10" x14ac:dyDescent="0.15">
      <c r="C80" s="354"/>
      <c r="D80" s="195">
        <v>1873</v>
      </c>
      <c r="E80" s="196">
        <f>SUM(IFERROR(LOOKUP(D80,'United Kingdom'!D$12:D$303,'United Kingdom'!F$12:F$303),0),IFERROR(LOOKUP(D80,'Pennsylvania anthracite'!D$8:D$300,'Pennsylvania anthracite'!F$8:F$300),0),IFERROR(LOOKUP(D80,'France and Belgium'!D$8:D$300,'France and Belgium'!F$8:F$300),0),IFERROR(LOOKUP(D80,'Japan and South Korea'!D$8:D$200,'Japan and South Korea'!F$8:F$200),0),IFERROR(LOOKUP(D80,Australia!D$57:D$248,Australia!F$57:F$248),0),IFERROR(LOOKUP(D80,China!D$11:D$200,China!F$11:F$200),0),IFERROR(LOOKUP(D80,Africa!D$18:D$200,Africa!F$18:F$200),0),IFERROR(LOOKUP(D80,Europe!D$18:D$300,Europe!F$18:F$300),0),IFERROR(LOOKUP(D80,Russia!D$18:D$198,Russia!F$18:F$198),0),IFERROR(LOOKUP(D80,'Western United States'!D$13:D$300,'Western United States'!F$13:F$300),0),IFERROR(LOOKUP(D80,'Eastern United States'!D$13:D$300,'Eastern United States'!F$13:F$300),0),IFERROR(LOOKUP(D80,Canada!D$13:D$200,Canada!F$13:F$200),0),IFERROR(LOOKUP(D80,'South Asia'!D$11:D$200,'South Asia'!F$11:F$200),0),IFERROR(LOOKUP(D80,'Latin America'!D$11:D$200,'Latin America'!F$11:F$200),0))</f>
        <v>6.005155763089391</v>
      </c>
      <c r="H80" s="339">
        <f t="shared" si="2"/>
        <v>4.6153296016939516E-2</v>
      </c>
      <c r="I80" s="197">
        <f>-INTERCEPT(H$32:H80,E$32:E80)/SLOPE(H$32:H80,E$32:E80)</f>
        <v>6.6648225638190315</v>
      </c>
      <c r="J80" s="339"/>
    </row>
    <row r="81" spans="3:10" x14ac:dyDescent="0.15">
      <c r="C81" s="354"/>
      <c r="D81" s="195">
        <v>1874</v>
      </c>
      <c r="E81" s="196">
        <f>SUM(IFERROR(LOOKUP(D81,'United Kingdom'!D$12:D$303,'United Kingdom'!F$12:F$303),0),IFERROR(LOOKUP(D81,'Pennsylvania anthracite'!D$8:D$300,'Pennsylvania anthracite'!F$8:F$300),0),IFERROR(LOOKUP(D81,'France and Belgium'!D$8:D$300,'France and Belgium'!F$8:F$300),0),IFERROR(LOOKUP(D81,'Japan and South Korea'!D$8:D$200,'Japan and South Korea'!F$8:F$200),0),IFERROR(LOOKUP(D81,Australia!D$57:D$248,Australia!F$57:F$248),0),IFERROR(LOOKUP(D81,China!D$11:D$200,China!F$11:F$200),0),IFERROR(LOOKUP(D81,Africa!D$18:D$200,Africa!F$18:F$200),0),IFERROR(LOOKUP(D81,Europe!D$18:D$300,Europe!F$18:F$300),0),IFERROR(LOOKUP(D81,Russia!D$18:D$198,Russia!F$18:F$198),0),IFERROR(LOOKUP(D81,'Western United States'!D$13:D$300,'Western United States'!F$13:F$300),0),IFERROR(LOOKUP(D81,'Eastern United States'!D$13:D$300,'Eastern United States'!F$13:F$300),0),IFERROR(LOOKUP(D81,Canada!D$13:D$200,Canada!F$13:F$200),0),IFERROR(LOOKUP(D81,'South Asia'!D$11:D$200,'South Asia'!F$11:F$200),0),IFERROR(LOOKUP(D81,'Latin America'!D$11:D$200,'Latin America'!F$11:F$200),0))</f>
        <v>6.2779999858542341</v>
      </c>
      <c r="H81" s="339">
        <f t="shared" si="2"/>
        <v>4.3460373268496832E-2</v>
      </c>
      <c r="I81" s="197">
        <f>-INTERCEPT(H$32:H81,E$32:E81)/SLOPE(H$32:H81,E$32:E81)</f>
        <v>7.0140624159154488</v>
      </c>
      <c r="J81" s="339"/>
    </row>
    <row r="82" spans="3:10" x14ac:dyDescent="0.15">
      <c r="C82" s="354"/>
      <c r="D82" s="195">
        <v>1875</v>
      </c>
      <c r="E82" s="196">
        <f>SUM(IFERROR(LOOKUP(D82,'United Kingdom'!D$12:D$303,'United Kingdom'!F$12:F$303),0),IFERROR(LOOKUP(D82,'Pennsylvania anthracite'!D$8:D$300,'Pennsylvania anthracite'!F$8:F$300),0),IFERROR(LOOKUP(D82,'France and Belgium'!D$8:D$300,'France and Belgium'!F$8:F$300),0),IFERROR(LOOKUP(D82,'Japan and South Korea'!D$8:D$200,'Japan and South Korea'!F$8:F$200),0),IFERROR(LOOKUP(D82,Australia!D$57:D$248,Australia!F$57:F$248),0),IFERROR(LOOKUP(D82,China!D$11:D$200,China!F$11:F$200),0),IFERROR(LOOKUP(D82,Africa!D$18:D$200,Africa!F$18:F$200),0),IFERROR(LOOKUP(D82,Europe!D$18:D$300,Europe!F$18:F$300),0),IFERROR(LOOKUP(D82,Russia!D$18:D$198,Russia!F$18:F$198),0),IFERROR(LOOKUP(D82,'Western United States'!D$13:D$300,'Western United States'!F$13:F$300),0),IFERROR(LOOKUP(D82,'Eastern United States'!D$13:D$300,'Eastern United States'!F$13:F$300),0),IFERROR(LOOKUP(D82,Canada!D$13:D$200,Canada!F$13:F$200),0),IFERROR(LOOKUP(D82,'South Asia'!D$11:D$200,'South Asia'!F$11:F$200),0),IFERROR(LOOKUP(D82,'Latin America'!D$11:D$200,'Latin America'!F$11:F$200),0))</f>
        <v>6.560009162800303</v>
      </c>
      <c r="H82" s="339">
        <f t="shared" si="2"/>
        <v>4.2989143756879455E-2</v>
      </c>
      <c r="I82" s="197">
        <f>-INTERCEPT(H$32:H82,E$32:E82)/SLOPE(H$32:H82,E$32:E82)</f>
        <v>7.3781279910377249</v>
      </c>
      <c r="J82" s="339"/>
    </row>
    <row r="83" spans="3:10" x14ac:dyDescent="0.15">
      <c r="C83" s="354"/>
      <c r="D83" s="195">
        <v>1876</v>
      </c>
      <c r="E83" s="196">
        <f>SUM(IFERROR(LOOKUP(D83,'United Kingdom'!D$12:D$303,'United Kingdom'!F$12:F$303),0),IFERROR(LOOKUP(D83,'Pennsylvania anthracite'!D$8:D$300,'Pennsylvania anthracite'!F$8:F$300),0),IFERROR(LOOKUP(D83,'France and Belgium'!D$8:D$300,'France and Belgium'!F$8:F$300),0),IFERROR(LOOKUP(D83,'Japan and South Korea'!D$8:D$200,'Japan and South Korea'!F$8:F$200),0),IFERROR(LOOKUP(D83,Australia!D$57:D$248,Australia!F$57:F$248),0),IFERROR(LOOKUP(D83,China!D$11:D$200,China!F$11:F$200),0),IFERROR(LOOKUP(D83,Africa!D$18:D$200,Africa!F$18:F$200),0),IFERROR(LOOKUP(D83,Europe!D$18:D$300,Europe!F$18:F$300),0),IFERROR(LOOKUP(D83,Russia!D$18:D$198,Russia!F$18:F$198),0),IFERROR(LOOKUP(D83,'Western United States'!D$13:D$300,'Western United States'!F$13:F$300),0),IFERROR(LOOKUP(D83,'Eastern United States'!D$13:D$300,'Eastern United States'!F$13:F$300),0),IFERROR(LOOKUP(D83,Canada!D$13:D$200,Canada!F$13:F$200),0),IFERROR(LOOKUP(D83,'South Asia'!D$11:D$200,'South Asia'!F$11:F$200),0),IFERROR(LOOKUP(D83,'Latin America'!D$11:D$200,'Latin America'!F$11:F$200),0))</f>
        <v>6.843979898619982</v>
      </c>
      <c r="H83" s="339">
        <f t="shared" si="2"/>
        <v>4.1492047029088819E-2</v>
      </c>
      <c r="I83" s="197">
        <f>-INTERCEPT(H$32:H83,E$32:E83)/SLOPE(H$32:H83,E$32:E83)</f>
        <v>7.7433903925412269</v>
      </c>
      <c r="J83" s="339"/>
    </row>
    <row r="84" spans="3:10" x14ac:dyDescent="0.15">
      <c r="C84" s="354"/>
      <c r="D84" s="195">
        <v>1877</v>
      </c>
      <c r="E84" s="196">
        <f>SUM(IFERROR(LOOKUP(D84,'United Kingdom'!D$12:D$303,'United Kingdom'!F$12:F$303),0),IFERROR(LOOKUP(D84,'Pennsylvania anthracite'!D$8:D$300,'Pennsylvania anthracite'!F$8:F$300),0),IFERROR(LOOKUP(D84,'France and Belgium'!D$8:D$300,'France and Belgium'!F$8:F$300),0),IFERROR(LOOKUP(D84,'Japan and South Korea'!D$8:D$200,'Japan and South Korea'!F$8:F$200),0),IFERROR(LOOKUP(D84,Australia!D$57:D$248,Australia!F$57:F$248),0),IFERROR(LOOKUP(D84,China!D$11:D$200,China!F$11:F$200),0),IFERROR(LOOKUP(D84,Africa!D$18:D$200,Africa!F$18:F$200),0),IFERROR(LOOKUP(D84,Europe!D$18:D$300,Europe!F$18:F$300),0),IFERROR(LOOKUP(D84,Russia!D$18:D$198,Russia!F$18:F$198),0),IFERROR(LOOKUP(D84,'Western United States'!D$13:D$300,'Western United States'!F$13:F$300),0),IFERROR(LOOKUP(D84,'Eastern United States'!D$13:D$300,'Eastern United States'!F$13:F$300),0),IFERROR(LOOKUP(D84,Canada!D$13:D$200,Canada!F$13:F$200),0),IFERROR(LOOKUP(D84,'South Asia'!D$11:D$200,'South Asia'!F$11:F$200),0),IFERROR(LOOKUP(D84,'Latin America'!D$11:D$200,'Latin America'!F$11:F$200),0))</f>
        <v>7.1488159934225957</v>
      </c>
      <c r="H84" s="339">
        <f t="shared" si="2"/>
        <v>4.2641480083287053E-2</v>
      </c>
      <c r="I84" s="197">
        <f>-INTERCEPT(H$32:H84,E$32:E84)/SLOPE(H$32:H84,E$32:E84)</f>
        <v>8.1426613080037473</v>
      </c>
      <c r="J84" s="339"/>
    </row>
    <row r="85" spans="3:10" x14ac:dyDescent="0.15">
      <c r="C85" s="354"/>
      <c r="D85" s="195">
        <v>1878</v>
      </c>
      <c r="E85" s="196">
        <f>SUM(IFERROR(LOOKUP(D85,'United Kingdom'!D$12:D$303,'United Kingdom'!F$12:F$303),0),IFERROR(LOOKUP(D85,'Pennsylvania anthracite'!D$8:D$300,'Pennsylvania anthracite'!F$8:F$300),0),IFERROR(LOOKUP(D85,'France and Belgium'!D$8:D$300,'France and Belgium'!F$8:F$300),0),IFERROR(LOOKUP(D85,'Japan and South Korea'!D$8:D$200,'Japan and South Korea'!F$8:F$200),0),IFERROR(LOOKUP(D85,Australia!D$57:D$248,Australia!F$57:F$248),0),IFERROR(LOOKUP(D85,China!D$11:D$200,China!F$11:F$200),0),IFERROR(LOOKUP(D85,Africa!D$18:D$200,Africa!F$18:F$200),0),IFERROR(LOOKUP(D85,Europe!D$18:D$300,Europe!F$18:F$300),0),IFERROR(LOOKUP(D85,Russia!D$18:D$198,Russia!F$18:F$198),0),IFERROR(LOOKUP(D85,'Western United States'!D$13:D$300,'Western United States'!F$13:F$300),0),IFERROR(LOOKUP(D85,'Eastern United States'!D$13:D$300,'Eastern United States'!F$13:F$300),0),IFERROR(LOOKUP(D85,Canada!D$13:D$200,Canada!F$13:F$200),0),IFERROR(LOOKUP(D85,'South Asia'!D$11:D$200,'South Asia'!F$11:F$200),0),IFERROR(LOOKUP(D85,'Latin America'!D$11:D$200,'Latin America'!F$11:F$200),0))</f>
        <v>7.4392978311089006</v>
      </c>
      <c r="H85" s="339">
        <f t="shared" si="2"/>
        <v>3.9046942907917659E-2</v>
      </c>
      <c r="I85" s="197">
        <f>-INTERCEPT(H$32:H85,E$32:E85)/SLOPE(H$32:H85,E$32:E85)</f>
        <v>8.5118871952506243</v>
      </c>
      <c r="J85" s="339"/>
    </row>
    <row r="86" spans="3:10" x14ac:dyDescent="0.15">
      <c r="C86" s="354"/>
      <c r="D86" s="195">
        <v>1879</v>
      </c>
      <c r="E86" s="196">
        <f>SUM(IFERROR(LOOKUP(D86,'United Kingdom'!D$12:D$303,'United Kingdom'!F$12:F$303),0),IFERROR(LOOKUP(D86,'Pennsylvania anthracite'!D$8:D$300,'Pennsylvania anthracite'!F$8:F$300),0),IFERROR(LOOKUP(D86,'France and Belgium'!D$8:D$300,'France and Belgium'!F$8:F$300),0),IFERROR(LOOKUP(D86,'Japan and South Korea'!D$8:D$200,'Japan and South Korea'!F$8:F$200),0),IFERROR(LOOKUP(D86,Australia!D$57:D$248,Australia!F$57:F$248),0),IFERROR(LOOKUP(D86,China!D$11:D$200,China!F$11:F$200),0),IFERROR(LOOKUP(D86,Africa!D$18:D$200,Africa!F$18:F$200),0),IFERROR(LOOKUP(D86,Europe!D$18:D$300,Europe!F$18:F$300),0),IFERROR(LOOKUP(D86,Russia!D$18:D$198,Russia!F$18:F$198),0),IFERROR(LOOKUP(D86,'Western United States'!D$13:D$300,'Western United States'!F$13:F$300),0),IFERROR(LOOKUP(D86,'Eastern United States'!D$13:D$300,'Eastern United States'!F$13:F$300),0),IFERROR(LOOKUP(D86,Canada!D$13:D$200,Canada!F$13:F$200),0),IFERROR(LOOKUP(D86,'South Asia'!D$11:D$200,'South Asia'!F$11:F$200),0),IFERROR(LOOKUP(D86,'Latin America'!D$11:D$200,'Latin America'!F$11:F$200),0))</f>
        <v>7.747240238535948</v>
      </c>
      <c r="H86" s="339">
        <f t="shared" si="2"/>
        <v>3.9748658612042909E-2</v>
      </c>
      <c r="I86" s="197">
        <f>-INTERCEPT(H$32:H86,E$32:E86)/SLOPE(H$32:H86,E$32:E86)</f>
        <v>8.9064714238395037</v>
      </c>
      <c r="J86" s="339"/>
    </row>
    <row r="87" spans="3:10" x14ac:dyDescent="0.15">
      <c r="C87" s="354"/>
      <c r="D87" s="195">
        <v>1880</v>
      </c>
      <c r="E87" s="196">
        <f>SUM(IFERROR(LOOKUP(D87,'United Kingdom'!D$12:D$303,'United Kingdom'!F$12:F$303),0),IFERROR(LOOKUP(D87,'Pennsylvania anthracite'!D$8:D$300,'Pennsylvania anthracite'!F$8:F$300),0),IFERROR(LOOKUP(D87,'France and Belgium'!D$8:D$300,'France and Belgium'!F$8:F$300),0),IFERROR(LOOKUP(D87,'Japan and South Korea'!D$8:D$200,'Japan and South Korea'!F$8:F$200),0),IFERROR(LOOKUP(D87,Australia!D$57:D$248,Australia!F$57:F$248),0),IFERROR(LOOKUP(D87,China!D$11:D$200,China!F$11:F$200),0),IFERROR(LOOKUP(D87,Africa!D$18:D$200,Africa!F$18:F$200),0),IFERROR(LOOKUP(D87,Europe!D$18:D$300,Europe!F$18:F$300),0),IFERROR(LOOKUP(D87,Russia!D$18:D$198,Russia!F$18:F$198),0),IFERROR(LOOKUP(D87,'Western United States'!D$13:D$300,'Western United States'!F$13:F$300),0),IFERROR(LOOKUP(D87,'Eastern United States'!D$13:D$300,'Eastern United States'!F$13:F$300),0),IFERROR(LOOKUP(D87,Canada!D$13:D$200,Canada!F$13:F$200),0),IFERROR(LOOKUP(D87,'South Asia'!D$11:D$200,'South Asia'!F$11:F$200),0),IFERROR(LOOKUP(D87,'Latin America'!D$11:D$200,'Latin America'!F$11:F$200),0))</f>
        <v>8.0877330857379999</v>
      </c>
      <c r="H87" s="339">
        <f t="shared" si="2"/>
        <v>4.2099911507030408E-2</v>
      </c>
      <c r="I87" s="197">
        <f>-INTERCEPT(H$32:H87,E$32:E87)/SLOPE(H$32:H87,E$32:E87)</f>
        <v>9.3560957599581762</v>
      </c>
      <c r="J87" s="339"/>
    </row>
    <row r="88" spans="3:10" x14ac:dyDescent="0.15">
      <c r="C88" s="354"/>
      <c r="D88" s="195">
        <v>1881</v>
      </c>
      <c r="E88" s="196">
        <f>SUM(IFERROR(LOOKUP(D88,'United Kingdom'!D$12:D$303,'United Kingdom'!F$12:F$303),0),IFERROR(LOOKUP(D88,'Pennsylvania anthracite'!D$8:D$300,'Pennsylvania anthracite'!F$8:F$300),0),IFERROR(LOOKUP(D88,'France and Belgium'!D$8:D$300,'France and Belgium'!F$8:F$300),0),IFERROR(LOOKUP(D88,'Japan and South Korea'!D$8:D$200,'Japan and South Korea'!F$8:F$200),0),IFERROR(LOOKUP(D88,Australia!D$57:D$248,Australia!F$57:F$248),0),IFERROR(LOOKUP(D88,China!D$11:D$200,China!F$11:F$200),0),IFERROR(LOOKUP(D88,Africa!D$18:D$200,Africa!F$18:F$200),0),IFERROR(LOOKUP(D88,Europe!D$18:D$300,Europe!F$18:F$300),0),IFERROR(LOOKUP(D88,Russia!D$18:D$198,Russia!F$18:F$198),0),IFERROR(LOOKUP(D88,'Western United States'!D$13:D$300,'Western United States'!F$13:F$300),0),IFERROR(LOOKUP(D88,'Eastern United States'!D$13:D$300,'Eastern United States'!F$13:F$300),0),IFERROR(LOOKUP(D88,Canada!D$13:D$200,Canada!F$13:F$200),0),IFERROR(LOOKUP(D88,'South Asia'!D$11:D$200,'South Asia'!F$11:F$200),0),IFERROR(LOOKUP(D88,'Latin America'!D$11:D$200,'Latin America'!F$11:F$200),0))</f>
        <v>8.4474744531027479</v>
      </c>
      <c r="H88" s="339">
        <f t="shared" si="2"/>
        <v>4.2585670943652953E-2</v>
      </c>
      <c r="I88" s="197">
        <f>-INTERCEPT(H$32:H88,E$32:E88)/SLOPE(H$32:H88,E$32:E88)</f>
        <v>9.8388506961759461</v>
      </c>
      <c r="J88" s="339"/>
    </row>
    <row r="89" spans="3:10" x14ac:dyDescent="0.15">
      <c r="C89" s="354"/>
      <c r="D89" s="195">
        <v>1882</v>
      </c>
      <c r="E89" s="196">
        <f>SUM(IFERROR(LOOKUP(D89,'United Kingdom'!D$12:D$303,'United Kingdom'!F$12:F$303),0),IFERROR(LOOKUP(D89,'Pennsylvania anthracite'!D$8:D$300,'Pennsylvania anthracite'!F$8:F$300),0),IFERROR(LOOKUP(D89,'France and Belgium'!D$8:D$300,'France and Belgium'!F$8:F$300),0),IFERROR(LOOKUP(D89,'Japan and South Korea'!D$8:D$200,'Japan and South Korea'!F$8:F$200),0),IFERROR(LOOKUP(D89,Australia!D$57:D$248,Australia!F$57:F$248),0),IFERROR(LOOKUP(D89,China!D$11:D$200,China!F$11:F$200),0),IFERROR(LOOKUP(D89,Africa!D$18:D$200,Africa!F$18:F$200),0),IFERROR(LOOKUP(D89,Europe!D$18:D$300,Europe!F$18:F$300),0),IFERROR(LOOKUP(D89,Russia!D$18:D$198,Russia!F$18:F$198),0),IFERROR(LOOKUP(D89,'Western United States'!D$13:D$300,'Western United States'!F$13:F$300),0),IFERROR(LOOKUP(D89,'Eastern United States'!D$13:D$300,'Eastern United States'!F$13:F$300),0),IFERROR(LOOKUP(D89,Canada!D$13:D$200,Canada!F$13:F$200),0),IFERROR(LOOKUP(D89,'South Asia'!D$11:D$200,'South Asia'!F$11:F$200),0),IFERROR(LOOKUP(D89,'Latin America'!D$11:D$200,'Latin America'!F$11:F$200),0))</f>
        <v>8.8269076888776041</v>
      </c>
      <c r="H89" s="339">
        <f t="shared" si="2"/>
        <v>4.2985975287015088E-2</v>
      </c>
      <c r="I89" s="197">
        <f>-INTERCEPT(H$32:H89,E$32:E89)/SLOPE(H$32:H89,E$32:E89)</f>
        <v>10.356618263090926</v>
      </c>
      <c r="J89" s="339"/>
    </row>
    <row r="90" spans="3:10" x14ac:dyDescent="0.15">
      <c r="C90" s="354"/>
      <c r="D90" s="195">
        <v>1883</v>
      </c>
      <c r="E90" s="196">
        <f>SUM(IFERROR(LOOKUP(D90,'United Kingdom'!D$12:D$303,'United Kingdom'!F$12:F$303),0),IFERROR(LOOKUP(D90,'Pennsylvania anthracite'!D$8:D$300,'Pennsylvania anthracite'!F$8:F$300),0),IFERROR(LOOKUP(D90,'France and Belgium'!D$8:D$300,'France and Belgium'!F$8:F$300),0),IFERROR(LOOKUP(D90,'Japan and South Korea'!D$8:D$200,'Japan and South Korea'!F$8:F$200),0),IFERROR(LOOKUP(D90,Australia!D$57:D$248,Australia!F$57:F$248),0),IFERROR(LOOKUP(D90,China!D$11:D$200,China!F$11:F$200),0),IFERROR(LOOKUP(D90,Africa!D$18:D$200,Africa!F$18:F$200),0),IFERROR(LOOKUP(D90,Europe!D$18:D$300,Europe!F$18:F$300),0),IFERROR(LOOKUP(D90,Russia!D$18:D$198,Russia!F$18:F$198),0),IFERROR(LOOKUP(D90,'Western United States'!D$13:D$300,'Western United States'!F$13:F$300),0),IFERROR(LOOKUP(D90,'Eastern United States'!D$13:D$300,'Eastern United States'!F$13:F$300),0),IFERROR(LOOKUP(D90,Canada!D$13:D$200,Canada!F$13:F$200),0),IFERROR(LOOKUP(D90,'South Asia'!D$11:D$200,'South Asia'!F$11:F$200),0),IFERROR(LOOKUP(D90,'Latin America'!D$11:D$200,'Latin America'!F$11:F$200),0))</f>
        <v>9.2317352258689382</v>
      </c>
      <c r="H90" s="339">
        <f t="shared" si="2"/>
        <v>4.3851727447396516E-2</v>
      </c>
      <c r="I90" s="197">
        <f>-INTERCEPT(H$32:H90,E$32:E90)/SLOPE(H$32:H90,E$32:E90)</f>
        <v>10.9220361971692</v>
      </c>
      <c r="J90" s="339"/>
    </row>
    <row r="91" spans="3:10" x14ac:dyDescent="0.15">
      <c r="C91" s="354"/>
      <c r="D91" s="195">
        <v>1884</v>
      </c>
      <c r="E91" s="196">
        <f>SUM(IFERROR(LOOKUP(D91,'United Kingdom'!D$12:D$303,'United Kingdom'!F$12:F$303),0),IFERROR(LOOKUP(D91,'Pennsylvania anthracite'!D$8:D$300,'Pennsylvania anthracite'!F$8:F$300),0),IFERROR(LOOKUP(D91,'France and Belgium'!D$8:D$300,'France and Belgium'!F$8:F$300),0),IFERROR(LOOKUP(D91,'Japan and South Korea'!D$8:D$200,'Japan and South Korea'!F$8:F$200),0),IFERROR(LOOKUP(D91,Australia!D$57:D$248,Australia!F$57:F$248),0),IFERROR(LOOKUP(D91,China!D$11:D$200,China!F$11:F$200),0),IFERROR(LOOKUP(D91,Africa!D$18:D$200,Africa!F$18:F$200),0),IFERROR(LOOKUP(D91,Europe!D$18:D$300,Europe!F$18:F$300),0),IFERROR(LOOKUP(D91,Russia!D$18:D$198,Russia!F$18:F$198),0),IFERROR(LOOKUP(D91,'Western United States'!D$13:D$300,'Western United States'!F$13:F$300),0),IFERROR(LOOKUP(D91,'Eastern United States'!D$13:D$300,'Eastern United States'!F$13:F$300),0),IFERROR(LOOKUP(D91,Canada!D$13:D$200,Canada!F$13:F$200),0),IFERROR(LOOKUP(D91,'South Asia'!D$11:D$200,'South Asia'!F$11:F$200),0),IFERROR(LOOKUP(D91,'Latin America'!D$11:D$200,'Latin America'!F$11:F$200),0))</f>
        <v>9.6374086246431609</v>
      </c>
      <c r="H91" s="339">
        <f t="shared" si="2"/>
        <v>4.2093618167948432E-2</v>
      </c>
      <c r="I91" s="197">
        <f>-INTERCEPT(H$32:H91,E$32:E91)/SLOPE(H$32:H91,E$32:E91)</f>
        <v>11.485458025102746</v>
      </c>
      <c r="J91" s="339"/>
    </row>
    <row r="92" spans="3:10" x14ac:dyDescent="0.15">
      <c r="C92" s="354"/>
      <c r="D92" s="195">
        <v>1885</v>
      </c>
      <c r="E92" s="196">
        <f>SUM(IFERROR(LOOKUP(D92,'United Kingdom'!D$12:D$303,'United Kingdom'!F$12:F$303),0),IFERROR(LOOKUP(D92,'Pennsylvania anthracite'!D$8:D$300,'Pennsylvania anthracite'!F$8:F$300),0),IFERROR(LOOKUP(D92,'France and Belgium'!D$8:D$300,'France and Belgium'!F$8:F$300),0),IFERROR(LOOKUP(D92,'Japan and South Korea'!D$8:D$200,'Japan and South Korea'!F$8:F$200),0),IFERROR(LOOKUP(D92,Australia!D$57:D$248,Australia!F$57:F$248),0),IFERROR(LOOKUP(D92,China!D$11:D$200,China!F$11:F$200),0),IFERROR(LOOKUP(D92,Africa!D$18:D$200,Africa!F$18:F$200),0),IFERROR(LOOKUP(D92,Europe!D$18:D$300,Europe!F$18:F$300),0),IFERROR(LOOKUP(D92,Russia!D$18:D$198,Russia!F$18:F$198),0),IFERROR(LOOKUP(D92,'Western United States'!D$13:D$300,'Western United States'!F$13:F$300),0),IFERROR(LOOKUP(D92,'Eastern United States'!D$13:D$300,'Eastern United States'!F$13:F$300),0),IFERROR(LOOKUP(D92,Canada!D$13:D$200,Canada!F$13:F$200),0),IFERROR(LOOKUP(D92,'South Asia'!D$11:D$200,'South Asia'!F$11:F$200),0),IFERROR(LOOKUP(D92,'Latin America'!D$11:D$200,'Latin America'!F$11:F$200),0))</f>
        <v>10.044425185188535</v>
      </c>
      <c r="H92" s="339">
        <f t="shared" si="2"/>
        <v>4.0521637927629639E-2</v>
      </c>
      <c r="I92" s="197">
        <f>-INTERCEPT(H$32:H92,E$32:E92)/SLOPE(H$32:H92,E$32:E92)</f>
        <v>12.04412294387682</v>
      </c>
      <c r="J92" s="339"/>
    </row>
    <row r="93" spans="3:10" x14ac:dyDescent="0.15">
      <c r="C93" s="354"/>
      <c r="D93" s="195">
        <v>1886</v>
      </c>
      <c r="E93" s="196">
        <f>SUM(IFERROR(LOOKUP(D93,'United Kingdom'!D$12:D$303,'United Kingdom'!F$12:F$303),0),IFERROR(LOOKUP(D93,'Pennsylvania anthracite'!D$8:D$300,'Pennsylvania anthracite'!F$8:F$300),0),IFERROR(LOOKUP(D93,'France and Belgium'!D$8:D$300,'France and Belgium'!F$8:F$300),0),IFERROR(LOOKUP(D93,'Japan and South Korea'!D$8:D$200,'Japan and South Korea'!F$8:F$200),0),IFERROR(LOOKUP(D93,Australia!D$57:D$248,Australia!F$57:F$248),0),IFERROR(LOOKUP(D93,China!D$11:D$200,China!F$11:F$200),0),IFERROR(LOOKUP(D93,Africa!D$18:D$200,Africa!F$18:F$200),0),IFERROR(LOOKUP(D93,Europe!D$18:D$300,Europe!F$18:F$300),0),IFERROR(LOOKUP(D93,Russia!D$18:D$198,Russia!F$18:F$198),0),IFERROR(LOOKUP(D93,'Western United States'!D$13:D$300,'Western United States'!F$13:F$300),0),IFERROR(LOOKUP(D93,'Eastern United States'!D$13:D$300,'Eastern United States'!F$13:F$300),0),IFERROR(LOOKUP(D93,Canada!D$13:D$200,Canada!F$13:F$200),0),IFERROR(LOOKUP(D93,'South Asia'!D$11:D$200,'South Asia'!F$11:F$200),0),IFERROR(LOOKUP(D93,'Latin America'!D$11:D$200,'Latin America'!F$11:F$200),0))</f>
        <v>10.451475653422047</v>
      </c>
      <c r="H93" s="339">
        <f t="shared" si="2"/>
        <v>3.8946698220574727E-2</v>
      </c>
      <c r="I93" s="197">
        <f>-INTERCEPT(H$32:H93,E$32:E93)/SLOPE(H$32:H93,E$32:E93)</f>
        <v>12.592317145841969</v>
      </c>
      <c r="J93" s="339"/>
    </row>
    <row r="94" spans="3:10" x14ac:dyDescent="0.15">
      <c r="C94" s="354"/>
      <c r="D94" s="195">
        <v>1887</v>
      </c>
      <c r="E94" s="196">
        <f>SUM(IFERROR(LOOKUP(D94,'United Kingdom'!D$12:D$303,'United Kingdom'!F$12:F$303),0),IFERROR(LOOKUP(D94,'Pennsylvania anthracite'!D$8:D$300,'Pennsylvania anthracite'!F$8:F$300),0),IFERROR(LOOKUP(D94,'France and Belgium'!D$8:D$300,'France and Belgium'!F$8:F$300),0),IFERROR(LOOKUP(D94,'Japan and South Korea'!D$8:D$200,'Japan and South Korea'!F$8:F$200),0),IFERROR(LOOKUP(D94,Australia!D$57:D$248,Australia!F$57:F$248),0),IFERROR(LOOKUP(D94,China!D$11:D$200,China!F$11:F$200),0),IFERROR(LOOKUP(D94,Africa!D$18:D$200,Africa!F$18:F$200),0),IFERROR(LOOKUP(D94,Europe!D$18:D$300,Europe!F$18:F$300),0),IFERROR(LOOKUP(D94,Russia!D$18:D$198,Russia!F$18:F$198),0),IFERROR(LOOKUP(D94,'Western United States'!D$13:D$300,'Western United States'!F$13:F$300),0),IFERROR(LOOKUP(D94,'Eastern United States'!D$13:D$300,'Eastern United States'!F$13:F$300),0),IFERROR(LOOKUP(D94,Canada!D$13:D$200,Canada!F$13:F$200),0),IFERROR(LOOKUP(D94,'South Asia'!D$11:D$200,'South Asia'!F$11:F$200),0),IFERROR(LOOKUP(D94,'Latin America'!D$11:D$200,'Latin America'!F$11:F$200),0))</f>
        <v>10.885890055205079</v>
      </c>
      <c r="H94" s="339">
        <f t="shared" si="2"/>
        <v>3.9906190452044576E-2</v>
      </c>
      <c r="I94" s="197">
        <f>-INTERCEPT(H$32:H94,E$32:E94)/SLOPE(H$32:H94,E$32:E94)</f>
        <v>13.186621870996234</v>
      </c>
      <c r="J94" s="339"/>
    </row>
    <row r="95" spans="3:10" x14ac:dyDescent="0.15">
      <c r="C95" s="354"/>
      <c r="D95" s="195">
        <v>1888</v>
      </c>
      <c r="E95" s="196">
        <f>SUM(IFERROR(LOOKUP(D95,'United Kingdom'!D$12:D$303,'United Kingdom'!F$12:F$303),0),IFERROR(LOOKUP(D95,'Pennsylvania anthracite'!D$8:D$300,'Pennsylvania anthracite'!F$8:F$300),0),IFERROR(LOOKUP(D95,'France and Belgium'!D$8:D$300,'France and Belgium'!F$8:F$300),0),IFERROR(LOOKUP(D95,'Japan and South Korea'!D$8:D$200,'Japan and South Korea'!F$8:F$200),0),IFERROR(LOOKUP(D95,Australia!D$57:D$248,Australia!F$57:F$248),0),IFERROR(LOOKUP(D95,China!D$11:D$200,China!F$11:F$200),0),IFERROR(LOOKUP(D95,Africa!D$18:D$200,Africa!F$18:F$200),0),IFERROR(LOOKUP(D95,Europe!D$18:D$300,Europe!F$18:F$300),0),IFERROR(LOOKUP(D95,Russia!D$18:D$198,Russia!F$18:F$198),0),IFERROR(LOOKUP(D95,'Western United States'!D$13:D$300,'Western United States'!F$13:F$300),0),IFERROR(LOOKUP(D95,'Eastern United States'!D$13:D$300,'Eastern United States'!F$13:F$300),0),IFERROR(LOOKUP(D95,Canada!D$13:D$200,Canada!F$13:F$200),0),IFERROR(LOOKUP(D95,'South Asia'!D$11:D$200,'South Asia'!F$11:F$200),0),IFERROR(LOOKUP(D95,'Latin America'!D$11:D$200,'Latin America'!F$11:F$200),0))</f>
        <v>11.353021093607792</v>
      </c>
      <c r="H95" s="339">
        <f t="shared" si="2"/>
        <v>4.1145967628451463E-2</v>
      </c>
      <c r="I95" s="197">
        <f>-INTERCEPT(H$32:H95,E$32:E95)/SLOPE(H$32:H95,E$32:E95)</f>
        <v>13.840549654310408</v>
      </c>
      <c r="J95" s="339"/>
    </row>
    <row r="96" spans="3:10" x14ac:dyDescent="0.15">
      <c r="C96" s="354"/>
      <c r="D96" s="195">
        <v>1889</v>
      </c>
      <c r="E96" s="196">
        <f>SUM(IFERROR(LOOKUP(D96,'United Kingdom'!D$12:D$303,'United Kingdom'!F$12:F$303),0),IFERROR(LOOKUP(D96,'Pennsylvania anthracite'!D$8:D$300,'Pennsylvania anthracite'!F$8:F$300),0),IFERROR(LOOKUP(D96,'France and Belgium'!D$8:D$300,'France and Belgium'!F$8:F$300),0),IFERROR(LOOKUP(D96,'Japan and South Korea'!D$8:D$200,'Japan and South Korea'!F$8:F$200),0),IFERROR(LOOKUP(D96,Australia!D$57:D$248,Australia!F$57:F$248),0),IFERROR(LOOKUP(D96,China!D$11:D$200,China!F$11:F$200),0),IFERROR(LOOKUP(D96,Africa!D$18:D$200,Africa!F$18:F$200),0),IFERROR(LOOKUP(D96,Europe!D$18:D$300,Europe!F$18:F$300),0),IFERROR(LOOKUP(D96,Russia!D$18:D$198,Russia!F$18:F$198),0),IFERROR(LOOKUP(D96,'Western United States'!D$13:D$300,'Western United States'!F$13:F$300),0),IFERROR(LOOKUP(D96,'Eastern United States'!D$13:D$300,'Eastern United States'!F$13:F$300),0),IFERROR(LOOKUP(D96,Canada!D$13:D$200,Canada!F$13:F$200),0),IFERROR(LOOKUP(D96,'South Asia'!D$11:D$200,'South Asia'!F$11:F$200),0),IFERROR(LOOKUP(D96,'Latin America'!D$11:D$200,'Latin America'!F$11:F$200),0))</f>
        <v>11.833092901031995</v>
      </c>
      <c r="H96" s="339">
        <f t="shared" si="2"/>
        <v>4.0570272830557585E-2</v>
      </c>
      <c r="I96" s="197">
        <f>-INTERCEPT(H$32:H96,E$32:E96)/SLOPE(H$32:H96,E$32:E96)</f>
        <v>14.512473241079476</v>
      </c>
      <c r="J96" s="339"/>
    </row>
    <row r="97" spans="3:10" x14ac:dyDescent="0.15">
      <c r="C97" s="354"/>
      <c r="D97" s="195">
        <v>1890</v>
      </c>
      <c r="E97" s="196">
        <f>SUM(IFERROR(LOOKUP(D97,'United Kingdom'!D$12:D$303,'United Kingdom'!F$12:F$303),0),IFERROR(LOOKUP(D97,'Pennsylvania anthracite'!D$8:D$300,'Pennsylvania anthracite'!F$8:F$300),0),IFERROR(LOOKUP(D97,'France and Belgium'!D$8:D$300,'France and Belgium'!F$8:F$300),0),IFERROR(LOOKUP(D97,'Japan and South Korea'!D$8:D$200,'Japan and South Korea'!F$8:F$200),0),IFERROR(LOOKUP(D97,Australia!D$57:D$248,Australia!F$57:F$248),0),IFERROR(LOOKUP(D97,China!D$11:D$200,China!F$11:F$200),0),IFERROR(LOOKUP(D97,Africa!D$18:D$200,Africa!F$18:F$200),0),IFERROR(LOOKUP(D97,Europe!D$18:D$300,Europe!F$18:F$300),0),IFERROR(LOOKUP(D97,Russia!D$18:D$198,Russia!F$18:F$198),0),IFERROR(LOOKUP(D97,'Western United States'!D$13:D$300,'Western United States'!F$13:F$300),0),IFERROR(LOOKUP(D97,'Eastern United States'!D$13:D$300,'Eastern United States'!F$13:F$300),0),IFERROR(LOOKUP(D97,Canada!D$13:D$200,Canada!F$13:F$200),0),IFERROR(LOOKUP(D97,'South Asia'!D$11:D$200,'South Asia'!F$11:F$200),0),IFERROR(LOOKUP(D97,'Latin America'!D$11:D$200,'Latin America'!F$11:F$200),0))</f>
        <v>12.34427962464699</v>
      </c>
      <c r="H97" s="339">
        <f t="shared" si="2"/>
        <v>4.1410818545809969E-2</v>
      </c>
      <c r="I97" s="197">
        <f>-INTERCEPT(H$32:H97,E$32:E97)/SLOPE(H$32:H97,E$32:E97)</f>
        <v>15.242277067367411</v>
      </c>
      <c r="J97" s="339"/>
    </row>
    <row r="98" spans="3:10" x14ac:dyDescent="0.15">
      <c r="C98" s="354"/>
      <c r="D98" s="195">
        <v>1891</v>
      </c>
      <c r="E98" s="196">
        <f>SUM(IFERROR(LOOKUP(D98,'United Kingdom'!D$12:D$303,'United Kingdom'!F$12:F$303),0),IFERROR(LOOKUP(D98,'Pennsylvania anthracite'!D$8:D$300,'Pennsylvania anthracite'!F$8:F$300),0),IFERROR(LOOKUP(D98,'France and Belgium'!D$8:D$300,'France and Belgium'!F$8:F$300),0),IFERROR(LOOKUP(D98,'Japan and South Korea'!D$8:D$200,'Japan and South Korea'!F$8:F$200),0),IFERROR(LOOKUP(D98,Australia!D$57:D$248,Australia!F$57:F$248),0),IFERROR(LOOKUP(D98,China!D$11:D$200,China!F$11:F$200),0),IFERROR(LOOKUP(D98,Africa!D$18:D$200,Africa!F$18:F$200),0),IFERROR(LOOKUP(D98,Europe!D$18:D$300,Europe!F$18:F$300),0),IFERROR(LOOKUP(D98,Russia!D$18:D$198,Russia!F$18:F$198),0),IFERROR(LOOKUP(D98,'Western United States'!D$13:D$300,'Western United States'!F$13:F$300),0),IFERROR(LOOKUP(D98,'Eastern United States'!D$13:D$300,'Eastern United States'!F$13:F$300),0),IFERROR(LOOKUP(D98,Canada!D$13:D$200,Canada!F$13:F$200),0),IFERROR(LOOKUP(D98,'South Asia'!D$11:D$200,'South Asia'!F$11:F$200),0),IFERROR(LOOKUP(D98,'Latin America'!D$11:D$200,'Latin America'!F$11:F$200),0))</f>
        <v>12.876607823423694</v>
      </c>
      <c r="H98" s="339">
        <f t="shared" si="2"/>
        <v>4.1340716909025632E-2</v>
      </c>
      <c r="I98" s="197">
        <f>-INTERCEPT(H$32:H98,E$32:E98)/SLOPE(H$32:H98,E$32:E98)</f>
        <v>16.008837412276634</v>
      </c>
      <c r="J98" s="339"/>
    </row>
    <row r="99" spans="3:10" x14ac:dyDescent="0.15">
      <c r="C99" s="354"/>
      <c r="D99" s="195">
        <v>1892</v>
      </c>
      <c r="E99" s="196">
        <f>SUM(IFERROR(LOOKUP(D99,'United Kingdom'!D$12:D$303,'United Kingdom'!F$12:F$303),0),IFERROR(LOOKUP(D99,'Pennsylvania anthracite'!D$8:D$300,'Pennsylvania anthracite'!F$8:F$300),0),IFERROR(LOOKUP(D99,'France and Belgium'!D$8:D$300,'France and Belgium'!F$8:F$300),0),IFERROR(LOOKUP(D99,'Japan and South Korea'!D$8:D$200,'Japan and South Korea'!F$8:F$200),0),IFERROR(LOOKUP(D99,Australia!D$57:D$248,Australia!F$57:F$248),0),IFERROR(LOOKUP(D99,China!D$11:D$200,China!F$11:F$200),0),IFERROR(LOOKUP(D99,Africa!D$18:D$200,Africa!F$18:F$200),0),IFERROR(LOOKUP(D99,Europe!D$18:D$300,Europe!F$18:F$300),0),IFERROR(LOOKUP(D99,Russia!D$18:D$198,Russia!F$18:F$198),0),IFERROR(LOOKUP(D99,'Western United States'!D$13:D$300,'Western United States'!F$13:F$300),0),IFERROR(LOOKUP(D99,'Eastern United States'!D$13:D$300,'Eastern United States'!F$13:F$300),0),IFERROR(LOOKUP(D99,Canada!D$13:D$200,Canada!F$13:F$200),0),IFERROR(LOOKUP(D99,'South Asia'!D$11:D$200,'South Asia'!F$11:F$200),0),IFERROR(LOOKUP(D99,'Latin America'!D$11:D$200,'Latin America'!F$11:F$200),0))</f>
        <v>13.415767395348322</v>
      </c>
      <c r="H99" s="339">
        <f t="shared" si="2"/>
        <v>4.0188500294927043E-2</v>
      </c>
      <c r="I99" s="197">
        <f>-INTERCEPT(H$32:H99,E$32:E99)/SLOPE(H$32:H99,E$32:E99)</f>
        <v>16.777961514795123</v>
      </c>
      <c r="J99" s="339"/>
    </row>
    <row r="100" spans="3:10" x14ac:dyDescent="0.15">
      <c r="C100" s="354"/>
      <c r="D100" s="195">
        <v>1893</v>
      </c>
      <c r="E100" s="196">
        <f>SUM(IFERROR(LOOKUP(D100,'United Kingdom'!D$12:D$303,'United Kingdom'!F$12:F$303),0),IFERROR(LOOKUP(D100,'Pennsylvania anthracite'!D$8:D$300,'Pennsylvania anthracite'!F$8:F$300),0),IFERROR(LOOKUP(D100,'France and Belgium'!D$8:D$300,'France and Belgium'!F$8:F$300),0),IFERROR(LOOKUP(D100,'Japan and South Korea'!D$8:D$200,'Japan and South Korea'!F$8:F$200),0),IFERROR(LOOKUP(D100,Australia!D$57:D$248,Australia!F$57:F$248),0),IFERROR(LOOKUP(D100,China!D$11:D$200,China!F$11:F$200),0),IFERROR(LOOKUP(D100,Africa!D$18:D$200,Africa!F$18:F$200),0),IFERROR(LOOKUP(D100,Europe!D$18:D$300,Europe!F$18:F$300),0),IFERROR(LOOKUP(D100,Russia!D$18:D$198,Russia!F$18:F$198),0),IFERROR(LOOKUP(D100,'Western United States'!D$13:D$300,'Western United States'!F$13:F$300),0),IFERROR(LOOKUP(D100,'Eastern United States'!D$13:D$300,'Eastern United States'!F$13:F$300),0),IFERROR(LOOKUP(D100,Canada!D$13:D$200,Canada!F$13:F$200),0),IFERROR(LOOKUP(D100,'South Asia'!D$11:D$200,'South Asia'!F$11:F$200),0),IFERROR(LOOKUP(D100,'Latin America'!D$11:D$200,'Latin America'!F$11:F$200),0))</f>
        <v>13.947002280217342</v>
      </c>
      <c r="H100" s="339">
        <f t="shared" si="2"/>
        <v>3.8089538826743596E-2</v>
      </c>
      <c r="I100" s="197">
        <f>-INTERCEPT(H$32:H100,E$32:E100)/SLOPE(H$32:H100,E$32:E100)</f>
        <v>17.511610062239686</v>
      </c>
      <c r="J100" s="339"/>
    </row>
    <row r="101" spans="3:10" x14ac:dyDescent="0.15">
      <c r="C101" s="354"/>
      <c r="D101" s="195">
        <v>1894</v>
      </c>
      <c r="E101" s="196">
        <f>SUM(IFERROR(LOOKUP(D101,'United Kingdom'!D$12:D$303,'United Kingdom'!F$12:F$303),0),IFERROR(LOOKUP(D101,'Pennsylvania anthracite'!D$8:D$300,'Pennsylvania anthracite'!F$8:F$300),0),IFERROR(LOOKUP(D101,'France and Belgium'!D$8:D$300,'France and Belgium'!F$8:F$300),0),IFERROR(LOOKUP(D101,'Japan and South Korea'!D$8:D$200,'Japan and South Korea'!F$8:F$200),0),IFERROR(LOOKUP(D101,Australia!D$57:D$248,Australia!F$57:F$248),0),IFERROR(LOOKUP(D101,China!D$11:D$200,China!F$11:F$200),0),IFERROR(LOOKUP(D101,Africa!D$18:D$200,Africa!F$18:F$200),0),IFERROR(LOOKUP(D101,Europe!D$18:D$300,Europe!F$18:F$300),0),IFERROR(LOOKUP(D101,Russia!D$18:D$198,Russia!F$18:F$198),0),IFERROR(LOOKUP(D101,'Western United States'!D$13:D$300,'Western United States'!F$13:F$300),0),IFERROR(LOOKUP(D101,'Eastern United States'!D$13:D$300,'Eastern United States'!F$13:F$300),0),IFERROR(LOOKUP(D101,Canada!D$13:D$200,Canada!F$13:F$200),0),IFERROR(LOOKUP(D101,'South Asia'!D$11:D$200,'South Asia'!F$11:F$200),0),IFERROR(LOOKUP(D101,'Latin America'!D$11:D$200,'Latin America'!F$11:F$200),0))</f>
        <v>14.498717475813391</v>
      </c>
      <c r="H101" s="339">
        <f t="shared" si="2"/>
        <v>3.8052689592470101E-2</v>
      </c>
      <c r="I101" s="197">
        <f>-INTERCEPT(H$32:H101,E$32:E101)/SLOPE(H$32:H101,E$32:E101)</f>
        <v>18.273304978260473</v>
      </c>
      <c r="J101" s="339"/>
    </row>
    <row r="102" spans="3:10" x14ac:dyDescent="0.15">
      <c r="C102" s="354"/>
      <c r="D102" s="195">
        <v>1895</v>
      </c>
      <c r="E102" s="196">
        <f>SUM(IFERROR(LOOKUP(D102,'United Kingdom'!D$12:D$303,'United Kingdom'!F$12:F$303),0),IFERROR(LOOKUP(D102,'Pennsylvania anthracite'!D$8:D$300,'Pennsylvania anthracite'!F$8:F$300),0),IFERROR(LOOKUP(D102,'France and Belgium'!D$8:D$300,'France and Belgium'!F$8:F$300),0),IFERROR(LOOKUP(D102,'Japan and South Korea'!D$8:D$200,'Japan and South Korea'!F$8:F$200),0),IFERROR(LOOKUP(D102,Australia!D$57:D$248,Australia!F$57:F$248),0),IFERROR(LOOKUP(D102,China!D$11:D$200,China!F$11:F$200),0),IFERROR(LOOKUP(D102,Africa!D$18:D$200,Africa!F$18:F$200),0),IFERROR(LOOKUP(D102,Europe!D$18:D$300,Europe!F$18:F$300),0),IFERROR(LOOKUP(D102,Russia!D$18:D$198,Russia!F$18:F$198),0),IFERROR(LOOKUP(D102,'Western United States'!D$13:D$300,'Western United States'!F$13:F$300),0),IFERROR(LOOKUP(D102,'Eastern United States'!D$13:D$300,'Eastern United States'!F$13:F$300),0),IFERROR(LOOKUP(D102,Canada!D$13:D$200,Canada!F$13:F$200),0),IFERROR(LOOKUP(D102,'South Asia'!D$11:D$200,'South Asia'!F$11:F$200),0),IFERROR(LOOKUP(D102,'Latin America'!D$11:D$200,'Latin America'!F$11:F$200),0))</f>
        <v>15.082237417688562</v>
      </c>
      <c r="H102" s="339">
        <f t="shared" si="2"/>
        <v>3.8689216043689467E-2</v>
      </c>
      <c r="I102" s="197">
        <f>-INTERCEPT(H$32:H102,E$32:E102)/SLOPE(H$32:H102,E$32:E102)</f>
        <v>19.08987492508113</v>
      </c>
      <c r="J102" s="339"/>
    </row>
    <row r="103" spans="3:10" x14ac:dyDescent="0.15">
      <c r="C103" s="354"/>
      <c r="D103" s="195">
        <v>1896</v>
      </c>
      <c r="E103" s="196">
        <f>SUM(IFERROR(LOOKUP(D103,'United Kingdom'!D$12:D$303,'United Kingdom'!F$12:F$303),0),IFERROR(LOOKUP(D103,'Pennsylvania anthracite'!D$8:D$300,'Pennsylvania anthracite'!F$8:F$300),0),IFERROR(LOOKUP(D103,'France and Belgium'!D$8:D$300,'France and Belgium'!F$8:F$300),0),IFERROR(LOOKUP(D103,'Japan and South Korea'!D$8:D$200,'Japan and South Korea'!F$8:F$200),0),IFERROR(LOOKUP(D103,Australia!D$57:D$248,Australia!F$57:F$248),0),IFERROR(LOOKUP(D103,China!D$11:D$200,China!F$11:F$200),0),IFERROR(LOOKUP(D103,Africa!D$18:D$200,Africa!F$18:F$200),0),IFERROR(LOOKUP(D103,Europe!D$18:D$300,Europe!F$18:F$300),0),IFERROR(LOOKUP(D103,Russia!D$18:D$198,Russia!F$18:F$198),0),IFERROR(LOOKUP(D103,'Western United States'!D$13:D$300,'Western United States'!F$13:F$300),0),IFERROR(LOOKUP(D103,'Eastern United States'!D$13:D$300,'Eastern United States'!F$13:F$300),0),IFERROR(LOOKUP(D103,Canada!D$13:D$200,Canada!F$13:F$200),0),IFERROR(LOOKUP(D103,'South Asia'!D$11:D$200,'South Asia'!F$11:F$200),0),IFERROR(LOOKUP(D103,'Latin America'!D$11:D$200,'Latin America'!F$11:F$200),0))</f>
        <v>15.683669319818863</v>
      </c>
      <c r="H103" s="339">
        <f t="shared" si="2"/>
        <v>3.8347652571984137E-2</v>
      </c>
      <c r="I103" s="197">
        <f>-INTERCEPT(H$32:H103,E$32:E103)/SLOPE(H$32:H103,E$32:E103)</f>
        <v>19.928881926362497</v>
      </c>
      <c r="J103" s="339"/>
    </row>
    <row r="104" spans="3:10" x14ac:dyDescent="0.15">
      <c r="C104" s="354"/>
      <c r="D104" s="195">
        <v>1897</v>
      </c>
      <c r="E104" s="196">
        <f>SUM(IFERROR(LOOKUP(D104,'United Kingdom'!D$12:D$303,'United Kingdom'!F$12:F$303),0),IFERROR(LOOKUP(D104,'Pennsylvania anthracite'!D$8:D$300,'Pennsylvania anthracite'!F$8:F$300),0),IFERROR(LOOKUP(D104,'France and Belgium'!D$8:D$300,'France and Belgium'!F$8:F$300),0),IFERROR(LOOKUP(D104,'Japan and South Korea'!D$8:D$200,'Japan and South Korea'!F$8:F$200),0),IFERROR(LOOKUP(D104,Australia!D$57:D$248,Australia!F$57:F$248),0),IFERROR(LOOKUP(D104,China!D$11:D$200,China!F$11:F$200),0),IFERROR(LOOKUP(D104,Africa!D$18:D$200,Africa!F$18:F$200),0),IFERROR(LOOKUP(D104,Europe!D$18:D$300,Europe!F$18:F$300),0),IFERROR(LOOKUP(D104,Russia!D$18:D$198,Russia!F$18:F$198),0),IFERROR(LOOKUP(D104,'Western United States'!D$13:D$300,'Western United States'!F$13:F$300),0),IFERROR(LOOKUP(D104,'Eastern United States'!D$13:D$300,'Eastern United States'!F$13:F$300),0),IFERROR(LOOKUP(D104,Canada!D$13:D$200,Canada!F$13:F$200),0),IFERROR(LOOKUP(D104,'South Asia'!D$11:D$200,'South Asia'!F$11:F$200),0),IFERROR(LOOKUP(D104,'Latin America'!D$11:D$200,'Latin America'!F$11:F$200),0))</f>
        <v>16.314330673552508</v>
      </c>
      <c r="H104" s="339">
        <f t="shared" si="2"/>
        <v>3.8656894135168152E-2</v>
      </c>
      <c r="I104" s="197">
        <f>-INTERCEPT(H$32:H104,E$32:E104)/SLOPE(H$32:H104,E$32:E104)</f>
        <v>20.816786590530295</v>
      </c>
      <c r="J104" s="339"/>
    </row>
    <row r="105" spans="3:10" x14ac:dyDescent="0.15">
      <c r="C105" s="354"/>
      <c r="D105" s="195">
        <v>1898</v>
      </c>
      <c r="E105" s="196">
        <f>SUM(IFERROR(LOOKUP(D105,'United Kingdom'!D$12:D$303,'United Kingdom'!F$12:F$303),0),IFERROR(LOOKUP(D105,'Pennsylvania anthracite'!D$8:D$300,'Pennsylvania anthracite'!F$8:F$300),0),IFERROR(LOOKUP(D105,'France and Belgium'!D$8:D$300,'France and Belgium'!F$8:F$300),0),IFERROR(LOOKUP(D105,'Japan and South Korea'!D$8:D$200,'Japan and South Korea'!F$8:F$200),0),IFERROR(LOOKUP(D105,Australia!D$57:D$248,Australia!F$57:F$248),0),IFERROR(LOOKUP(D105,China!D$11:D$200,China!F$11:F$200),0),IFERROR(LOOKUP(D105,Africa!D$18:D$200,Africa!F$18:F$200),0),IFERROR(LOOKUP(D105,Europe!D$18:D$300,Europe!F$18:F$300),0),IFERROR(LOOKUP(D105,Russia!D$18:D$198,Russia!F$18:F$198),0),IFERROR(LOOKUP(D105,'Western United States'!D$13:D$300,'Western United States'!F$13:F$300),0),IFERROR(LOOKUP(D105,'Eastern United States'!D$13:D$300,'Eastern United States'!F$13:F$300),0),IFERROR(LOOKUP(D105,Canada!D$13:D$200,Canada!F$13:F$200),0),IFERROR(LOOKUP(D105,'South Asia'!D$11:D$200,'South Asia'!F$11:F$200),0),IFERROR(LOOKUP(D105,'Latin America'!D$11:D$200,'Latin America'!F$11:F$200),0))</f>
        <v>16.979949812267456</v>
      </c>
      <c r="H105" s="339">
        <f t="shared" si="2"/>
        <v>3.9200300711964453E-2</v>
      </c>
      <c r="I105" s="197">
        <f>-INTERCEPT(H$32:H105,E$32:E105)/SLOPE(H$32:H105,E$32:E105)</f>
        <v>21.768044095363788</v>
      </c>
      <c r="J105" s="339"/>
    </row>
    <row r="106" spans="3:10" x14ac:dyDescent="0.15">
      <c r="C106" s="354"/>
      <c r="D106" s="195">
        <v>1899</v>
      </c>
      <c r="E106" s="196">
        <f>SUM(IFERROR(LOOKUP(D106,'United Kingdom'!D$12:D$303,'United Kingdom'!F$12:F$303),0),IFERROR(LOOKUP(D106,'Pennsylvania anthracite'!D$8:D$300,'Pennsylvania anthracite'!F$8:F$300),0),IFERROR(LOOKUP(D106,'France and Belgium'!D$8:D$300,'France and Belgium'!F$8:F$300),0),IFERROR(LOOKUP(D106,'Japan and South Korea'!D$8:D$200,'Japan and South Korea'!F$8:F$200),0),IFERROR(LOOKUP(D106,Australia!D$57:D$248,Australia!F$57:F$248),0),IFERROR(LOOKUP(D106,China!D$11:D$200,China!F$11:F$200),0),IFERROR(LOOKUP(D106,Africa!D$18:D$200,Africa!F$18:F$200),0),IFERROR(LOOKUP(D106,Europe!D$18:D$300,Europe!F$18:F$300),0),IFERROR(LOOKUP(D106,Russia!D$18:D$198,Russia!F$18:F$198),0),IFERROR(LOOKUP(D106,'Western United States'!D$13:D$300,'Western United States'!F$13:F$300),0),IFERROR(LOOKUP(D106,'Eastern United States'!D$13:D$300,'Eastern United States'!F$13:F$300),0),IFERROR(LOOKUP(D106,Canada!D$13:D$200,Canada!F$13:F$200),0),IFERROR(LOOKUP(D106,'South Asia'!D$11:D$200,'South Asia'!F$11:F$200),0),IFERROR(LOOKUP(D106,'Latin America'!D$11:D$200,'Latin America'!F$11:F$200),0))</f>
        <v>17.709149375267142</v>
      </c>
      <c r="H106" s="339">
        <f t="shared" si="2"/>
        <v>4.1176430756075466E-2</v>
      </c>
      <c r="I106" s="197">
        <f>-INTERCEPT(H$32:H106,E$32:E106)/SLOPE(H$32:H106,E$32:E106)</f>
        <v>22.855378218323832</v>
      </c>
      <c r="J106" s="339"/>
    </row>
    <row r="107" spans="3:10" x14ac:dyDescent="0.15">
      <c r="C107" s="354"/>
      <c r="D107" s="195">
        <v>1900</v>
      </c>
      <c r="E107" s="196">
        <f>SUM(IFERROR(LOOKUP(D107,'United Kingdom'!D$12:D$303,'United Kingdom'!F$12:F$303),0),IFERROR(LOOKUP(D107,'Pennsylvania anthracite'!D$8:D$300,'Pennsylvania anthracite'!F$8:F$300),0),IFERROR(LOOKUP(D107,'France and Belgium'!D$8:D$300,'France and Belgium'!F$8:F$300),0),IFERROR(LOOKUP(D107,'Japan and South Korea'!D$8:D$200,'Japan and South Korea'!F$8:F$200),0),IFERROR(LOOKUP(D107,Australia!D$57:D$248,Australia!F$57:F$248),0),IFERROR(LOOKUP(D107,China!D$11:D$200,China!F$11:F$200),0),IFERROR(LOOKUP(D107,Africa!D$18:D$200,Africa!F$18:F$200),0),IFERROR(LOOKUP(D107,Europe!D$18:D$300,Europe!F$18:F$300),0),IFERROR(LOOKUP(D107,Russia!D$18:D$198,Russia!F$18:F$198),0),IFERROR(LOOKUP(D107,'Western United States'!D$13:D$300,'Western United States'!F$13:F$300),0),IFERROR(LOOKUP(D107,'Eastern United States'!D$13:D$300,'Eastern United States'!F$13:F$300),0),IFERROR(LOOKUP(D107,Canada!D$13:D$200,Canada!F$13:F$200),0),IFERROR(LOOKUP(D107,'South Asia'!D$11:D$200,'South Asia'!F$11:F$200),0),IFERROR(LOOKUP(D107,'Latin America'!D$11:D$200,'Latin America'!F$11:F$200),0))</f>
        <v>18.47820414619904</v>
      </c>
      <c r="H107" s="339">
        <f t="shared" si="2"/>
        <v>4.1619562423228951E-2</v>
      </c>
      <c r="I107" s="197">
        <f>-INTERCEPT(H$32:H107,E$32:E107)/SLOPE(H$32:H107,E$32:E107)</f>
        <v>24.025376507930211</v>
      </c>
      <c r="J107" s="339"/>
    </row>
    <row r="108" spans="3:10" x14ac:dyDescent="0.15">
      <c r="C108" s="354"/>
      <c r="D108" s="195">
        <v>1901</v>
      </c>
      <c r="E108" s="196">
        <f>SUM(IFERROR(LOOKUP(D108,'United Kingdom'!D$12:D$303,'United Kingdom'!F$12:F$303),0),IFERROR(LOOKUP(D108,'Pennsylvania anthracite'!D$8:D$300,'Pennsylvania anthracite'!F$8:F$300),0),IFERROR(LOOKUP(D108,'France and Belgium'!D$8:D$300,'France and Belgium'!F$8:F$300),0),IFERROR(LOOKUP(D108,'Japan and South Korea'!D$8:D$200,'Japan and South Korea'!F$8:F$200),0),IFERROR(LOOKUP(D108,Australia!D$57:D$248,Australia!F$57:F$248),0),IFERROR(LOOKUP(D108,China!D$11:D$200,China!F$11:F$200),0),IFERROR(LOOKUP(D108,Africa!D$18:D$200,Africa!F$18:F$200),0),IFERROR(LOOKUP(D108,Europe!D$18:D$300,Europe!F$18:F$300),0),IFERROR(LOOKUP(D108,Russia!D$18:D$198,Russia!F$18:F$198),0),IFERROR(LOOKUP(D108,'Western United States'!D$13:D$300,'Western United States'!F$13:F$300),0),IFERROR(LOOKUP(D108,'Eastern United States'!D$13:D$300,'Eastern United States'!F$13:F$300),0),IFERROR(LOOKUP(D108,Canada!D$13:D$200,Canada!F$13:F$200),0),IFERROR(LOOKUP(D108,'South Asia'!D$11:D$200,'South Asia'!F$11:F$200),0),IFERROR(LOOKUP(D108,'Latin America'!D$11:D$200,'Latin America'!F$11:F$200),0))</f>
        <v>19.269661556122728</v>
      </c>
      <c r="H108" s="339">
        <f t="shared" si="2"/>
        <v>4.107271980976801E-2</v>
      </c>
      <c r="I108" s="197">
        <f>-INTERCEPT(H$32:H108,E$32:E108)/SLOPE(H$32:H108,E$32:E108)</f>
        <v>25.233773634540078</v>
      </c>
      <c r="J108" s="339"/>
    </row>
    <row r="109" spans="3:10" x14ac:dyDescent="0.15">
      <c r="C109" s="354"/>
      <c r="D109" s="195">
        <v>1902</v>
      </c>
      <c r="E109" s="196">
        <f>SUM(IFERROR(LOOKUP(D109,'United Kingdom'!D$12:D$303,'United Kingdom'!F$12:F$303),0),IFERROR(LOOKUP(D109,'Pennsylvania anthracite'!D$8:D$300,'Pennsylvania anthracite'!F$8:F$300),0),IFERROR(LOOKUP(D109,'France and Belgium'!D$8:D$300,'France and Belgium'!F$8:F$300),0),IFERROR(LOOKUP(D109,'Japan and South Korea'!D$8:D$200,'Japan and South Korea'!F$8:F$200),0),IFERROR(LOOKUP(D109,Australia!D$57:D$248,Australia!F$57:F$248),0),IFERROR(LOOKUP(D109,China!D$11:D$200,China!F$11:F$200),0),IFERROR(LOOKUP(D109,Africa!D$18:D$200,Africa!F$18:F$200),0),IFERROR(LOOKUP(D109,Europe!D$18:D$300,Europe!F$18:F$300),0),IFERROR(LOOKUP(D109,Russia!D$18:D$198,Russia!F$18:F$198),0),IFERROR(LOOKUP(D109,'Western United States'!D$13:D$300,'Western United States'!F$13:F$300),0),IFERROR(LOOKUP(D109,'Eastern United States'!D$13:D$300,'Eastern United States'!F$13:F$300),0),IFERROR(LOOKUP(D109,Canada!D$13:D$200,Canada!F$13:F$200),0),IFERROR(LOOKUP(D109,'South Asia'!D$11:D$200,'South Asia'!F$11:F$200),0),IFERROR(LOOKUP(D109,'Latin America'!D$11:D$200,'Latin America'!F$11:F$200),0))</f>
        <v>20.075482635929099</v>
      </c>
      <c r="H109" s="339">
        <f t="shared" si="2"/>
        <v>4.0139561993104644E-2</v>
      </c>
      <c r="I109" s="197">
        <f>-INTERCEPT(H$32:H109,E$32:E109)/SLOPE(H$32:H109,E$32:E109)</f>
        <v>26.456052848540658</v>
      </c>
      <c r="J109" s="339"/>
    </row>
    <row r="110" spans="3:10" x14ac:dyDescent="0.15">
      <c r="C110" s="354"/>
      <c r="D110" s="195">
        <v>1903</v>
      </c>
      <c r="E110" s="196">
        <f>SUM(IFERROR(LOOKUP(D110,'United Kingdom'!D$12:D$303,'United Kingdom'!F$12:F$303),0),IFERROR(LOOKUP(D110,'Pennsylvania anthracite'!D$8:D$300,'Pennsylvania anthracite'!F$8:F$300),0),IFERROR(LOOKUP(D110,'France and Belgium'!D$8:D$300,'France and Belgium'!F$8:F$300),0),IFERROR(LOOKUP(D110,'Japan and South Korea'!D$8:D$200,'Japan and South Korea'!F$8:F$200),0),IFERROR(LOOKUP(D110,Australia!D$57:D$248,Australia!F$57:F$248),0),IFERROR(LOOKUP(D110,China!D$11:D$200,China!F$11:F$200),0),IFERROR(LOOKUP(D110,Africa!D$18:D$200,Africa!F$18:F$200),0),IFERROR(LOOKUP(D110,Europe!D$18:D$300,Europe!F$18:F$300),0),IFERROR(LOOKUP(D110,Russia!D$18:D$198,Russia!F$18:F$198),0),IFERROR(LOOKUP(D110,'Western United States'!D$13:D$300,'Western United States'!F$13:F$300),0),IFERROR(LOOKUP(D110,'Eastern United States'!D$13:D$300,'Eastern United States'!F$13:F$300),0),IFERROR(LOOKUP(D110,Canada!D$13:D$200,Canada!F$13:F$200),0),IFERROR(LOOKUP(D110,'South Asia'!D$11:D$200,'South Asia'!F$11:F$200),0),IFERROR(LOOKUP(D110,'Latin America'!D$11:D$200,'Latin America'!F$11:F$200),0))</f>
        <v>20.957224170674998</v>
      </c>
      <c r="H110" s="339">
        <f t="shared" si="2"/>
        <v>4.2073393287442196E-2</v>
      </c>
      <c r="I110" s="197">
        <f>-INTERCEPT(H$32:H110,E$32:E110)/SLOPE(H$32:H110,E$32:E110)</f>
        <v>27.855114835146132</v>
      </c>
      <c r="J110" s="339"/>
    </row>
    <row r="111" spans="3:10" x14ac:dyDescent="0.15">
      <c r="C111" s="354"/>
      <c r="D111" s="195">
        <v>1904</v>
      </c>
      <c r="E111" s="196">
        <f>SUM(IFERROR(LOOKUP(D111,'United Kingdom'!D$12:D$303,'United Kingdom'!F$12:F$303),0),IFERROR(LOOKUP(D111,'Pennsylvania anthracite'!D$8:D$300,'Pennsylvania anthracite'!F$8:F$300),0),IFERROR(LOOKUP(D111,'France and Belgium'!D$8:D$300,'France and Belgium'!F$8:F$300),0),IFERROR(LOOKUP(D111,'Japan and South Korea'!D$8:D$200,'Japan and South Korea'!F$8:F$200),0),IFERROR(LOOKUP(D111,Australia!D$57:D$248,Australia!F$57:F$248),0),IFERROR(LOOKUP(D111,China!D$11:D$200,China!F$11:F$200),0),IFERROR(LOOKUP(D111,Africa!D$18:D$200,Africa!F$18:F$200),0),IFERROR(LOOKUP(D111,Europe!D$18:D$300,Europe!F$18:F$300),0),IFERROR(LOOKUP(D111,Russia!D$18:D$198,Russia!F$18:F$198),0),IFERROR(LOOKUP(D111,'Western United States'!D$13:D$300,'Western United States'!F$13:F$300),0),IFERROR(LOOKUP(D111,'Eastern United States'!D$13:D$300,'Eastern United States'!F$13:F$300),0),IFERROR(LOOKUP(D111,Canada!D$13:D$200,Canada!F$13:F$200),0),IFERROR(LOOKUP(D111,'South Asia'!D$11:D$200,'South Asia'!F$11:F$200),0),IFERROR(LOOKUP(D111,'Latin America'!D$11:D$200,'Latin America'!F$11:F$200),0))</f>
        <v>21.847346010271142</v>
      </c>
      <c r="H111" s="339">
        <f t="shared" si="2"/>
        <v>4.0742790413886842E-2</v>
      </c>
      <c r="I111" s="197">
        <f>-INTERCEPT(H$32:H111,E$32:E111)/SLOPE(H$32:H111,E$32:E111)</f>
        <v>29.251766453229763</v>
      </c>
      <c r="J111" s="339"/>
    </row>
    <row r="112" spans="3:10" x14ac:dyDescent="0.15">
      <c r="C112" s="354"/>
      <c r="D112" s="195">
        <v>1905</v>
      </c>
      <c r="E112" s="196">
        <f>SUM(IFERROR(LOOKUP(D112,'United Kingdom'!D$12:D$303,'United Kingdom'!F$12:F$303),0),IFERROR(LOOKUP(D112,'Pennsylvania anthracite'!D$8:D$300,'Pennsylvania anthracite'!F$8:F$300),0),IFERROR(LOOKUP(D112,'France and Belgium'!D$8:D$300,'France and Belgium'!F$8:F$300),0),IFERROR(LOOKUP(D112,'Japan and South Korea'!D$8:D$200,'Japan and South Korea'!F$8:F$200),0),IFERROR(LOOKUP(D112,Australia!D$57:D$248,Australia!F$57:F$248),0),IFERROR(LOOKUP(D112,China!D$11:D$200,China!F$11:F$200),0),IFERROR(LOOKUP(D112,Africa!D$18:D$200,Africa!F$18:F$200),0),IFERROR(LOOKUP(D112,Europe!D$18:D$300,Europe!F$18:F$300),0),IFERROR(LOOKUP(D112,Russia!D$18:D$198,Russia!F$18:F$198),0),IFERROR(LOOKUP(D112,'Western United States'!D$13:D$300,'Western United States'!F$13:F$300),0),IFERROR(LOOKUP(D112,'Eastern United States'!D$13:D$300,'Eastern United States'!F$13:F$300),0),IFERROR(LOOKUP(D112,Canada!D$13:D$200,Canada!F$13:F$200),0),IFERROR(LOOKUP(D112,'South Asia'!D$11:D$200,'South Asia'!F$11:F$200),0),IFERROR(LOOKUP(D112,'Latin America'!D$11:D$200,'Latin America'!F$11:F$200),0))</f>
        <v>22.78792377840016</v>
      </c>
      <c r="H112" s="339">
        <f t="shared" si="2"/>
        <v>4.1275272695995069E-2</v>
      </c>
      <c r="I112" s="197">
        <f>-INTERCEPT(H$32:H112,E$32:E112)/SLOPE(H$32:H112,E$32:E112)</f>
        <v>30.757999108337831</v>
      </c>
      <c r="J112" s="339"/>
    </row>
    <row r="113" spans="3:10" x14ac:dyDescent="0.15">
      <c r="C113" s="354"/>
      <c r="D113" s="195">
        <v>1906</v>
      </c>
      <c r="E113" s="196">
        <f>SUM(IFERROR(LOOKUP(D113,'United Kingdom'!D$12:D$303,'United Kingdom'!F$12:F$303),0),IFERROR(LOOKUP(D113,'Pennsylvania anthracite'!D$8:D$300,'Pennsylvania anthracite'!F$8:F$300),0),IFERROR(LOOKUP(D113,'France and Belgium'!D$8:D$300,'France and Belgium'!F$8:F$300),0),IFERROR(LOOKUP(D113,'Japan and South Korea'!D$8:D$200,'Japan and South Korea'!F$8:F$200),0),IFERROR(LOOKUP(D113,Australia!D$57:D$248,Australia!F$57:F$248),0),IFERROR(LOOKUP(D113,China!D$11:D$200,China!F$11:F$200),0),IFERROR(LOOKUP(D113,Africa!D$18:D$200,Africa!F$18:F$200),0),IFERROR(LOOKUP(D113,Europe!D$18:D$300,Europe!F$18:F$300),0),IFERROR(LOOKUP(D113,Russia!D$18:D$198,Russia!F$18:F$198),0),IFERROR(LOOKUP(D113,'Western United States'!D$13:D$300,'Western United States'!F$13:F$300),0),IFERROR(LOOKUP(D113,'Eastern United States'!D$13:D$300,'Eastern United States'!F$13:F$300),0),IFERROR(LOOKUP(D113,Canada!D$13:D$200,Canada!F$13:F$200),0),IFERROR(LOOKUP(D113,'South Asia'!D$11:D$200,'South Asia'!F$11:F$200),0),IFERROR(LOOKUP(D113,'Latin America'!D$11:D$200,'Latin America'!F$11:F$200),0))</f>
        <v>23.794619885830734</v>
      </c>
      <c r="H113" s="339">
        <f t="shared" si="2"/>
        <v>4.2307719655149567E-2</v>
      </c>
      <c r="I113" s="197">
        <f>-INTERCEPT(H$32:H113,E$32:E113)/SLOPE(H$32:H113,E$32:E113)</f>
        <v>32.421968662799067</v>
      </c>
      <c r="J113" s="339"/>
    </row>
    <row r="114" spans="3:10" x14ac:dyDescent="0.15">
      <c r="C114" s="354"/>
      <c r="D114" s="195">
        <v>1907</v>
      </c>
      <c r="E114" s="196">
        <f>SUM(IFERROR(LOOKUP(D114,'United Kingdom'!D$12:D$303,'United Kingdom'!F$12:F$303),0),IFERROR(LOOKUP(D114,'Pennsylvania anthracite'!D$8:D$300,'Pennsylvania anthracite'!F$8:F$300),0),IFERROR(LOOKUP(D114,'France and Belgium'!D$8:D$300,'France and Belgium'!F$8:F$300),0),IFERROR(LOOKUP(D114,'Japan and South Korea'!D$8:D$200,'Japan and South Korea'!F$8:F$200),0),IFERROR(LOOKUP(D114,Australia!D$57:D$248,Australia!F$57:F$248),0),IFERROR(LOOKUP(D114,China!D$11:D$200,China!F$11:F$200),0),IFERROR(LOOKUP(D114,Africa!D$18:D$200,Africa!F$18:F$200),0),IFERROR(LOOKUP(D114,Europe!D$18:D$300,Europe!F$18:F$300),0),IFERROR(LOOKUP(D114,Russia!D$18:D$198,Russia!F$18:F$198),0),IFERROR(LOOKUP(D114,'Western United States'!D$13:D$300,'Western United States'!F$13:F$300),0),IFERROR(LOOKUP(D114,'Eastern United States'!D$13:D$300,'Eastern United States'!F$13:F$300),0),IFERROR(LOOKUP(D114,Canada!D$13:D$200,Canada!F$13:F$200),0),IFERROR(LOOKUP(D114,'South Asia'!D$11:D$200,'South Asia'!F$11:F$200),0),IFERROR(LOOKUP(D114,'Latin America'!D$11:D$200,'Latin America'!F$11:F$200),0))</f>
        <v>24.90671940239276</v>
      </c>
      <c r="H114" s="339">
        <f t="shared" si="2"/>
        <v>4.4650581981310111E-2</v>
      </c>
      <c r="I114" s="197">
        <f>-INTERCEPT(H$32:H114,E$32:E114)/SLOPE(H$32:H114,E$32:E114)</f>
        <v>34.369965982676788</v>
      </c>
      <c r="J114" s="339"/>
    </row>
    <row r="115" spans="3:10" x14ac:dyDescent="0.15">
      <c r="C115" s="354"/>
      <c r="D115" s="195">
        <v>1908</v>
      </c>
      <c r="E115" s="196">
        <f>SUM(IFERROR(LOOKUP(D115,'United Kingdom'!D$12:D$303,'United Kingdom'!F$12:F$303),0),IFERROR(LOOKUP(D115,'Pennsylvania anthracite'!D$8:D$300,'Pennsylvania anthracite'!F$8:F$300),0),IFERROR(LOOKUP(D115,'France and Belgium'!D$8:D$300,'France and Belgium'!F$8:F$300),0),IFERROR(LOOKUP(D115,'Japan and South Korea'!D$8:D$200,'Japan and South Korea'!F$8:F$200),0),IFERROR(LOOKUP(D115,Australia!D$57:D$248,Australia!F$57:F$248),0),IFERROR(LOOKUP(D115,China!D$11:D$200,China!F$11:F$200),0),IFERROR(LOOKUP(D115,Africa!D$18:D$200,Africa!F$18:F$200),0),IFERROR(LOOKUP(D115,Europe!D$18:D$300,Europe!F$18:F$300),0),IFERROR(LOOKUP(D115,Russia!D$18:D$198,Russia!F$18:F$198),0),IFERROR(LOOKUP(D115,'Western United States'!D$13:D$300,'Western United States'!F$13:F$300),0),IFERROR(LOOKUP(D115,'Eastern United States'!D$13:D$300,'Eastern United States'!F$13:F$300),0),IFERROR(LOOKUP(D115,Canada!D$13:D$200,Canada!F$13:F$200),0),IFERROR(LOOKUP(D115,'South Asia'!D$11:D$200,'South Asia'!F$11:F$200),0),IFERROR(LOOKUP(D115,'Latin America'!D$11:D$200,'Latin America'!F$11:F$200),0))</f>
        <v>25.970904225666089</v>
      </c>
      <c r="H115" s="339">
        <f t="shared" si="2"/>
        <v>4.0976040496180866E-2</v>
      </c>
      <c r="I115" s="197">
        <f>-INTERCEPT(H$32:H115,E$32:E115)/SLOPE(H$32:H115,E$32:E115)</f>
        <v>36.141115096082729</v>
      </c>
      <c r="J115" s="339"/>
    </row>
    <row r="116" spans="3:10" x14ac:dyDescent="0.15">
      <c r="C116" s="354"/>
      <c r="D116" s="195">
        <v>1909</v>
      </c>
      <c r="E116" s="196">
        <f>SUM(IFERROR(LOOKUP(D116,'United Kingdom'!D$12:D$303,'United Kingdom'!F$12:F$303),0),IFERROR(LOOKUP(D116,'Pennsylvania anthracite'!D$8:D$300,'Pennsylvania anthracite'!F$8:F$300),0),IFERROR(LOOKUP(D116,'France and Belgium'!D$8:D$300,'France and Belgium'!F$8:F$300),0),IFERROR(LOOKUP(D116,'Japan and South Korea'!D$8:D$200,'Japan and South Korea'!F$8:F$200),0),IFERROR(LOOKUP(D116,Australia!D$57:D$248,Australia!F$57:F$248),0),IFERROR(LOOKUP(D116,China!D$11:D$200,China!F$11:F$200),0),IFERROR(LOOKUP(D116,Africa!D$18:D$200,Africa!F$18:F$200),0),IFERROR(LOOKUP(D116,Europe!D$18:D$300,Europe!F$18:F$300),0),IFERROR(LOOKUP(D116,Russia!D$18:D$198,Russia!F$18:F$198),0),IFERROR(LOOKUP(D116,'Western United States'!D$13:D$300,'Western United States'!F$13:F$300),0),IFERROR(LOOKUP(D116,'Eastern United States'!D$13:D$300,'Eastern United States'!F$13:F$300),0),IFERROR(LOOKUP(D116,Canada!D$13:D$200,Canada!F$13:F$200),0),IFERROR(LOOKUP(D116,'South Asia'!D$11:D$200,'South Asia'!F$11:F$200),0),IFERROR(LOOKUP(D116,'Latin America'!D$11:D$200,'Latin America'!F$11:F$200),0))</f>
        <v>27.073235839075259</v>
      </c>
      <c r="H116" s="339">
        <f t="shared" si="2"/>
        <v>4.0716655369956056E-2</v>
      </c>
      <c r="I116" s="197">
        <f>-INTERCEPT(H$32:H116,E$32:E116)/SLOPE(H$32:H116,E$32:E116)</f>
        <v>37.980934942155038</v>
      </c>
      <c r="J116" s="339"/>
    </row>
    <row r="117" spans="3:10" x14ac:dyDescent="0.15">
      <c r="C117" s="354"/>
      <c r="D117" s="195">
        <v>1910</v>
      </c>
      <c r="E117" s="196">
        <f>SUM(IFERROR(LOOKUP(D117,'United Kingdom'!D$12:D$303,'United Kingdom'!F$12:F$303),0),IFERROR(LOOKUP(D117,'Pennsylvania anthracite'!D$8:D$300,'Pennsylvania anthracite'!F$8:F$300),0),IFERROR(LOOKUP(D117,'France and Belgium'!D$8:D$300,'France and Belgium'!F$8:F$300),0),IFERROR(LOOKUP(D117,'Japan and South Korea'!D$8:D$200,'Japan and South Korea'!F$8:F$200),0),IFERROR(LOOKUP(D117,Australia!D$57:D$248,Australia!F$57:F$248),0),IFERROR(LOOKUP(D117,China!D$11:D$200,China!F$11:F$200),0),IFERROR(LOOKUP(D117,Africa!D$18:D$200,Africa!F$18:F$200),0),IFERROR(LOOKUP(D117,Europe!D$18:D$300,Europe!F$18:F$300),0),IFERROR(LOOKUP(D117,Russia!D$18:D$198,Russia!F$18:F$198),0),IFERROR(LOOKUP(D117,'Western United States'!D$13:D$300,'Western United States'!F$13:F$300),0),IFERROR(LOOKUP(D117,'Eastern United States'!D$13:D$300,'Eastern United States'!F$13:F$300),0),IFERROR(LOOKUP(D117,Canada!D$13:D$200,Canada!F$13:F$200),0),IFERROR(LOOKUP(D117,'South Asia'!D$11:D$200,'South Asia'!F$11:F$200),0),IFERROR(LOOKUP(D117,'Latin America'!D$11:D$200,'Latin America'!F$11:F$200),0))</f>
        <v>28.230950581872037</v>
      </c>
      <c r="H117" s="339">
        <f t="shared" si="2"/>
        <v>4.100870565584791E-2</v>
      </c>
      <c r="I117" s="197">
        <f>-INTERCEPT(H$32:H117,E$32:E117)/SLOPE(H$32:H117,E$32:E117)</f>
        <v>39.941922620438753</v>
      </c>
      <c r="J117" s="339"/>
    </row>
    <row r="118" spans="3:10" x14ac:dyDescent="0.15">
      <c r="C118" s="354"/>
      <c r="D118" s="195">
        <v>1911</v>
      </c>
      <c r="E118" s="196">
        <f>SUM(IFERROR(LOOKUP(D118,'United Kingdom'!D$12:D$303,'United Kingdom'!F$12:F$303),0),IFERROR(LOOKUP(D118,'Pennsylvania anthracite'!D$8:D$300,'Pennsylvania anthracite'!F$8:F$300),0),IFERROR(LOOKUP(D118,'France and Belgium'!D$8:D$300,'France and Belgium'!F$8:F$300),0),IFERROR(LOOKUP(D118,'Japan and South Korea'!D$8:D$200,'Japan and South Korea'!F$8:F$200),0),IFERROR(LOOKUP(D118,Australia!D$57:D$248,Australia!F$57:F$248),0),IFERROR(LOOKUP(D118,China!D$11:D$200,China!F$11:F$200),0),IFERROR(LOOKUP(D118,Africa!D$18:D$200,Africa!F$18:F$200),0),IFERROR(LOOKUP(D118,Europe!D$18:D$300,Europe!F$18:F$300),0),IFERROR(LOOKUP(D118,Russia!D$18:D$198,Russia!F$18:F$198),0),IFERROR(LOOKUP(D118,'Western United States'!D$13:D$300,'Western United States'!F$13:F$300),0),IFERROR(LOOKUP(D118,'Eastern United States'!D$13:D$300,'Eastern United States'!F$13:F$300),0),IFERROR(LOOKUP(D118,Canada!D$13:D$200,Canada!F$13:F$200),0),IFERROR(LOOKUP(D118,'South Asia'!D$11:D$200,'South Asia'!F$11:F$200),0),IFERROR(LOOKUP(D118,'Latin America'!D$11:D$200,'Latin America'!F$11:F$200),0))</f>
        <v>29.411064329013815</v>
      </c>
      <c r="H118" s="339">
        <f t="shared" si="2"/>
        <v>4.012482288774577E-2</v>
      </c>
      <c r="I118" s="197">
        <f>-INTERCEPT(H$32:H118,E$32:E118)/SLOPE(H$32:H118,E$32:E118)</f>
        <v>41.915611334774077</v>
      </c>
      <c r="J118" s="339"/>
    </row>
    <row r="119" spans="3:10" x14ac:dyDescent="0.15">
      <c r="C119" s="354"/>
      <c r="D119" s="195">
        <v>1912</v>
      </c>
      <c r="E119" s="196">
        <f>SUM(IFERROR(LOOKUP(D119,'United Kingdom'!D$12:D$303,'United Kingdom'!F$12:F$303),0),IFERROR(LOOKUP(D119,'Pennsylvania anthracite'!D$8:D$300,'Pennsylvania anthracite'!F$8:F$300),0),IFERROR(LOOKUP(D119,'France and Belgium'!D$8:D$300,'France and Belgium'!F$8:F$300),0),IFERROR(LOOKUP(D119,'Japan and South Korea'!D$8:D$200,'Japan and South Korea'!F$8:F$200),0),IFERROR(LOOKUP(D119,Australia!D$57:D$248,Australia!F$57:F$248),0),IFERROR(LOOKUP(D119,China!D$11:D$200,China!F$11:F$200),0),IFERROR(LOOKUP(D119,Africa!D$18:D$200,Africa!F$18:F$200),0),IFERROR(LOOKUP(D119,Europe!D$18:D$300,Europe!F$18:F$300),0),IFERROR(LOOKUP(D119,Russia!D$18:D$198,Russia!F$18:F$198),0),IFERROR(LOOKUP(D119,'Western United States'!D$13:D$300,'Western United States'!F$13:F$300),0),IFERROR(LOOKUP(D119,'Eastern United States'!D$13:D$300,'Eastern United States'!F$13:F$300),0),IFERROR(LOOKUP(D119,Canada!D$13:D$200,Canada!F$13:F$200),0),IFERROR(LOOKUP(D119,'South Asia'!D$11:D$200,'South Asia'!F$11:F$200),0),IFERROR(LOOKUP(D119,'Latin America'!D$11:D$200,'Latin America'!F$11:F$200),0))</f>
        <v>30.656061029382176</v>
      </c>
      <c r="H119" s="339">
        <f t="shared" si="2"/>
        <v>4.0611763500049802E-2</v>
      </c>
      <c r="I119" s="197">
        <f>-INTERCEPT(H$32:H119,E$32:E119)/SLOPE(H$32:H119,E$32:E119)</f>
        <v>44.036382142378194</v>
      </c>
      <c r="J119" s="339"/>
    </row>
    <row r="120" spans="3:10" x14ac:dyDescent="0.15">
      <c r="C120" s="354"/>
      <c r="D120" s="195">
        <v>1913</v>
      </c>
      <c r="E120" s="196">
        <f>SUM(IFERROR(LOOKUP(D120,'United Kingdom'!D$12:D$303,'United Kingdom'!F$12:F$303),0),IFERROR(LOOKUP(D120,'Pennsylvania anthracite'!D$8:D$300,'Pennsylvania anthracite'!F$8:F$300),0),IFERROR(LOOKUP(D120,'France and Belgium'!D$8:D$300,'France and Belgium'!F$8:F$300),0),IFERROR(LOOKUP(D120,'Japan and South Korea'!D$8:D$200,'Japan and South Korea'!F$8:F$200),0),IFERROR(LOOKUP(D120,Australia!D$57:D$248,Australia!F$57:F$248),0),IFERROR(LOOKUP(D120,China!D$11:D$200,China!F$11:F$200),0),IFERROR(LOOKUP(D120,Africa!D$18:D$200,Africa!F$18:F$200),0),IFERROR(LOOKUP(D120,Europe!D$18:D$300,Europe!F$18:F$300),0),IFERROR(LOOKUP(D120,Russia!D$18:D$198,Russia!F$18:F$198),0),IFERROR(LOOKUP(D120,'Western United States'!D$13:D$300,'Western United States'!F$13:F$300),0),IFERROR(LOOKUP(D120,'Eastern United States'!D$13:D$300,'Eastern United States'!F$13:F$300),0),IFERROR(LOOKUP(D120,Canada!D$13:D$200,Canada!F$13:F$200),0),IFERROR(LOOKUP(D120,'South Asia'!D$11:D$200,'South Asia'!F$11:F$200),0),IFERROR(LOOKUP(D120,'Latin America'!D$11:D$200,'Latin America'!F$11:F$200),0))</f>
        <v>32.033415206893622</v>
      </c>
      <c r="H120" s="339">
        <f t="shared" si="2"/>
        <v>4.2997419058053987E-2</v>
      </c>
      <c r="I120" s="197">
        <f>-INTERCEPT(H$32:H120,E$32:E120)/SLOPE(H$32:H120,E$32:E120)</f>
        <v>46.537880339821996</v>
      </c>
      <c r="J120" s="339"/>
    </row>
    <row r="121" spans="3:10" x14ac:dyDescent="0.15">
      <c r="C121" s="354"/>
      <c r="D121" s="195">
        <v>1914</v>
      </c>
      <c r="E121" s="196">
        <f>SUM(IFERROR(LOOKUP(D121,'United Kingdom'!D$12:D$303,'United Kingdom'!F$12:F$303),0),IFERROR(LOOKUP(D121,'Pennsylvania anthracite'!D$8:D$300,'Pennsylvania anthracite'!F$8:F$300),0),IFERROR(LOOKUP(D121,'France and Belgium'!D$8:D$300,'France and Belgium'!F$8:F$300),0),IFERROR(LOOKUP(D121,'Japan and South Korea'!D$8:D$200,'Japan and South Korea'!F$8:F$200),0),IFERROR(LOOKUP(D121,Australia!D$57:D$248,Australia!F$57:F$248),0),IFERROR(LOOKUP(D121,China!D$11:D$200,China!F$11:F$200),0),IFERROR(LOOKUP(D121,Africa!D$18:D$200,Africa!F$18:F$200),0),IFERROR(LOOKUP(D121,Europe!D$18:D$300,Europe!F$18:F$300),0),IFERROR(LOOKUP(D121,Russia!D$18:D$198,Russia!F$18:F$198),0),IFERROR(LOOKUP(D121,'Western United States'!D$13:D$300,'Western United States'!F$13:F$300),0),IFERROR(LOOKUP(D121,'Eastern United States'!D$13:D$300,'Eastern United States'!F$13:F$300),0),IFERROR(LOOKUP(D121,Canada!D$13:D$200,Canada!F$13:F$200),0),IFERROR(LOOKUP(D121,'South Asia'!D$11:D$200,'South Asia'!F$11:F$200),0),IFERROR(LOOKUP(D121,'Latin America'!D$11:D$200,'Latin America'!F$11:F$200),0))</f>
        <v>33.277251475049646</v>
      </c>
      <c r="H121" s="339">
        <f t="shared" si="2"/>
        <v>3.7377974833306737E-2</v>
      </c>
      <c r="I121" s="197">
        <f>-INTERCEPT(H$32:H121,E$32:E121)/SLOPE(H$32:H121,E$32:E121)</f>
        <v>48.507518026617383</v>
      </c>
      <c r="J121" s="339"/>
    </row>
    <row r="122" spans="3:10" x14ac:dyDescent="0.15">
      <c r="C122" s="354"/>
      <c r="D122" s="195">
        <v>1915</v>
      </c>
      <c r="E122" s="196">
        <f>SUM(IFERROR(LOOKUP(D122,'United Kingdom'!D$12:D$303,'United Kingdom'!F$12:F$303),0),IFERROR(LOOKUP(D122,'Pennsylvania anthracite'!D$8:D$300,'Pennsylvania anthracite'!F$8:F$300),0),IFERROR(LOOKUP(D122,'France and Belgium'!D$8:D$300,'France and Belgium'!F$8:F$300),0),IFERROR(LOOKUP(D122,'Japan and South Korea'!D$8:D$200,'Japan and South Korea'!F$8:F$200),0),IFERROR(LOOKUP(D122,Australia!D$57:D$248,Australia!F$57:F$248),0),IFERROR(LOOKUP(D122,China!D$11:D$200,China!F$11:F$200),0),IFERROR(LOOKUP(D122,Africa!D$18:D$200,Africa!F$18:F$200),0),IFERROR(LOOKUP(D122,Europe!D$18:D$300,Europe!F$18:F$300),0),IFERROR(LOOKUP(D122,Russia!D$18:D$198,Russia!F$18:F$198),0),IFERROR(LOOKUP(D122,'Western United States'!D$13:D$300,'Western United States'!F$13:F$300),0),IFERROR(LOOKUP(D122,'Eastern United States'!D$13:D$300,'Eastern United States'!F$13:F$300),0),IFERROR(LOOKUP(D122,Canada!D$13:D$200,Canada!F$13:F$200),0),IFERROR(LOOKUP(D122,'South Asia'!D$11:D$200,'South Asia'!F$11:F$200),0),IFERROR(LOOKUP(D122,'Latin America'!D$11:D$200,'Latin America'!F$11:F$200),0))</f>
        <v>34.495483105670019</v>
      </c>
      <c r="H122" s="339">
        <f t="shared" si="2"/>
        <v>3.5315685444629485E-2</v>
      </c>
      <c r="I122" s="197">
        <f>-INTERCEPT(H$32:H122,E$32:E122)/SLOPE(H$32:H122,E$32:E122)</f>
        <v>50.296404931360023</v>
      </c>
      <c r="J122" s="339"/>
    </row>
    <row r="123" spans="3:10" x14ac:dyDescent="0.15">
      <c r="C123" s="354"/>
      <c r="D123" s="195">
        <v>1916</v>
      </c>
      <c r="E123" s="196">
        <f>SUM(IFERROR(LOOKUP(D123,'United Kingdom'!D$12:D$303,'United Kingdom'!F$12:F$303),0),IFERROR(LOOKUP(D123,'Pennsylvania anthracite'!D$8:D$300,'Pennsylvania anthracite'!F$8:F$300),0),IFERROR(LOOKUP(D123,'France and Belgium'!D$8:D$300,'France and Belgium'!F$8:F$300),0),IFERROR(LOOKUP(D123,'Japan and South Korea'!D$8:D$200,'Japan and South Korea'!F$8:F$200),0),IFERROR(LOOKUP(D123,Australia!D$57:D$248,Australia!F$57:F$248),0),IFERROR(LOOKUP(D123,China!D$11:D$200,China!F$11:F$200),0),IFERROR(LOOKUP(D123,Africa!D$18:D$200,Africa!F$18:F$200),0),IFERROR(LOOKUP(D123,Europe!D$18:D$300,Europe!F$18:F$300),0),IFERROR(LOOKUP(D123,Russia!D$18:D$198,Russia!F$18:F$198),0),IFERROR(LOOKUP(D123,'Western United States'!D$13:D$300,'Western United States'!F$13:F$300),0),IFERROR(LOOKUP(D123,'Eastern United States'!D$13:D$300,'Eastern United States'!F$13:F$300),0),IFERROR(LOOKUP(D123,Canada!D$13:D$200,Canada!F$13:F$200),0),IFERROR(LOOKUP(D123,'South Asia'!D$11:D$200,'South Asia'!F$11:F$200),0),IFERROR(LOOKUP(D123,'Latin America'!D$11:D$200,'Latin America'!F$11:F$200),0))</f>
        <v>35.76725244267945</v>
      </c>
      <c r="H123" s="339">
        <f t="shared" si="2"/>
        <v>3.5556808257709127E-2</v>
      </c>
      <c r="I123" s="197">
        <f>-INTERCEPT(H$32:H123,E$32:E123)/SLOPE(H$32:H123,E$32:E123)</f>
        <v>52.172850605050961</v>
      </c>
      <c r="J123" s="339"/>
    </row>
    <row r="124" spans="3:10" x14ac:dyDescent="0.15">
      <c r="C124" s="354"/>
      <c r="D124" s="195">
        <v>1917</v>
      </c>
      <c r="E124" s="196">
        <f>SUM(IFERROR(LOOKUP(D124,'United Kingdom'!D$12:D$303,'United Kingdom'!F$12:F$303),0),IFERROR(LOOKUP(D124,'Pennsylvania anthracite'!D$8:D$300,'Pennsylvania anthracite'!F$8:F$300),0),IFERROR(LOOKUP(D124,'France and Belgium'!D$8:D$300,'France and Belgium'!F$8:F$300),0),IFERROR(LOOKUP(D124,'Japan and South Korea'!D$8:D$200,'Japan and South Korea'!F$8:F$200),0),IFERROR(LOOKUP(D124,Australia!D$57:D$248,Australia!F$57:F$248),0),IFERROR(LOOKUP(D124,China!D$11:D$200,China!F$11:F$200),0),IFERROR(LOOKUP(D124,Africa!D$18:D$200,Africa!F$18:F$200),0),IFERROR(LOOKUP(D124,Europe!D$18:D$300,Europe!F$18:F$300),0),IFERROR(LOOKUP(D124,Russia!D$18:D$198,Russia!F$18:F$198),0),IFERROR(LOOKUP(D124,'Western United States'!D$13:D$300,'Western United States'!F$13:F$300),0),IFERROR(LOOKUP(D124,'Eastern United States'!D$13:D$300,'Eastern United States'!F$13:F$300),0),IFERROR(LOOKUP(D124,Canada!D$13:D$200,Canada!F$13:F$200),0),IFERROR(LOOKUP(D124,'South Asia'!D$11:D$200,'South Asia'!F$11:F$200),0),IFERROR(LOOKUP(D124,'Latin America'!D$11:D$200,'Latin America'!F$11:F$200),0))</f>
        <v>37.106349016222616</v>
      </c>
      <c r="H124" s="339">
        <f t="shared" si="2"/>
        <v>3.608807142297199E-2</v>
      </c>
      <c r="I124" s="197">
        <f>-INTERCEPT(H$32:H124,E$32:E124)/SLOPE(H$32:H124,E$32:E124)</f>
        <v>54.181623359780893</v>
      </c>
      <c r="J124" s="339"/>
    </row>
    <row r="125" spans="3:10" x14ac:dyDescent="0.15">
      <c r="C125" s="354"/>
      <c r="D125" s="195">
        <v>1918</v>
      </c>
      <c r="E125" s="196">
        <f>SUM(IFERROR(LOOKUP(D125,'United Kingdom'!D$12:D$303,'United Kingdom'!F$12:F$303),0),IFERROR(LOOKUP(D125,'Pennsylvania anthracite'!D$8:D$300,'Pennsylvania anthracite'!F$8:F$300),0),IFERROR(LOOKUP(D125,'France and Belgium'!D$8:D$300,'France and Belgium'!F$8:F$300),0),IFERROR(LOOKUP(D125,'Japan and South Korea'!D$8:D$200,'Japan and South Korea'!F$8:F$200),0),IFERROR(LOOKUP(D125,Australia!D$57:D$248,Australia!F$57:F$248),0),IFERROR(LOOKUP(D125,China!D$11:D$200,China!F$11:F$200),0),IFERROR(LOOKUP(D125,Africa!D$18:D$200,Africa!F$18:F$200),0),IFERROR(LOOKUP(D125,Europe!D$18:D$300,Europe!F$18:F$300),0),IFERROR(LOOKUP(D125,Russia!D$18:D$198,Russia!F$18:F$198),0),IFERROR(LOOKUP(D125,'Western United States'!D$13:D$300,'Western United States'!F$13:F$300),0),IFERROR(LOOKUP(D125,'Eastern United States'!D$13:D$300,'Eastern United States'!F$13:F$300),0),IFERROR(LOOKUP(D125,Canada!D$13:D$200,Canada!F$13:F$200),0),IFERROR(LOOKUP(D125,'South Asia'!D$11:D$200,'South Asia'!F$11:F$200),0),IFERROR(LOOKUP(D125,'Latin America'!D$11:D$200,'Latin America'!F$11:F$200),0))</f>
        <v>38.428583435560483</v>
      </c>
      <c r="H125" s="339">
        <f t="shared" si="2"/>
        <v>3.4407576369685167E-2</v>
      </c>
      <c r="I125" s="197">
        <f>-INTERCEPT(H$32:H125,E$32:E125)/SLOPE(H$32:H125,E$32:E125)</f>
        <v>56.039224870195795</v>
      </c>
      <c r="J125" s="339"/>
    </row>
    <row r="126" spans="3:10" x14ac:dyDescent="0.15">
      <c r="C126" s="354"/>
      <c r="D126" s="195">
        <v>1919</v>
      </c>
      <c r="E126" s="196">
        <f>SUM(IFERROR(LOOKUP(D126,'United Kingdom'!D$12:D$303,'United Kingdom'!F$12:F$303),0),IFERROR(LOOKUP(D126,'Pennsylvania anthracite'!D$8:D$300,'Pennsylvania anthracite'!F$8:F$300),0),IFERROR(LOOKUP(D126,'France and Belgium'!D$8:D$300,'France and Belgium'!F$8:F$300),0),IFERROR(LOOKUP(D126,'Japan and South Korea'!D$8:D$200,'Japan and South Korea'!F$8:F$200),0),IFERROR(LOOKUP(D126,Australia!D$57:D$248,Australia!F$57:F$248),0),IFERROR(LOOKUP(D126,China!D$11:D$200,China!F$11:F$200),0),IFERROR(LOOKUP(D126,Africa!D$18:D$200,Africa!F$18:F$200),0),IFERROR(LOOKUP(D126,Europe!D$18:D$300,Europe!F$18:F$300),0),IFERROR(LOOKUP(D126,Russia!D$18:D$198,Russia!F$18:F$198),0),IFERROR(LOOKUP(D126,'Western United States'!D$13:D$300,'Western United States'!F$13:F$300),0),IFERROR(LOOKUP(D126,'Eastern United States'!D$13:D$300,'Eastern United States'!F$13:F$300),0),IFERROR(LOOKUP(D126,Canada!D$13:D$200,Canada!F$13:F$200),0),IFERROR(LOOKUP(D126,'South Asia'!D$11:D$200,'South Asia'!F$11:F$200),0),IFERROR(LOOKUP(D126,'Latin America'!D$11:D$200,'Latin America'!F$11:F$200),0))</f>
        <v>39.594957891058719</v>
      </c>
      <c r="H126" s="339">
        <f t="shared" si="2"/>
        <v>2.9457651115765593E-2</v>
      </c>
      <c r="I126" s="197">
        <f>-INTERCEPT(H$32:H126,E$32:E126)/SLOPE(H$32:H126,E$32:E126)</f>
        <v>57.298884062263653</v>
      </c>
      <c r="J126" s="339"/>
    </row>
    <row r="127" spans="3:10" x14ac:dyDescent="0.15">
      <c r="C127" s="354"/>
      <c r="D127" s="195">
        <v>1920</v>
      </c>
      <c r="E127" s="196">
        <f>SUM(IFERROR(LOOKUP(D127,'United Kingdom'!D$12:D$303,'United Kingdom'!F$12:F$303),0),IFERROR(LOOKUP(D127,'Pennsylvania anthracite'!D$8:D$300,'Pennsylvania anthracite'!F$8:F$300),0),IFERROR(LOOKUP(D127,'France and Belgium'!D$8:D$300,'France and Belgium'!F$8:F$300),0),IFERROR(LOOKUP(D127,'Japan and South Korea'!D$8:D$200,'Japan and South Korea'!F$8:F$200),0),IFERROR(LOOKUP(D127,Australia!D$57:D$248,Australia!F$57:F$248),0),IFERROR(LOOKUP(D127,China!D$11:D$200,China!F$11:F$200),0),IFERROR(LOOKUP(D127,Africa!D$18:D$200,Africa!F$18:F$200),0),IFERROR(LOOKUP(D127,Europe!D$18:D$300,Europe!F$18:F$300),0),IFERROR(LOOKUP(D127,Russia!D$18:D$198,Russia!F$18:F$198),0),IFERROR(LOOKUP(D127,'Western United States'!D$13:D$300,'Western United States'!F$13:F$300),0),IFERROR(LOOKUP(D127,'Eastern United States'!D$13:D$300,'Eastern United States'!F$13:F$300),0),IFERROR(LOOKUP(D127,Canada!D$13:D$200,Canada!F$13:F$200),0),IFERROR(LOOKUP(D127,'South Asia'!D$11:D$200,'South Asia'!F$11:F$200),0),IFERROR(LOOKUP(D127,'Latin America'!D$11:D$200,'Latin America'!F$11:F$200),0))</f>
        <v>40.906763299580419</v>
      </c>
      <c r="H127" s="339">
        <f t="shared" si="2"/>
        <v>3.2068179017604059E-2</v>
      </c>
      <c r="I127" s="197">
        <f>-INTERCEPT(H$32:H127,E$32:E127)/SLOPE(H$32:H127,E$32:E127)</f>
        <v>58.943125393867987</v>
      </c>
      <c r="J127" s="339"/>
    </row>
    <row r="128" spans="3:10" x14ac:dyDescent="0.15">
      <c r="C128" s="354"/>
      <c r="D128" s="195">
        <v>1921</v>
      </c>
      <c r="E128" s="196">
        <f>SUM(IFERROR(LOOKUP(D128,'United Kingdom'!D$12:D$303,'United Kingdom'!F$12:F$303),0),IFERROR(LOOKUP(D128,'Pennsylvania anthracite'!D$8:D$300,'Pennsylvania anthracite'!F$8:F$300),0),IFERROR(LOOKUP(D128,'France and Belgium'!D$8:D$300,'France and Belgium'!F$8:F$300),0),IFERROR(LOOKUP(D128,'Japan and South Korea'!D$8:D$200,'Japan and South Korea'!F$8:F$200),0),IFERROR(LOOKUP(D128,Australia!D$57:D$248,Australia!F$57:F$248),0),IFERROR(LOOKUP(D128,China!D$11:D$200,China!F$11:F$200),0),IFERROR(LOOKUP(D128,Africa!D$18:D$200,Africa!F$18:F$200),0),IFERROR(LOOKUP(D128,Europe!D$18:D$300,Europe!F$18:F$300),0),IFERROR(LOOKUP(D128,Russia!D$18:D$198,Russia!F$18:F$198),0),IFERROR(LOOKUP(D128,'Western United States'!D$13:D$300,'Western United States'!F$13:F$300),0),IFERROR(LOOKUP(D128,'Eastern United States'!D$13:D$300,'Eastern United States'!F$13:F$300),0),IFERROR(LOOKUP(D128,Canada!D$13:D$200,Canada!F$13:F$200),0),IFERROR(LOOKUP(D128,'South Asia'!D$11:D$200,'South Asia'!F$11:F$200),0),IFERROR(LOOKUP(D128,'Latin America'!D$11:D$200,'Latin America'!F$11:F$200),0))</f>
        <v>42.031449924266944</v>
      </c>
      <c r="H128" s="339">
        <f t="shared" si="2"/>
        <v>2.6758216209838315E-2</v>
      </c>
      <c r="I128" s="197">
        <f>-INTERCEPT(H$32:H128,E$32:E128)/SLOPE(H$32:H128,E$32:E128)</f>
        <v>59.940190323944158</v>
      </c>
      <c r="J128" s="339"/>
    </row>
    <row r="129" spans="3:10" x14ac:dyDescent="0.15">
      <c r="C129" s="354"/>
      <c r="D129" s="195">
        <v>1922</v>
      </c>
      <c r="E129" s="196">
        <f>SUM(IFERROR(LOOKUP(D129,'United Kingdom'!D$12:D$303,'United Kingdom'!F$12:F$303),0),IFERROR(LOOKUP(D129,'Pennsylvania anthracite'!D$8:D$300,'Pennsylvania anthracite'!F$8:F$300),0),IFERROR(LOOKUP(D129,'France and Belgium'!D$8:D$300,'France and Belgium'!F$8:F$300),0),IFERROR(LOOKUP(D129,'Japan and South Korea'!D$8:D$200,'Japan and South Korea'!F$8:F$200),0),IFERROR(LOOKUP(D129,Australia!D$57:D$248,Australia!F$57:F$248),0),IFERROR(LOOKUP(D129,China!D$11:D$200,China!F$11:F$200),0),IFERROR(LOOKUP(D129,Africa!D$18:D$200,Africa!F$18:F$200),0),IFERROR(LOOKUP(D129,Europe!D$18:D$300,Europe!F$18:F$300),0),IFERROR(LOOKUP(D129,Russia!D$18:D$198,Russia!F$18:F$198),0),IFERROR(LOOKUP(D129,'Western United States'!D$13:D$300,'Western United States'!F$13:F$300),0),IFERROR(LOOKUP(D129,'Eastern United States'!D$13:D$300,'Eastern United States'!F$13:F$300),0),IFERROR(LOOKUP(D129,Canada!D$13:D$200,Canada!F$13:F$200),0),IFERROR(LOOKUP(D129,'South Asia'!D$11:D$200,'South Asia'!F$11:F$200),0),IFERROR(LOOKUP(D129,'Latin America'!D$11:D$200,'Latin America'!F$11:F$200),0))</f>
        <v>43.244926823729401</v>
      </c>
      <c r="H129" s="339">
        <f t="shared" si="2"/>
        <v>2.8060560823902181E-2</v>
      </c>
      <c r="I129" s="197">
        <f>-INTERCEPT(H$32:H129,E$32:E129)/SLOPE(H$32:H129,E$32:E129)</f>
        <v>61.148144640461467</v>
      </c>
      <c r="J129" s="339"/>
    </row>
    <row r="130" spans="3:10" x14ac:dyDescent="0.15">
      <c r="C130" s="354"/>
      <c r="D130" s="195">
        <v>1923</v>
      </c>
      <c r="E130" s="196">
        <f>SUM(IFERROR(LOOKUP(D130,'United Kingdom'!D$12:D$303,'United Kingdom'!F$12:F$303),0),IFERROR(LOOKUP(D130,'Pennsylvania anthracite'!D$8:D$300,'Pennsylvania anthracite'!F$8:F$300),0),IFERROR(LOOKUP(D130,'France and Belgium'!D$8:D$300,'France and Belgium'!F$8:F$300),0),IFERROR(LOOKUP(D130,'Japan and South Korea'!D$8:D$200,'Japan and South Korea'!F$8:F$200),0),IFERROR(LOOKUP(D130,Australia!D$57:D$248,Australia!F$57:F$248),0),IFERROR(LOOKUP(D130,China!D$11:D$200,China!F$11:F$200),0),IFERROR(LOOKUP(D130,Africa!D$18:D$200,Africa!F$18:F$200),0),IFERROR(LOOKUP(D130,Europe!D$18:D$300,Europe!F$18:F$300),0),IFERROR(LOOKUP(D130,Russia!D$18:D$198,Russia!F$18:F$198),0),IFERROR(LOOKUP(D130,'Western United States'!D$13:D$300,'Western United States'!F$13:F$300),0),IFERROR(LOOKUP(D130,'Eastern United States'!D$13:D$300,'Eastern United States'!F$13:F$300),0),IFERROR(LOOKUP(D130,Canada!D$13:D$200,Canada!F$13:F$200),0),IFERROR(LOOKUP(D130,'South Asia'!D$11:D$200,'South Asia'!F$11:F$200),0),IFERROR(LOOKUP(D130,'Latin America'!D$11:D$200,'Latin America'!F$11:F$200),0))</f>
        <v>44.596258178880753</v>
      </c>
      <c r="H130" s="339">
        <f t="shared" si="2"/>
        <v>3.0301451519340605E-2</v>
      </c>
      <c r="I130" s="197">
        <f>-INTERCEPT(H$32:H130,E$32:E130)/SLOPE(H$32:H130,E$32:E130)</f>
        <v>62.688605623063808</v>
      </c>
      <c r="J130" s="339"/>
    </row>
    <row r="131" spans="3:10" x14ac:dyDescent="0.15">
      <c r="C131" s="354"/>
      <c r="D131" s="195">
        <v>1924</v>
      </c>
      <c r="E131" s="196">
        <f>SUM(IFERROR(LOOKUP(D131,'United Kingdom'!D$12:D$303,'United Kingdom'!F$12:F$303),0),IFERROR(LOOKUP(D131,'Pennsylvania anthracite'!D$8:D$300,'Pennsylvania anthracite'!F$8:F$300),0),IFERROR(LOOKUP(D131,'France and Belgium'!D$8:D$300,'France and Belgium'!F$8:F$300),0),IFERROR(LOOKUP(D131,'Japan and South Korea'!D$8:D$200,'Japan and South Korea'!F$8:F$200),0),IFERROR(LOOKUP(D131,Australia!D$57:D$248,Australia!F$57:F$248),0),IFERROR(LOOKUP(D131,China!D$11:D$200,China!F$11:F$200),0),IFERROR(LOOKUP(D131,Africa!D$18:D$200,Africa!F$18:F$200),0),IFERROR(LOOKUP(D131,Europe!D$18:D$300,Europe!F$18:F$300),0),IFERROR(LOOKUP(D131,Russia!D$18:D$198,Russia!F$18:F$198),0),IFERROR(LOOKUP(D131,'Western United States'!D$13:D$300,'Western United States'!F$13:F$300),0),IFERROR(LOOKUP(D131,'Eastern United States'!D$13:D$300,'Eastern United States'!F$13:F$300),0),IFERROR(LOOKUP(D131,Canada!D$13:D$200,Canada!F$13:F$200),0),IFERROR(LOOKUP(D131,'South Asia'!D$11:D$200,'South Asia'!F$11:F$200),0),IFERROR(LOOKUP(D131,'Latin America'!D$11:D$200,'Latin America'!F$11:F$200),0))</f>
        <v>45.940744339226711</v>
      </c>
      <c r="H131" s="339">
        <f t="shared" si="2"/>
        <v>2.9265659050237924E-2</v>
      </c>
      <c r="I131" s="197">
        <f>-INTERCEPT(H$32:H131,E$32:E131)/SLOPE(H$32:H131,E$32:E131)</f>
        <v>64.145831970591715</v>
      </c>
      <c r="J131" s="339"/>
    </row>
    <row r="132" spans="3:10" x14ac:dyDescent="0.15">
      <c r="C132" s="354"/>
      <c r="D132" s="195">
        <v>1925</v>
      </c>
      <c r="E132" s="196">
        <f>SUM(IFERROR(LOOKUP(D132,'United Kingdom'!D$12:D$303,'United Kingdom'!F$12:F$303),0),IFERROR(LOOKUP(D132,'Pennsylvania anthracite'!D$8:D$300,'Pennsylvania anthracite'!F$8:F$300),0),IFERROR(LOOKUP(D132,'France and Belgium'!D$8:D$300,'France and Belgium'!F$8:F$300),0),IFERROR(LOOKUP(D132,'Japan and South Korea'!D$8:D$200,'Japan and South Korea'!F$8:F$200),0),IFERROR(LOOKUP(D132,Australia!D$57:D$248,Australia!F$57:F$248),0),IFERROR(LOOKUP(D132,China!D$11:D$200,China!F$11:F$200),0),IFERROR(LOOKUP(D132,Africa!D$18:D$200,Africa!F$18:F$200),0),IFERROR(LOOKUP(D132,Europe!D$18:D$300,Europe!F$18:F$300),0),IFERROR(LOOKUP(D132,Russia!D$18:D$198,Russia!F$18:F$198),0),IFERROR(LOOKUP(D132,'Western United States'!D$13:D$300,'Western United States'!F$13:F$300),0),IFERROR(LOOKUP(D132,'Eastern United States'!D$13:D$300,'Eastern United States'!F$13:F$300),0),IFERROR(LOOKUP(D132,Canada!D$13:D$200,Canada!F$13:F$200),0),IFERROR(LOOKUP(D132,'South Asia'!D$11:D$200,'South Asia'!F$11:F$200),0),IFERROR(LOOKUP(D132,'Latin America'!D$11:D$200,'Latin America'!F$11:F$200),0))</f>
        <v>47.298227015931204</v>
      </c>
      <c r="H132" s="339">
        <f t="shared" si="2"/>
        <v>2.8700498144407338E-2</v>
      </c>
      <c r="I132" s="197">
        <f>-INTERCEPT(H$32:H132,E$32:E132)/SLOPE(H$32:H132,E$32:E132)</f>
        <v>65.578742679676552</v>
      </c>
      <c r="J132" s="339"/>
    </row>
    <row r="133" spans="3:10" x14ac:dyDescent="0.15">
      <c r="C133" s="354"/>
      <c r="D133" s="195">
        <v>1926</v>
      </c>
      <c r="E133" s="196">
        <f>SUM(IFERROR(LOOKUP(D133,'United Kingdom'!D$12:D$303,'United Kingdom'!F$12:F$303),0),IFERROR(LOOKUP(D133,'Pennsylvania anthracite'!D$8:D$300,'Pennsylvania anthracite'!F$8:F$300),0),IFERROR(LOOKUP(D133,'France and Belgium'!D$8:D$300,'France and Belgium'!F$8:F$300),0),IFERROR(LOOKUP(D133,'Japan and South Korea'!D$8:D$200,'Japan and South Korea'!F$8:F$200),0),IFERROR(LOOKUP(D133,Australia!D$57:D$248,Australia!F$57:F$248),0),IFERROR(LOOKUP(D133,China!D$11:D$200,China!F$11:F$200),0),IFERROR(LOOKUP(D133,Africa!D$18:D$200,Africa!F$18:F$200),0),IFERROR(LOOKUP(D133,Europe!D$18:D$300,Europe!F$18:F$300),0),IFERROR(LOOKUP(D133,Russia!D$18:D$198,Russia!F$18:F$198),0),IFERROR(LOOKUP(D133,'Western United States'!D$13:D$300,'Western United States'!F$13:F$300),0),IFERROR(LOOKUP(D133,'Eastern United States'!D$13:D$300,'Eastern United States'!F$13:F$300),0),IFERROR(LOOKUP(D133,Canada!D$13:D$200,Canada!F$13:F$200),0),IFERROR(LOOKUP(D133,'South Asia'!D$11:D$200,'South Asia'!F$11:F$200),0),IFERROR(LOOKUP(D133,'Latin America'!D$11:D$200,'Latin America'!F$11:F$200),0))</f>
        <v>48.649033405094684</v>
      </c>
      <c r="H133" s="339">
        <f t="shared" si="2"/>
        <v>2.7766356176400775E-2</v>
      </c>
      <c r="I133" s="197">
        <f>-INTERCEPT(H$32:H133,E$32:E133)/SLOPE(H$32:H133,E$32:E133)</f>
        <v>66.938962415556659</v>
      </c>
      <c r="J133" s="339"/>
    </row>
    <row r="134" spans="3:10" x14ac:dyDescent="0.15">
      <c r="C134" s="354"/>
      <c r="D134" s="195">
        <v>1927</v>
      </c>
      <c r="E134" s="196">
        <f>SUM(IFERROR(LOOKUP(D134,'United Kingdom'!D$12:D$303,'United Kingdom'!F$12:F$303),0),IFERROR(LOOKUP(D134,'Pennsylvania anthracite'!D$8:D$300,'Pennsylvania anthracite'!F$8:F$300),0),IFERROR(LOOKUP(D134,'France and Belgium'!D$8:D$300,'France and Belgium'!F$8:F$300),0),IFERROR(LOOKUP(D134,'Japan and South Korea'!D$8:D$200,'Japan and South Korea'!F$8:F$200),0),IFERROR(LOOKUP(D134,Australia!D$57:D$248,Australia!F$57:F$248),0),IFERROR(LOOKUP(D134,China!D$11:D$200,China!F$11:F$200),0),IFERROR(LOOKUP(D134,Africa!D$18:D$200,Africa!F$18:F$200),0),IFERROR(LOOKUP(D134,Europe!D$18:D$300,Europe!F$18:F$300),0),IFERROR(LOOKUP(D134,Russia!D$18:D$198,Russia!F$18:F$198),0),IFERROR(LOOKUP(D134,'Western United States'!D$13:D$300,'Western United States'!F$13:F$300),0),IFERROR(LOOKUP(D134,'Eastern United States'!D$13:D$300,'Eastern United States'!F$13:F$300),0),IFERROR(LOOKUP(D134,Canada!D$13:D$200,Canada!F$13:F$200),0),IFERROR(LOOKUP(D134,'South Asia'!D$11:D$200,'South Asia'!F$11:F$200),0),IFERROR(LOOKUP(D134,'Latin America'!D$11:D$200,'Latin America'!F$11:F$200),0))</f>
        <v>50.111829393769732</v>
      </c>
      <c r="H134" s="339">
        <f t="shared" si="2"/>
        <v>2.9190632359091473E-2</v>
      </c>
      <c r="I134" s="197">
        <f>-INTERCEPT(H$32:H134,E$32:E134)/SLOPE(H$32:H134,E$32:E134)</f>
        <v>68.532043552787883</v>
      </c>
      <c r="J134" s="339"/>
    </row>
    <row r="135" spans="3:10" x14ac:dyDescent="0.15">
      <c r="C135" s="354"/>
      <c r="D135" s="195">
        <v>1928</v>
      </c>
      <c r="E135" s="196">
        <f>SUM(IFERROR(LOOKUP(D135,'United Kingdom'!D$12:D$303,'United Kingdom'!F$12:F$303),0),IFERROR(LOOKUP(D135,'Pennsylvania anthracite'!D$8:D$300,'Pennsylvania anthracite'!F$8:F$300),0),IFERROR(LOOKUP(D135,'France and Belgium'!D$8:D$300,'France and Belgium'!F$8:F$300),0),IFERROR(LOOKUP(D135,'Japan and South Korea'!D$8:D$200,'Japan and South Korea'!F$8:F$200),0),IFERROR(LOOKUP(D135,Australia!D$57:D$248,Australia!F$57:F$248),0),IFERROR(LOOKUP(D135,China!D$11:D$200,China!F$11:F$200),0),IFERROR(LOOKUP(D135,Africa!D$18:D$200,Africa!F$18:F$200),0),IFERROR(LOOKUP(D135,Europe!D$18:D$300,Europe!F$18:F$300),0),IFERROR(LOOKUP(D135,Russia!D$18:D$198,Russia!F$18:F$198),0),IFERROR(LOOKUP(D135,'Western United States'!D$13:D$300,'Western United States'!F$13:F$300),0),IFERROR(LOOKUP(D135,'Eastern United States'!D$13:D$300,'Eastern United States'!F$13:F$300),0),IFERROR(LOOKUP(D135,Canada!D$13:D$200,Canada!F$13:F$200),0),IFERROR(LOOKUP(D135,'South Asia'!D$11:D$200,'South Asia'!F$11:F$200),0),IFERROR(LOOKUP(D135,'Latin America'!D$11:D$200,'Latin America'!F$11:F$200),0))</f>
        <v>51.560487626425207</v>
      </c>
      <c r="H135" s="339">
        <f t="shared" si="2"/>
        <v>2.8096286504339152E-2</v>
      </c>
      <c r="I135" s="197">
        <f>-INTERCEPT(H$32:H135,E$32:E135)/SLOPE(H$32:H135,E$32:E135)</f>
        <v>70.035416497126519</v>
      </c>
      <c r="J135" s="339"/>
    </row>
    <row r="136" spans="3:10" x14ac:dyDescent="0.15">
      <c r="C136" s="354"/>
      <c r="D136" s="195">
        <v>1929</v>
      </c>
      <c r="E136" s="196">
        <f>SUM(IFERROR(LOOKUP(D136,'United Kingdom'!D$12:D$303,'United Kingdom'!F$12:F$303),0),IFERROR(LOOKUP(D136,'Pennsylvania anthracite'!D$8:D$300,'Pennsylvania anthracite'!F$8:F$300),0),IFERROR(LOOKUP(D136,'France and Belgium'!D$8:D$300,'France and Belgium'!F$8:F$300),0),IFERROR(LOOKUP(D136,'Japan and South Korea'!D$8:D$200,'Japan and South Korea'!F$8:F$200),0),IFERROR(LOOKUP(D136,Australia!D$57:D$248,Australia!F$57:F$248),0),IFERROR(LOOKUP(D136,China!D$11:D$200,China!F$11:F$200),0),IFERROR(LOOKUP(D136,Africa!D$18:D$200,Africa!F$18:F$200),0),IFERROR(LOOKUP(D136,Europe!D$18:D$300,Europe!F$18:F$300),0),IFERROR(LOOKUP(D136,Russia!D$18:D$198,Russia!F$18:F$198),0),IFERROR(LOOKUP(D136,'Western United States'!D$13:D$300,'Western United States'!F$13:F$300),0),IFERROR(LOOKUP(D136,'Eastern United States'!D$13:D$300,'Eastern United States'!F$13:F$300),0),IFERROR(LOOKUP(D136,Canada!D$13:D$200,Canada!F$13:F$200),0),IFERROR(LOOKUP(D136,'South Asia'!D$11:D$200,'South Asia'!F$11:F$200),0),IFERROR(LOOKUP(D136,'Latin America'!D$11:D$200,'Latin America'!F$11:F$200),0))</f>
        <v>53.102355111911002</v>
      </c>
      <c r="H136" s="339">
        <f t="shared" ref="H136:H199" si="3">1-E135/E136</f>
        <v>2.9035764651800688E-2</v>
      </c>
      <c r="I136" s="197">
        <f>-INTERCEPT(H$32:H136,E$32:E136)/SLOPE(H$32:H136,E$32:E136)</f>
        <v>71.713939748573409</v>
      </c>
      <c r="J136" s="339"/>
    </row>
    <row r="137" spans="3:10" x14ac:dyDescent="0.15">
      <c r="C137" s="354"/>
      <c r="D137" s="195">
        <v>1930</v>
      </c>
      <c r="E137" s="196">
        <f>SUM(IFERROR(LOOKUP(D137,'United Kingdom'!D$12:D$303,'United Kingdom'!F$12:F$303),0),IFERROR(LOOKUP(D137,'Pennsylvania anthracite'!D$8:D$300,'Pennsylvania anthracite'!F$8:F$300),0),IFERROR(LOOKUP(D137,'France and Belgium'!D$8:D$300,'France and Belgium'!F$8:F$300),0),IFERROR(LOOKUP(D137,'Japan and South Korea'!D$8:D$200,'Japan and South Korea'!F$8:F$200),0),IFERROR(LOOKUP(D137,Australia!D$57:D$248,Australia!F$57:F$248),0),IFERROR(LOOKUP(D137,China!D$11:D$200,China!F$11:F$200),0),IFERROR(LOOKUP(D137,Africa!D$18:D$200,Africa!F$18:F$200),0),IFERROR(LOOKUP(D137,Europe!D$18:D$300,Europe!F$18:F$300),0),IFERROR(LOOKUP(D137,Russia!D$18:D$198,Russia!F$18:F$198),0),IFERROR(LOOKUP(D137,'Western United States'!D$13:D$300,'Western United States'!F$13:F$300),0),IFERROR(LOOKUP(D137,'Eastern United States'!D$13:D$300,'Eastern United States'!F$13:F$300),0),IFERROR(LOOKUP(D137,Canada!D$13:D$200,Canada!F$13:F$200),0),IFERROR(LOOKUP(D137,'South Asia'!D$11:D$200,'South Asia'!F$11:F$200),0),IFERROR(LOOKUP(D137,'Latin America'!D$11:D$200,'Latin America'!F$11:F$200),0))</f>
        <v>54.498767587969418</v>
      </c>
      <c r="H137" s="339">
        <f t="shared" si="3"/>
        <v>2.5622826677766386E-2</v>
      </c>
      <c r="I137" s="197">
        <f>-INTERCEPT(H$32:H137,E$32:E137)/SLOPE(H$32:H137,E$32:E137)</f>
        <v>72.996663949107571</v>
      </c>
      <c r="J137" s="339"/>
    </row>
    <row r="138" spans="3:10" x14ac:dyDescent="0.15">
      <c r="C138" s="354"/>
      <c r="D138" s="195">
        <v>1931</v>
      </c>
      <c r="E138" s="196">
        <f>SUM(IFERROR(LOOKUP(D138,'United Kingdom'!D$12:D$303,'United Kingdom'!F$12:F$303),0),IFERROR(LOOKUP(D138,'Pennsylvania anthracite'!D$8:D$300,'Pennsylvania anthracite'!F$8:F$300),0),IFERROR(LOOKUP(D138,'France and Belgium'!D$8:D$300,'France and Belgium'!F$8:F$300),0),IFERROR(LOOKUP(D138,'Japan and South Korea'!D$8:D$200,'Japan and South Korea'!F$8:F$200),0),IFERROR(LOOKUP(D138,Australia!D$57:D$248,Australia!F$57:F$248),0),IFERROR(LOOKUP(D138,China!D$11:D$200,China!F$11:F$200),0),IFERROR(LOOKUP(D138,Africa!D$18:D$200,Africa!F$18:F$200),0),IFERROR(LOOKUP(D138,Europe!D$18:D$300,Europe!F$18:F$300),0),IFERROR(LOOKUP(D138,Russia!D$18:D$198,Russia!F$18:F$198),0),IFERROR(LOOKUP(D138,'Western United States'!D$13:D$300,'Western United States'!F$13:F$300),0),IFERROR(LOOKUP(D138,'Eastern United States'!D$13:D$300,'Eastern United States'!F$13:F$300),0),IFERROR(LOOKUP(D138,Canada!D$13:D$200,Canada!F$13:F$200),0),IFERROR(LOOKUP(D138,'South Asia'!D$11:D$200,'South Asia'!F$11:F$200),0),IFERROR(LOOKUP(D138,'Latin America'!D$11:D$200,'Latin America'!F$11:F$200),0))</f>
        <v>55.742734098269636</v>
      </c>
      <c r="H138" s="339">
        <f t="shared" si="3"/>
        <v>2.2316209106413964E-2</v>
      </c>
      <c r="I138" s="197">
        <f>-INTERCEPT(H$32:H138,E$32:E138)/SLOPE(H$32:H138,E$32:E138)</f>
        <v>73.89626265748592</v>
      </c>
      <c r="J138" s="339"/>
    </row>
    <row r="139" spans="3:10" x14ac:dyDescent="0.15">
      <c r="C139" s="354"/>
      <c r="D139" s="195">
        <v>1932</v>
      </c>
      <c r="E139" s="196">
        <f>SUM(IFERROR(LOOKUP(D139,'United Kingdom'!D$12:D$303,'United Kingdom'!F$12:F$303),0),IFERROR(LOOKUP(D139,'Pennsylvania anthracite'!D$8:D$300,'Pennsylvania anthracite'!F$8:F$300),0),IFERROR(LOOKUP(D139,'France and Belgium'!D$8:D$300,'France and Belgium'!F$8:F$300),0),IFERROR(LOOKUP(D139,'Japan and South Korea'!D$8:D$200,'Japan and South Korea'!F$8:F$200),0),IFERROR(LOOKUP(D139,Australia!D$57:D$248,Australia!F$57:F$248),0),IFERROR(LOOKUP(D139,China!D$11:D$200,China!F$11:F$200),0),IFERROR(LOOKUP(D139,Africa!D$18:D$200,Africa!F$18:F$200),0),IFERROR(LOOKUP(D139,Europe!D$18:D$300,Europe!F$18:F$300),0),IFERROR(LOOKUP(D139,Russia!D$18:D$198,Russia!F$18:F$198),0),IFERROR(LOOKUP(D139,'Western United States'!D$13:D$300,'Western United States'!F$13:F$300),0),IFERROR(LOOKUP(D139,'Eastern United States'!D$13:D$300,'Eastern United States'!F$13:F$300),0),IFERROR(LOOKUP(D139,Canada!D$13:D$200,Canada!F$13:F$200),0),IFERROR(LOOKUP(D139,'South Asia'!D$11:D$200,'South Asia'!F$11:F$200),0),IFERROR(LOOKUP(D139,'Latin America'!D$11:D$200,'Latin America'!F$11:F$200),0))</f>
        <v>56.856287749379852</v>
      </c>
      <c r="H139" s="339">
        <f t="shared" si="3"/>
        <v>1.9585409023162303E-2</v>
      </c>
      <c r="I139" s="197">
        <f>-INTERCEPT(H$32:H139,E$32:E139)/SLOPE(H$32:H139,E$32:E139)</f>
        <v>74.498574327583157</v>
      </c>
      <c r="J139" s="203"/>
    </row>
    <row r="140" spans="3:10" x14ac:dyDescent="0.15">
      <c r="C140" s="354"/>
      <c r="D140" s="195">
        <v>1933</v>
      </c>
      <c r="E140" s="196">
        <f>SUM(IFERROR(LOOKUP(D140,'United Kingdom'!D$12:D$303,'United Kingdom'!F$12:F$303),0),IFERROR(LOOKUP(D140,'Pennsylvania anthracite'!D$8:D$300,'Pennsylvania anthracite'!F$8:F$300),0),IFERROR(LOOKUP(D140,'France and Belgium'!D$8:D$300,'France and Belgium'!F$8:F$300),0),IFERROR(LOOKUP(D140,'Japan and South Korea'!D$8:D$200,'Japan and South Korea'!F$8:F$200),0),IFERROR(LOOKUP(D140,Australia!D$57:D$248,Australia!F$57:F$248),0),IFERROR(LOOKUP(D140,China!D$11:D$200,China!F$11:F$200),0),IFERROR(LOOKUP(D140,Africa!D$18:D$200,Africa!F$18:F$200),0),IFERROR(LOOKUP(D140,Europe!D$18:D$300,Europe!F$18:F$300),0),IFERROR(LOOKUP(D140,Russia!D$18:D$198,Russia!F$18:F$198),0),IFERROR(LOOKUP(D140,'Western United States'!D$13:D$300,'Western United States'!F$13:F$300),0),IFERROR(LOOKUP(D140,'Eastern United States'!D$13:D$300,'Eastern United States'!F$13:F$300),0),IFERROR(LOOKUP(D140,Canada!D$13:D$200,Canada!F$13:F$200),0),IFERROR(LOOKUP(D140,'South Asia'!D$11:D$200,'South Asia'!F$11:F$200),0),IFERROR(LOOKUP(D140,'Latin America'!D$11:D$200,'Latin America'!F$11:F$200),0))</f>
        <v>58.019566502780222</v>
      </c>
      <c r="H140" s="339">
        <f t="shared" si="3"/>
        <v>2.0049766372256972E-2</v>
      </c>
      <c r="I140" s="197">
        <f>-INTERCEPT(H$32:H140,E$32:E140)/SLOPE(H$32:H140,E$32:E140)</f>
        <v>75.204805669838137</v>
      </c>
      <c r="J140" s="203"/>
    </row>
    <row r="141" spans="3:10" x14ac:dyDescent="0.15">
      <c r="C141" s="354"/>
      <c r="D141" s="195">
        <v>1934</v>
      </c>
      <c r="E141" s="196">
        <f>SUM(IFERROR(LOOKUP(D141,'United Kingdom'!D$12:D$303,'United Kingdom'!F$12:F$303),0),IFERROR(LOOKUP(D141,'Pennsylvania anthracite'!D$8:D$300,'Pennsylvania anthracite'!F$8:F$300),0),IFERROR(LOOKUP(D141,'France and Belgium'!D$8:D$300,'France and Belgium'!F$8:F$300),0),IFERROR(LOOKUP(D141,'Japan and South Korea'!D$8:D$200,'Japan and South Korea'!F$8:F$200),0),IFERROR(LOOKUP(D141,Australia!D$57:D$248,Australia!F$57:F$248),0),IFERROR(LOOKUP(D141,China!D$11:D$200,China!F$11:F$200),0),IFERROR(LOOKUP(D141,Africa!D$18:D$200,Africa!F$18:F$200),0),IFERROR(LOOKUP(D141,Europe!D$18:D$300,Europe!F$18:F$300),0),IFERROR(LOOKUP(D141,Russia!D$18:D$198,Russia!F$18:F$198),0),IFERROR(LOOKUP(D141,'Western United States'!D$13:D$300,'Western United States'!F$13:F$300),0),IFERROR(LOOKUP(D141,'Eastern United States'!D$13:D$300,'Eastern United States'!F$13:F$300),0),IFERROR(LOOKUP(D141,Canada!D$13:D$200,Canada!F$13:F$200),0),IFERROR(LOOKUP(D141,'South Asia'!D$11:D$200,'South Asia'!F$11:F$200),0),IFERROR(LOOKUP(D141,'Latin America'!D$11:D$200,'Latin America'!F$11:F$200),0))</f>
        <v>59.290192121144202</v>
      </c>
      <c r="H141" s="339">
        <f t="shared" si="3"/>
        <v>2.1430620696384017E-2</v>
      </c>
      <c r="I141" s="197">
        <f>-INTERCEPT(H$32:H141,E$32:E141)/SLOPE(H$32:H141,E$32:E141)</f>
        <v>76.117977948006086</v>
      </c>
      <c r="J141" s="203"/>
    </row>
    <row r="142" spans="3:10" x14ac:dyDescent="0.15">
      <c r="C142" s="354"/>
      <c r="D142" s="195">
        <v>1935</v>
      </c>
      <c r="E142" s="196">
        <f>SUM(IFERROR(LOOKUP(D142,'United Kingdom'!D$12:D$303,'United Kingdom'!F$12:F$303),0),IFERROR(LOOKUP(D142,'Pennsylvania anthracite'!D$8:D$300,'Pennsylvania anthracite'!F$8:F$300),0),IFERROR(LOOKUP(D142,'France and Belgium'!D$8:D$300,'France and Belgium'!F$8:F$300),0),IFERROR(LOOKUP(D142,'Japan and South Korea'!D$8:D$200,'Japan and South Korea'!F$8:F$200),0),IFERROR(LOOKUP(D142,Australia!D$57:D$248,Australia!F$57:F$248),0),IFERROR(LOOKUP(D142,China!D$11:D$200,China!F$11:F$200),0),IFERROR(LOOKUP(D142,Africa!D$18:D$200,Africa!F$18:F$200),0),IFERROR(LOOKUP(D142,Europe!D$18:D$300,Europe!F$18:F$300),0),IFERROR(LOOKUP(D142,Russia!D$18:D$198,Russia!F$18:F$198),0),IFERROR(LOOKUP(D142,'Western United States'!D$13:D$300,'Western United States'!F$13:F$300),0),IFERROR(LOOKUP(D142,'Eastern United States'!D$13:D$300,'Eastern United States'!F$13:F$300),0),IFERROR(LOOKUP(D142,Canada!D$13:D$200,Canada!F$13:F$200),0),IFERROR(LOOKUP(D142,'South Asia'!D$11:D$200,'South Asia'!F$11:F$200),0),IFERROR(LOOKUP(D142,'Latin America'!D$11:D$200,'Latin America'!F$11:F$200),0))</f>
        <v>60.625072784495892</v>
      </c>
      <c r="H142" s="339">
        <f t="shared" si="3"/>
        <v>2.2018623682264149E-2</v>
      </c>
      <c r="I142" s="197">
        <f>-INTERCEPT(H$32:H142,E$32:E142)/SLOPE(H$32:H142,E$32:E142)</f>
        <v>77.140113096057249</v>
      </c>
      <c r="J142" s="203"/>
    </row>
    <row r="143" spans="3:10" x14ac:dyDescent="0.15">
      <c r="C143" s="354"/>
      <c r="D143" s="195">
        <v>1936</v>
      </c>
      <c r="E143" s="196">
        <f>SUM(IFERROR(LOOKUP(D143,'United Kingdom'!D$12:D$303,'United Kingdom'!F$12:F$303),0),IFERROR(LOOKUP(D143,'Pennsylvania anthracite'!D$8:D$300,'Pennsylvania anthracite'!F$8:F$300),0),IFERROR(LOOKUP(D143,'France and Belgium'!D$8:D$300,'France and Belgium'!F$8:F$300),0),IFERROR(LOOKUP(D143,'Japan and South Korea'!D$8:D$200,'Japan and South Korea'!F$8:F$200),0),IFERROR(LOOKUP(D143,Australia!D$57:D$248,Australia!F$57:F$248),0),IFERROR(LOOKUP(D143,China!D$11:D$200,China!F$11:F$200),0),IFERROR(LOOKUP(D143,Africa!D$18:D$200,Africa!F$18:F$200),0),IFERROR(LOOKUP(D143,Europe!D$18:D$300,Europe!F$18:F$300),0),IFERROR(LOOKUP(D143,Russia!D$18:D$198,Russia!F$18:F$198),0),IFERROR(LOOKUP(D143,'Western United States'!D$13:D$300,'Western United States'!F$13:F$300),0),IFERROR(LOOKUP(D143,'Eastern United States'!D$13:D$300,'Eastern United States'!F$13:F$300),0),IFERROR(LOOKUP(D143,Canada!D$13:D$200,Canada!F$13:F$200),0),IFERROR(LOOKUP(D143,'South Asia'!D$11:D$200,'South Asia'!F$11:F$200),0),IFERROR(LOOKUP(D143,'Latin America'!D$11:D$200,'Latin America'!F$11:F$200),0))</f>
        <v>62.085991882949322</v>
      </c>
      <c r="H143" s="339">
        <f t="shared" si="3"/>
        <v>2.3530575161104017E-2</v>
      </c>
      <c r="I143" s="197">
        <f>-INTERCEPT(H$32:H143,E$32:E143)/SLOPE(H$32:H143,E$32:E143)</f>
        <v>78.378638599720574</v>
      </c>
      <c r="J143" s="203"/>
    </row>
    <row r="144" spans="3:10" x14ac:dyDescent="0.15">
      <c r="C144" s="354"/>
      <c r="D144" s="195">
        <v>1937</v>
      </c>
      <c r="E144" s="196">
        <f>SUM(IFERROR(LOOKUP(D144,'United Kingdom'!D$12:D$303,'United Kingdom'!F$12:F$303),0),IFERROR(LOOKUP(D144,'Pennsylvania anthracite'!D$8:D$300,'Pennsylvania anthracite'!F$8:F$300),0),IFERROR(LOOKUP(D144,'France and Belgium'!D$8:D$300,'France and Belgium'!F$8:F$300),0),IFERROR(LOOKUP(D144,'Japan and South Korea'!D$8:D$200,'Japan and South Korea'!F$8:F$200),0),IFERROR(LOOKUP(D144,Australia!D$57:D$248,Australia!F$57:F$248),0),IFERROR(LOOKUP(D144,China!D$11:D$200,China!F$11:F$200),0),IFERROR(LOOKUP(D144,Africa!D$18:D$200,Africa!F$18:F$200),0),IFERROR(LOOKUP(D144,Europe!D$18:D$300,Europe!F$18:F$300),0),IFERROR(LOOKUP(D144,Russia!D$18:D$198,Russia!F$18:F$198),0),IFERROR(LOOKUP(D144,'Western United States'!D$13:D$300,'Western United States'!F$13:F$300),0),IFERROR(LOOKUP(D144,'Eastern United States'!D$13:D$300,'Eastern United States'!F$13:F$300),0),IFERROR(LOOKUP(D144,Canada!D$13:D$200,Canada!F$13:F$200),0),IFERROR(LOOKUP(D144,'South Asia'!D$11:D$200,'South Asia'!F$11:F$200),0),IFERROR(LOOKUP(D144,'Latin America'!D$11:D$200,'Latin America'!F$11:F$200),0))</f>
        <v>63.638483473086289</v>
      </c>
      <c r="H144" s="339">
        <f t="shared" si="3"/>
        <v>2.4395483760915493E-2</v>
      </c>
      <c r="I144" s="197">
        <f>-INTERCEPT(H$32:H144,E$32:E144)/SLOPE(H$32:H144,E$32:E144)</f>
        <v>79.76143908702457</v>
      </c>
      <c r="J144" s="203"/>
    </row>
    <row r="145" spans="3:10" x14ac:dyDescent="0.15">
      <c r="C145" s="354"/>
      <c r="D145" s="195">
        <v>1938</v>
      </c>
      <c r="E145" s="196">
        <f>SUM(IFERROR(LOOKUP(D145,'United Kingdom'!D$12:D$303,'United Kingdom'!F$12:F$303),0),IFERROR(LOOKUP(D145,'Pennsylvania anthracite'!D$8:D$300,'Pennsylvania anthracite'!F$8:F$300),0),IFERROR(LOOKUP(D145,'France and Belgium'!D$8:D$300,'France and Belgium'!F$8:F$300),0),IFERROR(LOOKUP(D145,'Japan and South Korea'!D$8:D$200,'Japan and South Korea'!F$8:F$200),0),IFERROR(LOOKUP(D145,Australia!D$57:D$248,Australia!F$57:F$248),0),IFERROR(LOOKUP(D145,China!D$11:D$200,China!F$11:F$200),0),IFERROR(LOOKUP(D145,Africa!D$18:D$200,Africa!F$18:F$200),0),IFERROR(LOOKUP(D145,Europe!D$18:D$300,Europe!F$18:F$300),0),IFERROR(LOOKUP(D145,Russia!D$18:D$198,Russia!F$18:F$198),0),IFERROR(LOOKUP(D145,'Western United States'!D$13:D$300,'Western United States'!F$13:F$300),0),IFERROR(LOOKUP(D145,'Eastern United States'!D$13:D$300,'Eastern United States'!F$13:F$300),0),IFERROR(LOOKUP(D145,Canada!D$13:D$200,Canada!F$13:F$200),0),IFERROR(LOOKUP(D145,'South Asia'!D$11:D$200,'South Asia'!F$11:F$200),0),IFERROR(LOOKUP(D145,'Latin America'!D$11:D$200,'Latin America'!F$11:F$200),0))</f>
        <v>65.110126852227509</v>
      </c>
      <c r="H145" s="339">
        <f t="shared" si="3"/>
        <v>2.2602373091381467E-2</v>
      </c>
      <c r="I145" s="197">
        <f>-INTERCEPT(H$32:H145,E$32:E145)/SLOPE(H$32:H145,E$32:E145)</f>
        <v>80.979192661283378</v>
      </c>
      <c r="J145" s="203"/>
    </row>
    <row r="146" spans="3:10" x14ac:dyDescent="0.15">
      <c r="C146" s="354"/>
      <c r="D146" s="195">
        <v>1939</v>
      </c>
      <c r="E146" s="196">
        <f>SUM(IFERROR(LOOKUP(D146,'United Kingdom'!D$12:D$303,'United Kingdom'!F$12:F$303),0),IFERROR(LOOKUP(D146,'Pennsylvania anthracite'!D$8:D$300,'Pennsylvania anthracite'!F$8:F$300),0),IFERROR(LOOKUP(D146,'France and Belgium'!D$8:D$300,'France and Belgium'!F$8:F$300),0),IFERROR(LOOKUP(D146,'Japan and South Korea'!D$8:D$200,'Japan and South Korea'!F$8:F$200),0),IFERROR(LOOKUP(D146,Australia!D$57:D$248,Australia!F$57:F$248),0),IFERROR(LOOKUP(D146,China!D$11:D$200,China!F$11:F$200),0),IFERROR(LOOKUP(D146,Africa!D$18:D$200,Africa!F$18:F$200),0),IFERROR(LOOKUP(D146,Europe!D$18:D$300,Europe!F$18:F$300),0),IFERROR(LOOKUP(D146,Russia!D$18:D$198,Russia!F$18:F$198),0),IFERROR(LOOKUP(D146,'Western United States'!D$13:D$300,'Western United States'!F$13:F$300),0),IFERROR(LOOKUP(D146,'Eastern United States'!D$13:D$300,'Eastern United States'!F$13:F$300),0),IFERROR(LOOKUP(D146,Canada!D$13:D$200,Canada!F$13:F$200),0),IFERROR(LOOKUP(D146,'South Asia'!D$11:D$200,'South Asia'!F$11:F$200),0),IFERROR(LOOKUP(D146,'Latin America'!D$11:D$200,'Latin America'!F$11:F$200),0))</f>
        <v>66.67479885050632</v>
      </c>
      <c r="H146" s="339">
        <f t="shared" si="3"/>
        <v>2.346721737829327E-2</v>
      </c>
      <c r="I146" s="197">
        <f>-INTERCEPT(H$32:H146,E$32:E146)/SLOPE(H$32:H146,E$32:E146)</f>
        <v>82.338303774794284</v>
      </c>
      <c r="J146" s="203"/>
    </row>
    <row r="147" spans="3:10" x14ac:dyDescent="0.15">
      <c r="C147" s="354"/>
      <c r="D147" s="195">
        <v>1940</v>
      </c>
      <c r="E147" s="196">
        <f>SUM(IFERROR(LOOKUP(D147,'United Kingdom'!D$12:D$303,'United Kingdom'!F$12:F$303),0),IFERROR(LOOKUP(D147,'Pennsylvania anthracite'!D$8:D$300,'Pennsylvania anthracite'!F$8:F$300),0),IFERROR(LOOKUP(D147,'France and Belgium'!D$8:D$300,'France and Belgium'!F$8:F$300),0),IFERROR(LOOKUP(D147,'Japan and South Korea'!D$8:D$200,'Japan and South Korea'!F$8:F$200),0),IFERROR(LOOKUP(D147,Australia!D$57:D$248,Australia!F$57:F$248),0),IFERROR(LOOKUP(D147,China!D$11:D$200,China!F$11:F$200),0),IFERROR(LOOKUP(D147,Africa!D$18:D$200,Africa!F$18:F$200),0),IFERROR(LOOKUP(D147,Europe!D$18:D$300,Europe!F$18:F$300),0),IFERROR(LOOKUP(D147,Russia!D$18:D$198,Russia!F$18:F$198),0),IFERROR(LOOKUP(D147,'Western United States'!D$13:D$300,'Western United States'!F$13:F$300),0),IFERROR(LOOKUP(D147,'Eastern United States'!D$13:D$300,'Eastern United States'!F$13:F$300),0),IFERROR(LOOKUP(D147,Canada!D$13:D$200,Canada!F$13:F$200),0),IFERROR(LOOKUP(D147,'South Asia'!D$11:D$200,'South Asia'!F$11:F$200),0),IFERROR(LOOKUP(D147,'Latin America'!D$11:D$200,'Latin America'!F$11:F$200),0))</f>
        <v>68.363417057640021</v>
      </c>
      <c r="H147" s="339">
        <f t="shared" si="3"/>
        <v>2.4700611523118532E-2</v>
      </c>
      <c r="I147" s="197">
        <f>-INTERCEPT(H$32:H147,E$32:E147)/SLOPE(H$32:H147,E$32:E147)</f>
        <v>83.886626947837698</v>
      </c>
      <c r="J147" s="203"/>
    </row>
    <row r="148" spans="3:10" x14ac:dyDescent="0.15">
      <c r="C148" s="354"/>
      <c r="D148" s="195">
        <v>1941</v>
      </c>
      <c r="E148" s="196">
        <f>SUM(IFERROR(LOOKUP(D148,'United Kingdom'!D$12:D$303,'United Kingdom'!F$12:F$303),0),IFERROR(LOOKUP(D148,'Pennsylvania anthracite'!D$8:D$300,'Pennsylvania anthracite'!F$8:F$300),0),IFERROR(LOOKUP(D148,'France and Belgium'!D$8:D$300,'France and Belgium'!F$8:F$300),0),IFERROR(LOOKUP(D148,'Japan and South Korea'!D$8:D$200,'Japan and South Korea'!F$8:F$200),0),IFERROR(LOOKUP(D148,Australia!D$57:D$248,Australia!F$57:F$248),0),IFERROR(LOOKUP(D148,China!D$11:D$200,China!F$11:F$200),0),IFERROR(LOOKUP(D148,Africa!D$18:D$200,Africa!F$18:F$200),0),IFERROR(LOOKUP(D148,Europe!D$18:D$300,Europe!F$18:F$300),0),IFERROR(LOOKUP(D148,Russia!D$18:D$198,Russia!F$18:F$198),0),IFERROR(LOOKUP(D148,'Western United States'!D$13:D$300,'Western United States'!F$13:F$300),0),IFERROR(LOOKUP(D148,'Eastern United States'!D$13:D$300,'Eastern United States'!F$13:F$300),0),IFERROR(LOOKUP(D148,Canada!D$13:D$200,Canada!F$13:F$200),0),IFERROR(LOOKUP(D148,'South Asia'!D$11:D$200,'South Asia'!F$11:F$200),0),IFERROR(LOOKUP(D148,'Latin America'!D$11:D$200,'Latin America'!F$11:F$200),0))</f>
        <v>70.114919293276429</v>
      </c>
      <c r="H148" s="339">
        <f t="shared" si="3"/>
        <v>2.498044999966742E-2</v>
      </c>
      <c r="I148" s="197">
        <f>-INTERCEPT(H$32:H148,E$32:E148)/SLOPE(H$32:H148,E$32:E148)</f>
        <v>85.518926512156909</v>
      </c>
      <c r="J148" s="203"/>
    </row>
    <row r="149" spans="3:10" x14ac:dyDescent="0.15">
      <c r="C149" s="354"/>
      <c r="D149" s="195">
        <v>1942</v>
      </c>
      <c r="E149" s="196">
        <f>SUM(IFERROR(LOOKUP(D149,'United Kingdom'!D$12:D$303,'United Kingdom'!F$12:F$303),0),IFERROR(LOOKUP(D149,'Pennsylvania anthracite'!D$8:D$300,'Pennsylvania anthracite'!F$8:F$300),0),IFERROR(LOOKUP(D149,'France and Belgium'!D$8:D$300,'France and Belgium'!F$8:F$300),0),IFERROR(LOOKUP(D149,'Japan and South Korea'!D$8:D$200,'Japan and South Korea'!F$8:F$200),0),IFERROR(LOOKUP(D149,Australia!D$57:D$248,Australia!F$57:F$248),0),IFERROR(LOOKUP(D149,China!D$11:D$200,China!F$11:F$200),0),IFERROR(LOOKUP(D149,Africa!D$18:D$200,Africa!F$18:F$200),0),IFERROR(LOOKUP(D149,Europe!D$18:D$300,Europe!F$18:F$300),0),IFERROR(LOOKUP(D149,Russia!D$18:D$198,Russia!F$18:F$198),0),IFERROR(LOOKUP(D149,'Western United States'!D$13:D$300,'Western United States'!F$13:F$300),0),IFERROR(LOOKUP(D149,'Eastern United States'!D$13:D$300,'Eastern United States'!F$13:F$300),0),IFERROR(LOOKUP(D149,Canada!D$13:D$200,Canada!F$13:F$200),0),IFERROR(LOOKUP(D149,'South Asia'!D$11:D$200,'South Asia'!F$11:F$200),0),IFERROR(LOOKUP(D149,'Latin America'!D$11:D$200,'Latin America'!F$11:F$200),0))</f>
        <v>71.882461614485976</v>
      </c>
      <c r="H149" s="339">
        <f t="shared" si="3"/>
        <v>2.4589340452599973E-2</v>
      </c>
      <c r="I149" s="197">
        <f>-INTERCEPT(H$32:H149,E$32:E149)/SLOPE(H$32:H149,E$32:E149)</f>
        <v>87.15721662705063</v>
      </c>
      <c r="J149" s="203"/>
    </row>
    <row r="150" spans="3:10" x14ac:dyDescent="0.15">
      <c r="C150" s="354"/>
      <c r="D150" s="195">
        <v>1943</v>
      </c>
      <c r="E150" s="196">
        <f>SUM(IFERROR(LOOKUP(D150,'United Kingdom'!D$12:D$303,'United Kingdom'!F$12:F$303),0),IFERROR(LOOKUP(D150,'Pennsylvania anthracite'!D$8:D$300,'Pennsylvania anthracite'!F$8:F$300),0),IFERROR(LOOKUP(D150,'France and Belgium'!D$8:D$300,'France and Belgium'!F$8:F$300),0),IFERROR(LOOKUP(D150,'Japan and South Korea'!D$8:D$200,'Japan and South Korea'!F$8:F$200),0),IFERROR(LOOKUP(D150,Australia!D$57:D$248,Australia!F$57:F$248),0),IFERROR(LOOKUP(D150,China!D$11:D$200,China!F$11:F$200),0),IFERROR(LOOKUP(D150,Africa!D$18:D$200,Africa!F$18:F$200),0),IFERROR(LOOKUP(D150,Europe!D$18:D$300,Europe!F$18:F$300),0),IFERROR(LOOKUP(D150,Russia!D$18:D$198,Russia!F$18:F$198),0),IFERROR(LOOKUP(D150,'Western United States'!D$13:D$300,'Western United States'!F$13:F$300),0),IFERROR(LOOKUP(D150,'Eastern United States'!D$13:D$300,'Eastern United States'!F$13:F$300),0),IFERROR(LOOKUP(D150,Canada!D$13:D$200,Canada!F$13:F$200),0),IFERROR(LOOKUP(D150,'South Asia'!D$11:D$200,'South Asia'!F$11:F$200),0),IFERROR(LOOKUP(D150,'Latin America'!D$11:D$200,'Latin America'!F$11:F$200),0))</f>
        <v>73.675320781532193</v>
      </c>
      <c r="H150" s="339">
        <f t="shared" si="3"/>
        <v>2.4334596008920628E-2</v>
      </c>
      <c r="I150" s="197">
        <f>-INTERCEPT(H$32:H150,E$32:E150)/SLOPE(H$32:H150,E$32:E150)</f>
        <v>88.816292650770507</v>
      </c>
      <c r="J150" s="203"/>
    </row>
    <row r="151" spans="3:10" x14ac:dyDescent="0.15">
      <c r="C151" s="354"/>
      <c r="D151" s="195">
        <v>1944</v>
      </c>
      <c r="E151" s="196">
        <f>SUM(IFERROR(LOOKUP(D151,'United Kingdom'!D$12:D$303,'United Kingdom'!F$12:F$303),0),IFERROR(LOOKUP(D151,'Pennsylvania anthracite'!D$8:D$300,'Pennsylvania anthracite'!F$8:F$300),0),IFERROR(LOOKUP(D151,'France and Belgium'!D$8:D$300,'France and Belgium'!F$8:F$300),0),IFERROR(LOOKUP(D151,'Japan and South Korea'!D$8:D$200,'Japan and South Korea'!F$8:F$200),0),IFERROR(LOOKUP(D151,Australia!D$57:D$248,Australia!F$57:F$248),0),IFERROR(LOOKUP(D151,China!D$11:D$200,China!F$11:F$200),0),IFERROR(LOOKUP(D151,Africa!D$18:D$200,Africa!F$18:F$200),0),IFERROR(LOOKUP(D151,Europe!D$18:D$300,Europe!F$18:F$300),0),IFERROR(LOOKUP(D151,Russia!D$18:D$198,Russia!F$18:F$198),0),IFERROR(LOOKUP(D151,'Western United States'!D$13:D$300,'Western United States'!F$13:F$300),0),IFERROR(LOOKUP(D151,'Eastern United States'!D$13:D$300,'Eastern United States'!F$13:F$300),0),IFERROR(LOOKUP(D151,Canada!D$13:D$200,Canada!F$13:F$200),0),IFERROR(LOOKUP(D151,'South Asia'!D$11:D$200,'South Asia'!F$11:F$200),0),IFERROR(LOOKUP(D151,'Latin America'!D$11:D$200,'Latin America'!F$11:F$200),0))</f>
        <v>75.411959270155478</v>
      </c>
      <c r="H151" s="339">
        <f t="shared" si="3"/>
        <v>2.3028688094443472E-2</v>
      </c>
      <c r="I151" s="197">
        <f>-INTERCEPT(H$32:H151,E$32:E151)/SLOPE(H$32:H151,E$32:E151)</f>
        <v>90.366692839908296</v>
      </c>
      <c r="J151" s="203"/>
    </row>
    <row r="152" spans="3:10" x14ac:dyDescent="0.15">
      <c r="C152" s="354"/>
      <c r="D152" s="195">
        <v>1945</v>
      </c>
      <c r="E152" s="196">
        <f>SUM(IFERROR(LOOKUP(D152,'United Kingdom'!D$12:D$303,'United Kingdom'!F$12:F$303),0),IFERROR(LOOKUP(D152,'Pennsylvania anthracite'!D$8:D$300,'Pennsylvania anthracite'!F$8:F$300),0),IFERROR(LOOKUP(D152,'France and Belgium'!D$8:D$300,'France and Belgium'!F$8:F$300),0),IFERROR(LOOKUP(D152,'Japan and South Korea'!D$8:D$200,'Japan and South Korea'!F$8:F$200),0),IFERROR(LOOKUP(D152,Australia!D$57:D$248,Australia!F$57:F$248),0),IFERROR(LOOKUP(D152,China!D$11:D$200,China!F$11:F$200),0),IFERROR(LOOKUP(D152,Africa!D$18:D$200,Africa!F$18:F$200),0),IFERROR(LOOKUP(D152,Europe!D$18:D$300,Europe!F$18:F$300),0),IFERROR(LOOKUP(D152,Russia!D$18:D$198,Russia!F$18:F$198),0),IFERROR(LOOKUP(D152,'Western United States'!D$13:D$300,'Western United States'!F$13:F$300),0),IFERROR(LOOKUP(D152,'Eastern United States'!D$13:D$300,'Eastern United States'!F$13:F$300),0),IFERROR(LOOKUP(D152,Canada!D$13:D$200,Canada!F$13:F$200),0),IFERROR(LOOKUP(D152,'South Asia'!D$11:D$200,'South Asia'!F$11:F$200),0),IFERROR(LOOKUP(D152,'Latin America'!D$11:D$200,'Latin America'!F$11:F$200),0))</f>
        <v>76.679689961399191</v>
      </c>
      <c r="H152" s="339">
        <f t="shared" si="3"/>
        <v>1.6532809299071194E-2</v>
      </c>
      <c r="I152" s="197">
        <f>-INTERCEPT(H$32:H152,E$32:E152)/SLOPE(H$32:H152,E$32:E152)</f>
        <v>91.178211849480576</v>
      </c>
      <c r="J152" s="203"/>
    </row>
    <row r="153" spans="3:10" x14ac:dyDescent="0.15">
      <c r="C153" s="354"/>
      <c r="D153" s="195">
        <v>1946</v>
      </c>
      <c r="E153" s="196">
        <f>SUM(IFERROR(LOOKUP(D153,'United Kingdom'!D$12:D$303,'United Kingdom'!F$12:F$303),0),IFERROR(LOOKUP(D153,'Pennsylvania anthracite'!D$8:D$300,'Pennsylvania anthracite'!F$8:F$300),0),IFERROR(LOOKUP(D153,'France and Belgium'!D$8:D$300,'France and Belgium'!F$8:F$300),0),IFERROR(LOOKUP(D153,'Japan and South Korea'!D$8:D$200,'Japan and South Korea'!F$8:F$200),0),IFERROR(LOOKUP(D153,Australia!D$57:D$248,Australia!F$57:F$248),0),IFERROR(LOOKUP(D153,China!D$11:D$200,China!F$11:F$200),0),IFERROR(LOOKUP(D153,Africa!D$18:D$200,Africa!F$18:F$200),0),IFERROR(LOOKUP(D153,Europe!D$18:D$300,Europe!F$18:F$300),0),IFERROR(LOOKUP(D153,Russia!D$18:D$198,Russia!F$18:F$198),0),IFERROR(LOOKUP(D153,'Western United States'!D$13:D$300,'Western United States'!F$13:F$300),0),IFERROR(LOOKUP(D153,'Eastern United States'!D$13:D$300,'Eastern United States'!F$13:F$300),0),IFERROR(LOOKUP(D153,Canada!D$13:D$200,Canada!F$13:F$200),0),IFERROR(LOOKUP(D153,'South Asia'!D$11:D$200,'South Asia'!F$11:F$200),0),IFERROR(LOOKUP(D153,'Latin America'!D$11:D$200,'Latin America'!F$11:F$200),0))</f>
        <v>78.143672724536401</v>
      </c>
      <c r="H153" s="339">
        <f t="shared" si="3"/>
        <v>1.8734501618549282E-2</v>
      </c>
      <c r="I153" s="197">
        <f>-INTERCEPT(H$32:H153,E$32:E153)/SLOPE(H$32:H153,E$32:E153)</f>
        <v>92.275447883883544</v>
      </c>
      <c r="J153" s="203"/>
    </row>
    <row r="154" spans="3:10" x14ac:dyDescent="0.15">
      <c r="C154" s="354"/>
      <c r="D154" s="195">
        <v>1947</v>
      </c>
      <c r="E154" s="196">
        <f>SUM(IFERROR(LOOKUP(D154,'United Kingdom'!D$12:D$303,'United Kingdom'!F$12:F$303),0),IFERROR(LOOKUP(D154,'Pennsylvania anthracite'!D$8:D$300,'Pennsylvania anthracite'!F$8:F$300),0),IFERROR(LOOKUP(D154,'France and Belgium'!D$8:D$300,'France and Belgium'!F$8:F$300),0),IFERROR(LOOKUP(D154,'Japan and South Korea'!D$8:D$200,'Japan and South Korea'!F$8:F$200),0),IFERROR(LOOKUP(D154,Australia!D$57:D$248,Australia!F$57:F$248),0),IFERROR(LOOKUP(D154,China!D$11:D$200,China!F$11:F$200),0),IFERROR(LOOKUP(D154,Africa!D$18:D$200,Africa!F$18:F$200),0),IFERROR(LOOKUP(D154,Europe!D$18:D$300,Europe!F$18:F$300),0),IFERROR(LOOKUP(D154,Russia!D$18:D$198,Russia!F$18:F$198),0),IFERROR(LOOKUP(D154,'Western United States'!D$13:D$300,'Western United States'!F$13:F$300),0),IFERROR(LOOKUP(D154,'Eastern United States'!D$13:D$300,'Eastern United States'!F$13:F$300),0),IFERROR(LOOKUP(D154,Canada!D$13:D$200,Canada!F$13:F$200),0),IFERROR(LOOKUP(D154,'South Asia'!D$11:D$200,'South Asia'!F$11:F$200),0),IFERROR(LOOKUP(D154,'Latin America'!D$11:D$200,'Latin America'!F$11:F$200),0))</f>
        <v>79.780226210662164</v>
      </c>
      <c r="H154" s="339">
        <f t="shared" si="3"/>
        <v>2.0513272070755928E-2</v>
      </c>
      <c r="I154" s="197">
        <f>-INTERCEPT(H$32:H154,E$32:E154)/SLOPE(H$32:H154,E$32:E154)</f>
        <v>93.610679425394281</v>
      </c>
      <c r="J154" s="203"/>
    </row>
    <row r="155" spans="3:10" x14ac:dyDescent="0.15">
      <c r="C155" s="354"/>
      <c r="D155" s="195">
        <v>1948</v>
      </c>
      <c r="E155" s="196">
        <f>SUM(IFERROR(LOOKUP(D155,'United Kingdom'!D$12:D$303,'United Kingdom'!F$12:F$303),0),IFERROR(LOOKUP(D155,'Pennsylvania anthracite'!D$8:D$300,'Pennsylvania anthracite'!F$8:F$300),0),IFERROR(LOOKUP(D155,'France and Belgium'!D$8:D$300,'France and Belgium'!F$8:F$300),0),IFERROR(LOOKUP(D155,'Japan and South Korea'!D$8:D$200,'Japan and South Korea'!F$8:F$200),0),IFERROR(LOOKUP(D155,Australia!D$57:D$248,Australia!F$57:F$248),0),IFERROR(LOOKUP(D155,China!D$11:D$200,China!F$11:F$200),0),IFERROR(LOOKUP(D155,Africa!D$18:D$200,Africa!F$18:F$200),0),IFERROR(LOOKUP(D155,Europe!D$18:D$300,Europe!F$18:F$300),0),IFERROR(LOOKUP(D155,Russia!D$18:D$198,Russia!F$18:F$198),0),IFERROR(LOOKUP(D155,'Western United States'!D$13:D$300,'Western United States'!F$13:F$300),0),IFERROR(LOOKUP(D155,'Eastern United States'!D$13:D$300,'Eastern United States'!F$13:F$300),0),IFERROR(LOOKUP(D155,Canada!D$13:D$200,Canada!F$13:F$200),0),IFERROR(LOOKUP(D155,'South Asia'!D$11:D$200,'South Asia'!F$11:F$200),0),IFERROR(LOOKUP(D155,'Latin America'!D$11:D$200,'Latin America'!F$11:F$200),0))</f>
        <v>81.478220464811315</v>
      </c>
      <c r="H155" s="339">
        <f t="shared" si="3"/>
        <v>2.0839854435486527E-2</v>
      </c>
      <c r="I155" s="197">
        <f>-INTERCEPT(H$32:H155,E$32:E155)/SLOPE(H$32:H155,E$32:E155)</f>
        <v>95.01981240785895</v>
      </c>
      <c r="J155" s="203"/>
    </row>
    <row r="156" spans="3:10" x14ac:dyDescent="0.15">
      <c r="C156" s="354"/>
      <c r="D156" s="195">
        <v>1949</v>
      </c>
      <c r="E156" s="196">
        <f>SUM(IFERROR(LOOKUP(D156,'United Kingdom'!D$12:D$303,'United Kingdom'!F$12:F$303),0),IFERROR(LOOKUP(D156,'Pennsylvania anthracite'!D$8:D$300,'Pennsylvania anthracite'!F$8:F$300),0),IFERROR(LOOKUP(D156,'France and Belgium'!D$8:D$300,'France and Belgium'!F$8:F$300),0),IFERROR(LOOKUP(D156,'Japan and South Korea'!D$8:D$200,'Japan and South Korea'!F$8:F$200),0),IFERROR(LOOKUP(D156,Australia!D$57:D$248,Australia!F$57:F$248),0),IFERROR(LOOKUP(D156,China!D$11:D$200,China!F$11:F$200),0),IFERROR(LOOKUP(D156,Africa!D$18:D$200,Africa!F$18:F$200),0),IFERROR(LOOKUP(D156,Europe!D$18:D$300,Europe!F$18:F$300),0),IFERROR(LOOKUP(D156,Russia!D$18:D$198,Russia!F$18:F$198),0),IFERROR(LOOKUP(D156,'Western United States'!D$13:D$300,'Western United States'!F$13:F$300),0),IFERROR(LOOKUP(D156,'Eastern United States'!D$13:D$300,'Eastern United States'!F$13:F$300),0),IFERROR(LOOKUP(D156,Canada!D$13:D$200,Canada!F$13:F$200),0),IFERROR(LOOKUP(D156,'South Asia'!D$11:D$200,'South Asia'!F$11:F$200),0),IFERROR(LOOKUP(D156,'Latin America'!D$11:D$200,'Latin America'!F$11:F$200),0))</f>
        <v>83.134154235678693</v>
      </c>
      <c r="H156" s="339">
        <f t="shared" si="3"/>
        <v>1.9918814187643519E-2</v>
      </c>
      <c r="I156" s="197">
        <f>-INTERCEPT(H$32:H156,E$32:E156)/SLOPE(H$32:H156,E$32:E156)</f>
        <v>96.358129887107992</v>
      </c>
      <c r="J156" s="203"/>
    </row>
    <row r="157" spans="3:10" x14ac:dyDescent="0.15">
      <c r="C157" s="354"/>
      <c r="D157" s="195">
        <v>1950</v>
      </c>
      <c r="E157" s="196">
        <f>SUM(IFERROR(LOOKUP(D157,'United Kingdom'!D$12:D$303,'United Kingdom'!F$12:F$303),0),IFERROR(LOOKUP(D157,'Pennsylvania anthracite'!D$8:D$300,'Pennsylvania anthracite'!F$8:F$300),0),IFERROR(LOOKUP(D157,'France and Belgium'!D$8:D$300,'France and Belgium'!F$8:F$300),0),IFERROR(LOOKUP(D157,'Japan and South Korea'!D$8:D$200,'Japan and South Korea'!F$8:F$200),0),IFERROR(LOOKUP(D157,Australia!D$57:D$248,Australia!F$57:F$248),0),IFERROR(LOOKUP(D157,China!D$11:D$200,China!F$11:F$200),0),IFERROR(LOOKUP(D157,Africa!D$18:D$200,Africa!F$18:F$200),0),IFERROR(LOOKUP(D157,Europe!D$18:D$300,Europe!F$18:F$300),0),IFERROR(LOOKUP(D157,Russia!D$18:D$198,Russia!F$18:F$198),0),IFERROR(LOOKUP(D157,'Western United States'!D$13:D$300,'Western United States'!F$13:F$300),0),IFERROR(LOOKUP(D157,'Eastern United States'!D$13:D$300,'Eastern United States'!F$13:F$300),0),IFERROR(LOOKUP(D157,Canada!D$13:D$200,Canada!F$13:F$200),0),IFERROR(LOOKUP(D157,'South Asia'!D$11:D$200,'South Asia'!F$11:F$200),0),IFERROR(LOOKUP(D157,'Latin America'!D$11:D$200,'Latin America'!F$11:F$200),0))</f>
        <v>84.93654067818413</v>
      </c>
      <c r="H157" s="339">
        <f t="shared" si="3"/>
        <v>2.1220389105962023E-2</v>
      </c>
      <c r="I157" s="197">
        <f>-INTERCEPT(H$32:H157,E$32:E157)/SLOPE(H$32:H157,E$32:E157)</f>
        <v>97.883273325498706</v>
      </c>
      <c r="J157" s="203"/>
    </row>
    <row r="158" spans="3:10" x14ac:dyDescent="0.15">
      <c r="C158" s="354"/>
      <c r="D158" s="195">
        <v>1951</v>
      </c>
      <c r="E158" s="196">
        <f>SUM(IFERROR(LOOKUP(D158,'United Kingdom'!D$12:D$303,'United Kingdom'!F$12:F$303),0),IFERROR(LOOKUP(D158,'Pennsylvania anthracite'!D$8:D$300,'Pennsylvania anthracite'!F$8:F$300),0),IFERROR(LOOKUP(D158,'France and Belgium'!D$8:D$300,'France and Belgium'!F$8:F$300),0),IFERROR(LOOKUP(D158,'Japan and South Korea'!D$8:D$200,'Japan and South Korea'!F$8:F$200),0),IFERROR(LOOKUP(D158,Australia!D$57:D$248,Australia!F$57:F$248),0),IFERROR(LOOKUP(D158,China!D$11:D$200,China!F$11:F$200),0),IFERROR(LOOKUP(D158,Africa!D$18:D$200,Africa!F$18:F$200),0),IFERROR(LOOKUP(D158,Europe!D$18:D$300,Europe!F$18:F$300),0),IFERROR(LOOKUP(D158,Russia!D$18:D$198,Russia!F$18:F$198),0),IFERROR(LOOKUP(D158,'Western United States'!D$13:D$300,'Western United States'!F$13:F$300),0),IFERROR(LOOKUP(D158,'Eastern United States'!D$13:D$300,'Eastern United States'!F$13:F$300),0),IFERROR(LOOKUP(D158,Canada!D$13:D$200,Canada!F$13:F$200),0),IFERROR(LOOKUP(D158,'South Asia'!D$11:D$200,'South Asia'!F$11:F$200),0),IFERROR(LOOKUP(D158,'Latin America'!D$11:D$200,'Latin America'!F$11:F$200),0))</f>
        <v>86.842228995750489</v>
      </c>
      <c r="H158" s="339">
        <f t="shared" si="3"/>
        <v>2.1944258451261245E-2</v>
      </c>
      <c r="I158" s="197">
        <f>-INTERCEPT(H$32:H158,E$32:E158)/SLOPE(H$32:H158,E$32:E158)</f>
        <v>99.535114110427216</v>
      </c>
      <c r="J158" s="203"/>
    </row>
    <row r="159" spans="3:10" x14ac:dyDescent="0.15">
      <c r="C159" s="354"/>
      <c r="D159" s="195">
        <v>1952</v>
      </c>
      <c r="E159" s="196">
        <f>SUM(IFERROR(LOOKUP(D159,'United Kingdom'!D$12:D$303,'United Kingdom'!F$12:F$303),0),IFERROR(LOOKUP(D159,'Pennsylvania anthracite'!D$8:D$300,'Pennsylvania anthracite'!F$8:F$300),0),IFERROR(LOOKUP(D159,'France and Belgium'!D$8:D$300,'France and Belgium'!F$8:F$300),0),IFERROR(LOOKUP(D159,'Japan and South Korea'!D$8:D$200,'Japan and South Korea'!F$8:F$200),0),IFERROR(LOOKUP(D159,Australia!D$57:D$248,Australia!F$57:F$248),0),IFERROR(LOOKUP(D159,China!D$11:D$200,China!F$11:F$200),0),IFERROR(LOOKUP(D159,Africa!D$18:D$200,Africa!F$18:F$200),0),IFERROR(LOOKUP(D159,Europe!D$18:D$300,Europe!F$18:F$300),0),IFERROR(LOOKUP(D159,Russia!D$18:D$198,Russia!F$18:F$198),0),IFERROR(LOOKUP(D159,'Western United States'!D$13:D$300,'Western United States'!F$13:F$300),0),IFERROR(LOOKUP(D159,'Eastern United States'!D$13:D$300,'Eastern United States'!F$13:F$300),0),IFERROR(LOOKUP(D159,Canada!D$13:D$200,Canada!F$13:F$200),0),IFERROR(LOOKUP(D159,'South Asia'!D$11:D$200,'South Asia'!F$11:F$200),0),IFERROR(LOOKUP(D159,'Latin America'!D$11:D$200,'Latin America'!F$11:F$200),0))</f>
        <v>88.753912305646267</v>
      </c>
      <c r="H159" s="339">
        <f t="shared" si="3"/>
        <v>2.1539144137245669E-2</v>
      </c>
      <c r="I159" s="197">
        <f>-INTERCEPT(H$32:H159,E$32:E159)/SLOPE(H$32:H159,E$32:E159)</f>
        <v>101.18446023280724</v>
      </c>
      <c r="J159" s="203"/>
    </row>
    <row r="160" spans="3:10" x14ac:dyDescent="0.15">
      <c r="C160" s="354"/>
      <c r="D160" s="195">
        <v>1953</v>
      </c>
      <c r="E160" s="196">
        <f>SUM(IFERROR(LOOKUP(D160,'United Kingdom'!D$12:D$303,'United Kingdom'!F$12:F$303),0),IFERROR(LOOKUP(D160,'Pennsylvania anthracite'!D$8:D$300,'Pennsylvania anthracite'!F$8:F$300),0),IFERROR(LOOKUP(D160,'France and Belgium'!D$8:D$300,'France and Belgium'!F$8:F$300),0),IFERROR(LOOKUP(D160,'Japan and South Korea'!D$8:D$200,'Japan and South Korea'!F$8:F$200),0),IFERROR(LOOKUP(D160,Australia!D$57:D$248,Australia!F$57:F$248),0),IFERROR(LOOKUP(D160,China!D$11:D$200,China!F$11:F$200),0),IFERROR(LOOKUP(D160,Africa!D$18:D$200,Africa!F$18:F$200),0),IFERROR(LOOKUP(D160,Europe!D$18:D$300,Europe!F$18:F$300),0),IFERROR(LOOKUP(D160,Russia!D$18:D$198,Russia!F$18:F$198),0),IFERROR(LOOKUP(D160,'Western United States'!D$13:D$300,'Western United States'!F$13:F$300),0),IFERROR(LOOKUP(D160,'Eastern United States'!D$13:D$300,'Eastern United States'!F$13:F$300),0),IFERROR(LOOKUP(D160,Canada!D$13:D$200,Canada!F$13:F$200),0),IFERROR(LOOKUP(D160,'South Asia'!D$11:D$200,'South Asia'!F$11:F$200),0),IFERROR(LOOKUP(D160,'Latin America'!D$11:D$200,'Latin America'!F$11:F$200),0))</f>
        <v>90.690715276290561</v>
      </c>
      <c r="H160" s="339">
        <f t="shared" si="3"/>
        <v>2.1356132926549254E-2</v>
      </c>
      <c r="I160" s="197">
        <f>-INTERCEPT(H$32:H160,E$32:E160)/SLOPE(H$32:H160,E$32:E160)</f>
        <v>102.85598660010652</v>
      </c>
      <c r="J160" s="203"/>
    </row>
    <row r="161" spans="3:10" x14ac:dyDescent="0.15">
      <c r="C161" s="354"/>
      <c r="D161" s="195">
        <v>1954</v>
      </c>
      <c r="E161" s="196">
        <f>SUM(IFERROR(LOOKUP(D161,'United Kingdom'!D$12:D$303,'United Kingdom'!F$12:F$303),0),IFERROR(LOOKUP(D161,'Pennsylvania anthracite'!D$8:D$300,'Pennsylvania anthracite'!F$8:F$300),0),IFERROR(LOOKUP(D161,'France and Belgium'!D$8:D$300,'France and Belgium'!F$8:F$300),0),IFERROR(LOOKUP(D161,'Japan and South Korea'!D$8:D$200,'Japan and South Korea'!F$8:F$200),0),IFERROR(LOOKUP(D161,Australia!D$57:D$248,Australia!F$57:F$248),0),IFERROR(LOOKUP(D161,China!D$11:D$200,China!F$11:F$200),0),IFERROR(LOOKUP(D161,Africa!D$18:D$200,Africa!F$18:F$200),0),IFERROR(LOOKUP(D161,Europe!D$18:D$300,Europe!F$18:F$300),0),IFERROR(LOOKUP(D161,Russia!D$18:D$198,Russia!F$18:F$198),0),IFERROR(LOOKUP(D161,'Western United States'!D$13:D$300,'Western United States'!F$13:F$300),0),IFERROR(LOOKUP(D161,'Eastern United States'!D$13:D$300,'Eastern United States'!F$13:F$300),0),IFERROR(LOOKUP(D161,Canada!D$13:D$200,Canada!F$13:F$200),0),IFERROR(LOOKUP(D161,'South Asia'!D$11:D$200,'South Asia'!F$11:F$200),0),IFERROR(LOOKUP(D161,'Latin America'!D$11:D$200,'Latin America'!F$11:F$200),0))</f>
        <v>92.637737636170527</v>
      </c>
      <c r="H161" s="339">
        <f t="shared" si="3"/>
        <v>2.1017594012569529E-2</v>
      </c>
      <c r="I161" s="197">
        <f>-INTERCEPT(H$32:H161,E$32:E161)/SLOPE(H$32:H161,E$32:E161)</f>
        <v>104.53038588561739</v>
      </c>
      <c r="J161" s="203"/>
    </row>
    <row r="162" spans="3:10" x14ac:dyDescent="0.15">
      <c r="C162" s="354"/>
      <c r="D162" s="195">
        <v>1955</v>
      </c>
      <c r="E162" s="196">
        <f>SUM(IFERROR(LOOKUP(D162,'United Kingdom'!D$12:D$303,'United Kingdom'!F$12:F$303),0),IFERROR(LOOKUP(D162,'Pennsylvania anthracite'!D$8:D$300,'Pennsylvania anthracite'!F$8:F$300),0),IFERROR(LOOKUP(D162,'France and Belgium'!D$8:D$300,'France and Belgium'!F$8:F$300),0),IFERROR(LOOKUP(D162,'Japan and South Korea'!D$8:D$200,'Japan and South Korea'!F$8:F$200),0),IFERROR(LOOKUP(D162,Australia!D$57:D$248,Australia!F$57:F$248),0),IFERROR(LOOKUP(D162,China!D$11:D$200,China!F$11:F$200),0),IFERROR(LOOKUP(D162,Africa!D$18:D$200,Africa!F$18:F$200),0),IFERROR(LOOKUP(D162,Europe!D$18:D$300,Europe!F$18:F$300),0),IFERROR(LOOKUP(D162,Russia!D$18:D$198,Russia!F$18:F$198),0),IFERROR(LOOKUP(D162,'Western United States'!D$13:D$300,'Western United States'!F$13:F$300),0),IFERROR(LOOKUP(D162,'Eastern United States'!D$13:D$300,'Eastern United States'!F$13:F$300),0),IFERROR(LOOKUP(D162,Canada!D$13:D$200,Canada!F$13:F$200),0),IFERROR(LOOKUP(D162,'South Asia'!D$11:D$200,'South Asia'!F$11:F$200),0),IFERROR(LOOKUP(D162,'Latin America'!D$11:D$200,'Latin America'!F$11:F$200),0))</f>
        <v>94.748363379956061</v>
      </c>
      <c r="G162" s="18"/>
      <c r="H162" s="339">
        <f t="shared" si="3"/>
        <v>2.2276118219811236E-2</v>
      </c>
      <c r="I162" s="197">
        <f>-INTERCEPT(H$32:H162,E$32:E162)/SLOPE(H$32:H162,E$32:E162)</f>
        <v>106.40112329414332</v>
      </c>
      <c r="J162" s="203"/>
    </row>
    <row r="163" spans="3:10" x14ac:dyDescent="0.15">
      <c r="C163" s="354"/>
      <c r="D163" s="195">
        <v>1956</v>
      </c>
      <c r="E163" s="196">
        <f>SUM(IFERROR(LOOKUP(D163,'United Kingdom'!D$12:D$303,'United Kingdom'!F$12:F$303),0),IFERROR(LOOKUP(D163,'Pennsylvania anthracite'!D$8:D$300,'Pennsylvania anthracite'!F$8:F$300),0),IFERROR(LOOKUP(D163,'France and Belgium'!D$8:D$300,'France and Belgium'!F$8:F$300),0),IFERROR(LOOKUP(D163,'Japan and South Korea'!D$8:D$200,'Japan and South Korea'!F$8:F$200),0),IFERROR(LOOKUP(D163,Australia!D$57:D$248,Australia!F$57:F$248),0),IFERROR(LOOKUP(D163,China!D$11:D$200,China!F$11:F$200),0),IFERROR(LOOKUP(D163,Africa!D$18:D$200,Africa!F$18:F$200),0),IFERROR(LOOKUP(D163,Europe!D$18:D$300,Europe!F$18:F$300),0),IFERROR(LOOKUP(D163,Russia!D$18:D$198,Russia!F$18:F$198),0),IFERROR(LOOKUP(D163,'Western United States'!D$13:D$300,'Western United States'!F$13:F$300),0),IFERROR(LOOKUP(D163,'Eastern United States'!D$13:D$300,'Eastern United States'!F$13:F$300),0),IFERROR(LOOKUP(D163,Canada!D$13:D$200,Canada!F$13:F$200),0),IFERROR(LOOKUP(D163,'South Asia'!D$11:D$200,'South Asia'!F$11:F$200),0),IFERROR(LOOKUP(D163,'Latin America'!D$11:D$200,'Latin America'!F$11:F$200),0))</f>
        <v>96.979904268807857</v>
      </c>
      <c r="G163" s="18"/>
      <c r="H163" s="339">
        <f t="shared" si="3"/>
        <v>2.3010343283763612E-2</v>
      </c>
      <c r="I163" s="197">
        <f>-INTERCEPT(H$32:H163,E$32:E163)/SLOPE(H$32:H163,E$32:E163)</f>
        <v>108.41573409783346</v>
      </c>
      <c r="J163" s="203"/>
    </row>
    <row r="164" spans="3:10" x14ac:dyDescent="0.15">
      <c r="C164" s="354"/>
      <c r="D164" s="195">
        <v>1957</v>
      </c>
      <c r="E164" s="196">
        <f>SUM(IFERROR(LOOKUP(D164,'United Kingdom'!D$12:D$303,'United Kingdom'!F$12:F$303),0),IFERROR(LOOKUP(D164,'Pennsylvania anthracite'!D$8:D$300,'Pennsylvania anthracite'!F$8:F$300),0),IFERROR(LOOKUP(D164,'France and Belgium'!D$8:D$300,'France and Belgium'!F$8:F$300),0),IFERROR(LOOKUP(D164,'Japan and South Korea'!D$8:D$200,'Japan and South Korea'!F$8:F$200),0),IFERROR(LOOKUP(D164,Australia!D$57:D$248,Australia!F$57:F$248),0),IFERROR(LOOKUP(D164,China!D$11:D$200,China!F$11:F$200),0),IFERROR(LOOKUP(D164,Africa!D$18:D$200,Africa!F$18:F$200),0),IFERROR(LOOKUP(D164,Europe!D$18:D$300,Europe!F$18:F$300),0),IFERROR(LOOKUP(D164,Russia!D$18:D$198,Russia!F$18:F$198),0),IFERROR(LOOKUP(D164,'Western United States'!D$13:D$300,'Western United States'!F$13:F$300),0),IFERROR(LOOKUP(D164,'Eastern United States'!D$13:D$300,'Eastern United States'!F$13:F$300),0),IFERROR(LOOKUP(D164,Canada!D$13:D$200,Canada!F$13:F$200),0),IFERROR(LOOKUP(D164,'South Asia'!D$11:D$200,'South Asia'!F$11:F$200),0),IFERROR(LOOKUP(D164,'Latin America'!D$11:D$200,'Latin America'!F$11:F$200),0))</f>
        <v>99.284239566281059</v>
      </c>
      <c r="G164" s="18"/>
      <c r="H164" s="339">
        <f t="shared" si="3"/>
        <v>2.3209477229614639E-2</v>
      </c>
      <c r="I164" s="197">
        <f>-INTERCEPT(H$32:H164,E$32:E164)/SLOPE(H$32:H164,E$32:E164)</f>
        <v>110.51550709721261</v>
      </c>
      <c r="J164" s="203"/>
    </row>
    <row r="165" spans="3:10" x14ac:dyDescent="0.15">
      <c r="C165" s="354"/>
      <c r="D165" s="195">
        <v>1958</v>
      </c>
      <c r="E165" s="196">
        <f>SUM(IFERROR(LOOKUP(D165,'United Kingdom'!D$12:D$303,'United Kingdom'!F$12:F$303),0),IFERROR(LOOKUP(D165,'Pennsylvania anthracite'!D$8:D$300,'Pennsylvania anthracite'!F$8:F$300),0),IFERROR(LOOKUP(D165,'France and Belgium'!D$8:D$300,'France and Belgium'!F$8:F$300),0),IFERROR(LOOKUP(D165,'Japan and South Korea'!D$8:D$200,'Japan and South Korea'!F$8:F$200),0),IFERROR(LOOKUP(D165,Australia!D$57:D$248,Australia!F$57:F$248),0),IFERROR(LOOKUP(D165,China!D$11:D$200,China!F$11:F$200),0),IFERROR(LOOKUP(D165,Africa!D$18:D$200,Africa!F$18:F$200),0),IFERROR(LOOKUP(D165,Europe!D$18:D$300,Europe!F$18:F$300),0),IFERROR(LOOKUP(D165,Russia!D$18:D$198,Russia!F$18:F$198),0),IFERROR(LOOKUP(D165,'Western United States'!D$13:D$300,'Western United States'!F$13:F$300),0),IFERROR(LOOKUP(D165,'Eastern United States'!D$13:D$300,'Eastern United States'!F$13:F$300),0),IFERROR(LOOKUP(D165,Canada!D$13:D$200,Canada!F$13:F$200),0),IFERROR(LOOKUP(D165,'South Asia'!D$11:D$200,'South Asia'!F$11:F$200),0),IFERROR(LOOKUP(D165,'Latin America'!D$11:D$200,'Latin America'!F$11:F$200),0))</f>
        <v>101.69021292253399</v>
      </c>
      <c r="G165" s="18"/>
      <c r="H165" s="339">
        <f t="shared" si="3"/>
        <v>2.3659832024206295E-2</v>
      </c>
      <c r="I165" s="197">
        <f>-INTERCEPT(H$32:H165,E$32:E165)/SLOPE(H$32:H165,E$32:E165)</f>
        <v>112.73642012819862</v>
      </c>
      <c r="J165" s="203"/>
    </row>
    <row r="166" spans="3:10" x14ac:dyDescent="0.15">
      <c r="C166" s="354"/>
      <c r="D166" s="195">
        <v>1959</v>
      </c>
      <c r="E166" s="196">
        <f>SUM(IFERROR(LOOKUP(D166,'United Kingdom'!D$12:D$303,'United Kingdom'!F$12:F$303),0),IFERROR(LOOKUP(D166,'Pennsylvania anthracite'!D$8:D$300,'Pennsylvania anthracite'!F$8:F$300),0),IFERROR(LOOKUP(D166,'France and Belgium'!D$8:D$300,'France and Belgium'!F$8:F$300),0),IFERROR(LOOKUP(D166,'Japan and South Korea'!D$8:D$200,'Japan and South Korea'!F$8:F$200),0),IFERROR(LOOKUP(D166,Australia!D$57:D$248,Australia!F$57:F$248),0),IFERROR(LOOKUP(D166,China!D$11:D$200,China!F$11:F$200),0),IFERROR(LOOKUP(D166,Africa!D$18:D$200,Africa!F$18:F$200),0),IFERROR(LOOKUP(D166,Europe!D$18:D$300,Europe!F$18:F$300),0),IFERROR(LOOKUP(D166,Russia!D$18:D$198,Russia!F$18:F$198),0),IFERROR(LOOKUP(D166,'Western United States'!D$13:D$300,'Western United States'!F$13:F$300),0),IFERROR(LOOKUP(D166,'Eastern United States'!D$13:D$300,'Eastern United States'!F$13:F$300),0),IFERROR(LOOKUP(D166,Canada!D$13:D$200,Canada!F$13:F$200),0),IFERROR(LOOKUP(D166,'South Asia'!D$11:D$200,'South Asia'!F$11:F$200),0),IFERROR(LOOKUP(D166,'Latin America'!D$11:D$200,'Latin America'!F$11:F$200),0))</f>
        <v>104.21818189461213</v>
      </c>
      <c r="G166" s="18"/>
      <c r="H166" s="339">
        <f t="shared" si="3"/>
        <v>2.425650616928321E-2</v>
      </c>
      <c r="I166" s="197">
        <f>-INTERCEPT(H$32:H166,E$32:E166)/SLOPE(H$32:H166,E$32:E166)</f>
        <v>115.10486694833841</v>
      </c>
      <c r="J166" s="203"/>
    </row>
    <row r="167" spans="3:10" x14ac:dyDescent="0.15">
      <c r="C167" s="354"/>
      <c r="D167" s="195">
        <v>1960</v>
      </c>
      <c r="E167" s="196">
        <f>SUM(IFERROR(LOOKUP(D167,'United Kingdom'!D$12:D$303,'United Kingdom'!F$12:F$303),0),IFERROR(LOOKUP(D167,'Pennsylvania anthracite'!D$8:D$300,'Pennsylvania anthracite'!F$8:F$300),0),IFERROR(LOOKUP(D167,'France and Belgium'!D$8:D$300,'France and Belgium'!F$8:F$300),0),IFERROR(LOOKUP(D167,'Japan and South Korea'!D$8:D$200,'Japan and South Korea'!F$8:F$200),0),IFERROR(LOOKUP(D167,Australia!D$57:D$248,Australia!F$57:F$248),0),IFERROR(LOOKUP(D167,China!D$11:D$200,China!F$11:F$200),0),IFERROR(LOOKUP(D167,Africa!D$18:D$200,Africa!F$18:F$200),0),IFERROR(LOOKUP(D167,Europe!D$18:D$300,Europe!F$18:F$300),0),IFERROR(LOOKUP(D167,Russia!D$18:D$198,Russia!F$18:F$198),0),IFERROR(LOOKUP(D167,'Western United States'!D$13:D$300,'Western United States'!F$13:F$300),0),IFERROR(LOOKUP(D167,'Eastern United States'!D$13:D$300,'Eastern United States'!F$13:F$300),0),IFERROR(LOOKUP(D167,Canada!D$13:D$200,Canada!F$13:F$200),0),IFERROR(LOOKUP(D167,'South Asia'!D$11:D$200,'South Asia'!F$11:F$200),0),IFERROR(LOOKUP(D167,'Latin America'!D$11:D$200,'Latin America'!F$11:F$200),0))</f>
        <v>106.81253153588199</v>
      </c>
      <c r="G167" s="18"/>
      <c r="H167" s="339">
        <f t="shared" si="3"/>
        <v>2.4288813343950388E-2</v>
      </c>
      <c r="I167" s="197">
        <f>-INTERCEPT(H$32:H167,E$32:E167)/SLOPE(H$32:H167,E$32:E167)</f>
        <v>117.55466763657094</v>
      </c>
      <c r="J167" s="203"/>
    </row>
    <row r="168" spans="3:10" x14ac:dyDescent="0.15">
      <c r="C168" s="354"/>
      <c r="D168" s="195">
        <v>1961</v>
      </c>
      <c r="E168" s="196">
        <f>SUM(IFERROR(LOOKUP(D168,'United Kingdom'!D$12:D$303,'United Kingdom'!F$12:F$303),0),IFERROR(LOOKUP(D168,'Pennsylvania anthracite'!D$8:D$300,'Pennsylvania anthracite'!F$8:F$300),0),IFERROR(LOOKUP(D168,'France and Belgium'!D$8:D$300,'France and Belgium'!F$8:F$300),0),IFERROR(LOOKUP(D168,'Japan and South Korea'!D$8:D$200,'Japan and South Korea'!F$8:F$200),0),IFERROR(LOOKUP(D168,Australia!D$57:D$248,Australia!F$57:F$248),0),IFERROR(LOOKUP(D168,China!D$11:D$200,China!F$11:F$200),0),IFERROR(LOOKUP(D168,Africa!D$18:D$200,Africa!F$18:F$200),0),IFERROR(LOOKUP(D168,Europe!D$18:D$300,Europe!F$18:F$300),0),IFERROR(LOOKUP(D168,Russia!D$18:D$198,Russia!F$18:F$198),0),IFERROR(LOOKUP(D168,'Western United States'!D$13:D$300,'Western United States'!F$13:F$300),0),IFERROR(LOOKUP(D168,'Eastern United States'!D$13:D$300,'Eastern United States'!F$13:F$300),0),IFERROR(LOOKUP(D168,Canada!D$13:D$200,Canada!F$13:F$200),0),IFERROR(LOOKUP(D168,'South Asia'!D$11:D$200,'South Asia'!F$11:F$200),0),IFERROR(LOOKUP(D168,'Latin America'!D$11:D$200,'Latin America'!F$11:F$200),0))</f>
        <v>109.30657086614686</v>
      </c>
      <c r="G168" s="18"/>
      <c r="H168" s="339">
        <f t="shared" si="3"/>
        <v>2.2816920433072485E-2</v>
      </c>
      <c r="I168" s="197">
        <f>-INTERCEPT(H$32:H168,E$32:E168)/SLOPE(H$32:H168,E$32:E168)</f>
        <v>119.88159302943079</v>
      </c>
      <c r="J168" s="203"/>
    </row>
    <row r="169" spans="3:10" x14ac:dyDescent="0.15">
      <c r="C169" s="354"/>
      <c r="D169" s="195">
        <v>1962</v>
      </c>
      <c r="E169" s="196">
        <f>SUM(IFERROR(LOOKUP(D169,'United Kingdom'!D$12:D$303,'United Kingdom'!F$12:F$303),0),IFERROR(LOOKUP(D169,'Pennsylvania anthracite'!D$8:D$300,'Pennsylvania anthracite'!F$8:F$300),0),IFERROR(LOOKUP(D169,'France and Belgium'!D$8:D$300,'France and Belgium'!F$8:F$300),0),IFERROR(LOOKUP(D169,'Japan and South Korea'!D$8:D$200,'Japan and South Korea'!F$8:F$200),0),IFERROR(LOOKUP(D169,Australia!D$57:D$248,Australia!F$57:F$248),0),IFERROR(LOOKUP(D169,China!D$11:D$200,China!F$11:F$200),0),IFERROR(LOOKUP(D169,Africa!D$18:D$200,Africa!F$18:F$200),0),IFERROR(LOOKUP(D169,Europe!D$18:D$300,Europe!F$18:F$300),0),IFERROR(LOOKUP(D169,Russia!D$18:D$198,Russia!F$18:F$198),0),IFERROR(LOOKUP(D169,'Western United States'!D$13:D$300,'Western United States'!F$13:F$300),0),IFERROR(LOOKUP(D169,'Eastern United States'!D$13:D$300,'Eastern United States'!F$13:F$300),0),IFERROR(LOOKUP(D169,Canada!D$13:D$200,Canada!F$13:F$200),0),IFERROR(LOOKUP(D169,'South Asia'!D$11:D$200,'South Asia'!F$11:F$200),0),IFERROR(LOOKUP(D169,'Latin America'!D$11:D$200,'Latin America'!F$11:F$200),0))</f>
        <v>111.81396997628468</v>
      </c>
      <c r="G169" s="18"/>
      <c r="H169" s="339">
        <f t="shared" si="3"/>
        <v>2.2424739150838091E-2</v>
      </c>
      <c r="I169" s="197">
        <f>-INTERCEPT(H$32:H169,E$32:E169)/SLOPE(H$32:H169,E$32:E169)</f>
        <v>122.21853699546379</v>
      </c>
      <c r="J169" s="203"/>
    </row>
    <row r="170" spans="3:10" x14ac:dyDescent="0.15">
      <c r="C170" s="354"/>
      <c r="D170" s="195">
        <v>1963</v>
      </c>
      <c r="E170" s="196">
        <f>SUM(IFERROR(LOOKUP(D170,'United Kingdom'!D$12:D$303,'United Kingdom'!F$12:F$303),0),IFERROR(LOOKUP(D170,'Pennsylvania anthracite'!D$8:D$300,'Pennsylvania anthracite'!F$8:F$300),0),IFERROR(LOOKUP(D170,'France and Belgium'!D$8:D$300,'France and Belgium'!F$8:F$300),0),IFERROR(LOOKUP(D170,'Japan and South Korea'!D$8:D$200,'Japan and South Korea'!F$8:F$200),0),IFERROR(LOOKUP(D170,Australia!D$57:D$248,Australia!F$57:F$248),0),IFERROR(LOOKUP(D170,China!D$11:D$200,China!F$11:F$200),0),IFERROR(LOOKUP(D170,Africa!D$18:D$200,Africa!F$18:F$200),0),IFERROR(LOOKUP(D170,Europe!D$18:D$300,Europe!F$18:F$300),0),IFERROR(LOOKUP(D170,Russia!D$18:D$198,Russia!F$18:F$198),0),IFERROR(LOOKUP(D170,'Western United States'!D$13:D$300,'Western United States'!F$13:F$300),0),IFERROR(LOOKUP(D170,'Eastern United States'!D$13:D$300,'Eastern United States'!F$13:F$300),0),IFERROR(LOOKUP(D170,Canada!D$13:D$200,Canada!F$13:F$200),0),IFERROR(LOOKUP(D170,'South Asia'!D$11:D$200,'South Asia'!F$11:F$200),0),IFERROR(LOOKUP(D170,'Latin America'!D$11:D$200,'Latin America'!F$11:F$200),0))</f>
        <v>114.40299399865201</v>
      </c>
      <c r="G170" s="18"/>
      <c r="H170" s="339">
        <f t="shared" si="3"/>
        <v>2.2630736590668499E-2</v>
      </c>
      <c r="I170" s="197">
        <f>-INTERCEPT(H$32:H170,E$32:E170)/SLOPE(H$32:H170,E$32:E170)</f>
        <v>124.64650821570528</v>
      </c>
      <c r="J170" s="203"/>
    </row>
    <row r="171" spans="3:10" x14ac:dyDescent="0.15">
      <c r="C171" s="354"/>
      <c r="D171" s="195">
        <v>1964</v>
      </c>
      <c r="E171" s="196">
        <f>SUM(IFERROR(LOOKUP(D171,'United Kingdom'!D$12:D$303,'United Kingdom'!F$12:F$303),0),IFERROR(LOOKUP(D171,'Pennsylvania anthracite'!D$8:D$300,'Pennsylvania anthracite'!F$8:F$300),0),IFERROR(LOOKUP(D171,'France and Belgium'!D$8:D$300,'France and Belgium'!F$8:F$300),0),IFERROR(LOOKUP(D171,'Japan and South Korea'!D$8:D$200,'Japan and South Korea'!F$8:F$200),0),IFERROR(LOOKUP(D171,Australia!D$57:D$248,Australia!F$57:F$248),0),IFERROR(LOOKUP(D171,China!D$11:D$200,China!F$11:F$200),0),IFERROR(LOOKUP(D171,Africa!D$18:D$200,Africa!F$18:F$200),0),IFERROR(LOOKUP(D171,Europe!D$18:D$300,Europe!F$18:F$300),0),IFERROR(LOOKUP(D171,Russia!D$18:D$198,Russia!F$18:F$198),0),IFERROR(LOOKUP(D171,'Western United States'!D$13:D$300,'Western United States'!F$13:F$300),0),IFERROR(LOOKUP(D171,'Eastern United States'!D$13:D$300,'Eastern United States'!F$13:F$300),0),IFERROR(LOOKUP(D171,Canada!D$13:D$200,Canada!F$13:F$200),0),IFERROR(LOOKUP(D171,'South Asia'!D$11:D$200,'South Asia'!F$11:F$200),0),IFERROR(LOOKUP(D171,'Latin America'!D$11:D$200,'Latin America'!F$11:F$200),0))</f>
        <v>117.06982921561826</v>
      </c>
      <c r="G171" s="18"/>
      <c r="H171" s="339">
        <f t="shared" si="3"/>
        <v>2.2779867663892284E-2</v>
      </c>
      <c r="I171" s="197">
        <f>-INTERCEPT(H$32:H171,E$32:E171)/SLOPE(H$32:H171,E$32:E171)</f>
        <v>127.16161533171584</v>
      </c>
      <c r="J171" s="203"/>
    </row>
    <row r="172" spans="3:10" x14ac:dyDescent="0.15">
      <c r="C172" s="354"/>
      <c r="D172" s="195">
        <v>1965</v>
      </c>
      <c r="E172" s="196">
        <f>SUM(IFERROR(LOOKUP(D172,'United Kingdom'!D$12:D$303,'United Kingdom'!F$12:F$303),0),IFERROR(LOOKUP(D172,'Pennsylvania anthracite'!D$8:D$300,'Pennsylvania anthracite'!F$8:F$300),0),IFERROR(LOOKUP(D172,'France and Belgium'!D$8:D$300,'France and Belgium'!F$8:F$300),0),IFERROR(LOOKUP(D172,'Japan and South Korea'!D$8:D$200,'Japan and South Korea'!F$8:F$200),0),IFERROR(LOOKUP(D172,Australia!D$57:D$248,Australia!F$57:F$248),0),IFERROR(LOOKUP(D172,China!D$11:D$200,China!F$11:F$200),0),IFERROR(LOOKUP(D172,Africa!D$18:D$200,Africa!F$18:F$200),0),IFERROR(LOOKUP(D172,Europe!D$18:D$300,Europe!F$18:F$300),0),IFERROR(LOOKUP(D172,Russia!D$18:D$198,Russia!F$18:F$198),0),IFERROR(LOOKUP(D172,'Western United States'!D$13:D$300,'Western United States'!F$13:F$300),0),IFERROR(LOOKUP(D172,'Eastern United States'!D$13:D$300,'Eastern United States'!F$13:F$300),0),IFERROR(LOOKUP(D172,Canada!D$13:D$200,Canada!F$13:F$200),0),IFERROR(LOOKUP(D172,'South Asia'!D$11:D$200,'South Asia'!F$11:F$200),0),IFERROR(LOOKUP(D172,'Latin America'!D$11:D$200,'Latin America'!F$11:F$200),0))</f>
        <v>119.79004284350107</v>
      </c>
      <c r="G172" s="18"/>
      <c r="H172" s="339">
        <f t="shared" si="3"/>
        <v>2.270817810322201E-2</v>
      </c>
      <c r="I172" s="197">
        <f>-INTERCEPT(H$32:H172,E$32:E172)/SLOPE(H$32:H172,E$32:E172)</f>
        <v>129.73522888273823</v>
      </c>
      <c r="J172" s="203"/>
    </row>
    <row r="173" spans="3:10" x14ac:dyDescent="0.15">
      <c r="C173" s="354"/>
      <c r="D173" s="195">
        <v>1966</v>
      </c>
      <c r="E173" s="196">
        <f>SUM(IFERROR(LOOKUP(D173,'United Kingdom'!D$12:D$303,'United Kingdom'!F$12:F$303),0),IFERROR(LOOKUP(D173,'Pennsylvania anthracite'!D$8:D$300,'Pennsylvania anthracite'!F$8:F$300),0),IFERROR(LOOKUP(D173,'France and Belgium'!D$8:D$300,'France and Belgium'!F$8:F$300),0),IFERROR(LOOKUP(D173,'Japan and South Korea'!D$8:D$200,'Japan and South Korea'!F$8:F$200),0),IFERROR(LOOKUP(D173,Australia!D$57:D$248,Australia!F$57:F$248),0),IFERROR(LOOKUP(D173,China!D$11:D$200,China!F$11:F$200),0),IFERROR(LOOKUP(D173,Africa!D$18:D$200,Africa!F$18:F$200),0),IFERROR(LOOKUP(D173,Europe!D$18:D$300,Europe!F$18:F$300),0),IFERROR(LOOKUP(D173,Russia!D$18:D$198,Russia!F$18:F$198),0),IFERROR(LOOKUP(D173,'Western United States'!D$13:D$300,'Western United States'!F$13:F$300),0),IFERROR(LOOKUP(D173,'Eastern United States'!D$13:D$300,'Eastern United States'!F$13:F$300),0),IFERROR(LOOKUP(D173,Canada!D$13:D$200,Canada!F$13:F$200),0),IFERROR(LOOKUP(D173,'South Asia'!D$11:D$200,'South Asia'!F$11:F$200),0),IFERROR(LOOKUP(D173,'Latin America'!D$11:D$200,'Latin America'!F$11:F$200),0))</f>
        <v>122.53461441781339</v>
      </c>
      <c r="G173" s="18"/>
      <c r="H173" s="339">
        <f t="shared" si="3"/>
        <v>2.2398336889150272E-2</v>
      </c>
      <c r="I173" s="197">
        <f>-INTERCEPT(H$32:H173,E$32:E173)/SLOPE(H$32:H173,E$32:E173)</f>
        <v>132.33254260880761</v>
      </c>
      <c r="J173" s="203"/>
    </row>
    <row r="174" spans="3:10" x14ac:dyDescent="0.15">
      <c r="C174" s="354"/>
      <c r="D174" s="195">
        <v>1967</v>
      </c>
      <c r="E174" s="196">
        <f>SUM(IFERROR(LOOKUP(D174,'United Kingdom'!D$12:D$303,'United Kingdom'!F$12:F$303),0),IFERROR(LOOKUP(D174,'Pennsylvania anthracite'!D$8:D$300,'Pennsylvania anthracite'!F$8:F$300),0),IFERROR(LOOKUP(D174,'France and Belgium'!D$8:D$300,'France and Belgium'!F$8:F$300),0),IFERROR(LOOKUP(D174,'Japan and South Korea'!D$8:D$200,'Japan and South Korea'!F$8:F$200),0),IFERROR(LOOKUP(D174,Australia!D$57:D$248,Australia!F$57:F$248),0),IFERROR(LOOKUP(D174,China!D$11:D$200,China!F$11:F$200),0),IFERROR(LOOKUP(D174,Africa!D$18:D$200,Africa!F$18:F$200),0),IFERROR(LOOKUP(D174,Europe!D$18:D$300,Europe!F$18:F$300),0),IFERROR(LOOKUP(D174,Russia!D$18:D$198,Russia!F$18:F$198),0),IFERROR(LOOKUP(D174,'Western United States'!D$13:D$300,'Western United States'!F$13:F$300),0),IFERROR(LOOKUP(D174,'Eastern United States'!D$13:D$300,'Eastern United States'!F$13:F$300),0),IFERROR(LOOKUP(D174,Canada!D$13:D$200,Canada!F$13:F$200),0),IFERROR(LOOKUP(D174,'South Asia'!D$11:D$200,'South Asia'!F$11:F$200),0),IFERROR(LOOKUP(D174,'Latin America'!D$11:D$200,'Latin America'!F$11:F$200),0))</f>
        <v>125.2278047485438</v>
      </c>
      <c r="G174" s="18"/>
      <c r="H174" s="339">
        <f t="shared" si="3"/>
        <v>2.1506328695438781E-2</v>
      </c>
      <c r="I174" s="197">
        <f>-INTERCEPT(H$32:H174,E$32:E174)/SLOPE(H$32:H174,E$32:E174)</f>
        <v>134.86292082178869</v>
      </c>
      <c r="J174" s="203"/>
    </row>
    <row r="175" spans="3:10" x14ac:dyDescent="0.15">
      <c r="C175" s="354"/>
      <c r="D175" s="195">
        <v>1968</v>
      </c>
      <c r="E175" s="196">
        <f>SUM(IFERROR(LOOKUP(D175,'United Kingdom'!D$12:D$303,'United Kingdom'!F$12:F$303),0),IFERROR(LOOKUP(D175,'Pennsylvania anthracite'!D$8:D$300,'Pennsylvania anthracite'!F$8:F$300),0),IFERROR(LOOKUP(D175,'France and Belgium'!D$8:D$300,'France and Belgium'!F$8:F$300),0),IFERROR(LOOKUP(D175,'Japan and South Korea'!D$8:D$200,'Japan and South Korea'!F$8:F$200),0),IFERROR(LOOKUP(D175,Australia!D$57:D$248,Australia!F$57:F$248),0),IFERROR(LOOKUP(D175,China!D$11:D$200,China!F$11:F$200),0),IFERROR(LOOKUP(D175,Africa!D$18:D$200,Africa!F$18:F$200),0),IFERROR(LOOKUP(D175,Europe!D$18:D$300,Europe!F$18:F$300),0),IFERROR(LOOKUP(D175,Russia!D$18:D$198,Russia!F$18:F$198),0),IFERROR(LOOKUP(D175,'Western United States'!D$13:D$300,'Western United States'!F$13:F$300),0),IFERROR(LOOKUP(D175,'Eastern United States'!D$13:D$300,'Eastern United States'!F$13:F$300),0),IFERROR(LOOKUP(D175,Canada!D$13:D$200,Canada!F$13:F$200),0),IFERROR(LOOKUP(D175,'South Asia'!D$11:D$200,'South Asia'!F$11:F$200),0),IFERROR(LOOKUP(D175,'Latin America'!D$11:D$200,'Latin America'!F$11:F$200),0))</f>
        <v>127.94653743683376</v>
      </c>
      <c r="G175" s="18"/>
      <c r="H175" s="339">
        <f t="shared" si="3"/>
        <v>2.1248974319701186E-2</v>
      </c>
      <c r="I175" s="197">
        <f>-INTERCEPT(H$32:H175,E$32:E175)/SLOPE(H$32:H175,E$32:E175)</f>
        <v>137.41333331552661</v>
      </c>
      <c r="J175" s="203"/>
    </row>
    <row r="176" spans="3:10" x14ac:dyDescent="0.15">
      <c r="C176" s="354"/>
      <c r="D176" s="195">
        <v>1969</v>
      </c>
      <c r="E176" s="196">
        <f>SUM(IFERROR(LOOKUP(D176,'United Kingdom'!D$12:D$303,'United Kingdom'!F$12:F$303),0),IFERROR(LOOKUP(D176,'Pennsylvania anthracite'!D$8:D$300,'Pennsylvania anthracite'!F$8:F$300),0),IFERROR(LOOKUP(D176,'France and Belgium'!D$8:D$300,'France and Belgium'!F$8:F$300),0),IFERROR(LOOKUP(D176,'Japan and South Korea'!D$8:D$200,'Japan and South Korea'!F$8:F$200),0),IFERROR(LOOKUP(D176,Australia!D$57:D$248,Australia!F$57:F$248),0),IFERROR(LOOKUP(D176,China!D$11:D$200,China!F$11:F$200),0),IFERROR(LOOKUP(D176,Africa!D$18:D$200,Africa!F$18:F$200),0),IFERROR(LOOKUP(D176,Europe!D$18:D$300,Europe!F$18:F$300),0),IFERROR(LOOKUP(D176,Russia!D$18:D$198,Russia!F$18:F$198),0),IFERROR(LOOKUP(D176,'Western United States'!D$13:D$300,'Western United States'!F$13:F$300),0),IFERROR(LOOKUP(D176,'Eastern United States'!D$13:D$300,'Eastern United States'!F$13:F$300),0),IFERROR(LOOKUP(D176,Canada!D$13:D$200,Canada!F$13:F$200),0),IFERROR(LOOKUP(D176,'South Asia'!D$11:D$200,'South Asia'!F$11:F$200),0),IFERROR(LOOKUP(D176,'Latin America'!D$11:D$200,'Latin America'!F$11:F$200),0))</f>
        <v>130.76205196574386</v>
      </c>
      <c r="G176" s="18"/>
      <c r="H176" s="339">
        <f t="shared" si="3"/>
        <v>2.1531587234862926E-2</v>
      </c>
      <c r="I176" s="197">
        <f>-INTERCEPT(H$32:H176,E$32:E176)/SLOPE(H$32:H176,E$32:E176)</f>
        <v>140.06578507596151</v>
      </c>
      <c r="J176" s="203"/>
    </row>
    <row r="177" spans="3:10" x14ac:dyDescent="0.15">
      <c r="C177" s="354"/>
      <c r="D177" s="195">
        <v>1970</v>
      </c>
      <c r="E177" s="196">
        <f>SUM(IFERROR(LOOKUP(D177,'United Kingdom'!D$12:D$303,'United Kingdom'!F$12:F$303),0),IFERROR(LOOKUP(D177,'Pennsylvania anthracite'!D$8:D$300,'Pennsylvania anthracite'!F$8:F$300),0),IFERROR(LOOKUP(D177,'France and Belgium'!D$8:D$300,'France and Belgium'!F$8:F$300),0),IFERROR(LOOKUP(D177,'Japan and South Korea'!D$8:D$200,'Japan and South Korea'!F$8:F$200),0),IFERROR(LOOKUP(D177,Australia!D$57:D$248,Australia!F$57:F$248),0),IFERROR(LOOKUP(D177,China!D$11:D$200,China!F$11:F$200),0),IFERROR(LOOKUP(D177,Africa!D$18:D$200,Africa!F$18:F$200),0),IFERROR(LOOKUP(D177,Europe!D$18:D$300,Europe!F$18:F$300),0),IFERROR(LOOKUP(D177,Russia!D$18:D$198,Russia!F$18:F$198),0),IFERROR(LOOKUP(D177,'Western United States'!D$13:D$300,'Western United States'!F$13:F$300),0),IFERROR(LOOKUP(D177,'Eastern United States'!D$13:D$300,'Eastern United States'!F$13:F$300),0),IFERROR(LOOKUP(D177,Canada!D$13:D$200,Canada!F$13:F$200),0),IFERROR(LOOKUP(D177,'South Asia'!D$11:D$200,'South Asia'!F$11:F$200),0),IFERROR(LOOKUP(D177,'Latin America'!D$11:D$200,'Latin America'!F$11:F$200),0))</f>
        <v>133.72935667620308</v>
      </c>
      <c r="G177" s="18"/>
      <c r="H177" s="339">
        <f t="shared" si="3"/>
        <v>2.2188880468810623E-2</v>
      </c>
      <c r="I177" s="197">
        <f>-INTERCEPT(H$32:H177,E$32:E177)/SLOPE(H$32:H177,E$32:E177)</f>
        <v>142.88513926124961</v>
      </c>
      <c r="J177" s="203"/>
    </row>
    <row r="178" spans="3:10" x14ac:dyDescent="0.15">
      <c r="C178" s="354"/>
      <c r="D178" s="195">
        <v>1971</v>
      </c>
      <c r="E178" s="196">
        <f>SUM(IFERROR(LOOKUP(D178,'United Kingdom'!D$12:D$303,'United Kingdom'!F$12:F$303),0),IFERROR(LOOKUP(D178,'Pennsylvania anthracite'!D$8:D$300,'Pennsylvania anthracite'!F$8:F$300),0),IFERROR(LOOKUP(D178,'France and Belgium'!D$8:D$300,'France and Belgium'!F$8:F$300),0),IFERROR(LOOKUP(D178,'Japan and South Korea'!D$8:D$200,'Japan and South Korea'!F$8:F$200),0),IFERROR(LOOKUP(D178,Australia!D$57:D$248,Australia!F$57:F$248),0),IFERROR(LOOKUP(D178,China!D$11:D$200,China!F$11:F$200),0),IFERROR(LOOKUP(D178,Africa!D$18:D$200,Africa!F$18:F$200),0),IFERROR(LOOKUP(D178,Europe!D$18:D$300,Europe!F$18:F$300),0),IFERROR(LOOKUP(D178,Russia!D$18:D$198,Russia!F$18:F$198),0),IFERROR(LOOKUP(D178,'Western United States'!D$13:D$300,'Western United States'!F$13:F$300),0),IFERROR(LOOKUP(D178,'Eastern United States'!D$13:D$300,'Eastern United States'!F$13:F$300),0),IFERROR(LOOKUP(D178,Canada!D$13:D$200,Canada!F$13:F$200),0),IFERROR(LOOKUP(D178,'South Asia'!D$11:D$200,'South Asia'!F$11:F$200),0),IFERROR(LOOKUP(D178,'Latin America'!D$11:D$200,'Latin America'!F$11:F$200),0))</f>
        <v>136.72627083380584</v>
      </c>
      <c r="G178" s="18"/>
      <c r="H178" s="339">
        <f t="shared" si="3"/>
        <v>2.191908065162973E-2</v>
      </c>
      <c r="I178" s="197">
        <f>-INTERCEPT(H$32:H178,E$32:E178)/SLOPE(H$32:H178,E$32:E178)</f>
        <v>145.73385488083449</v>
      </c>
      <c r="J178" s="203"/>
    </row>
    <row r="179" spans="3:10" x14ac:dyDescent="0.15">
      <c r="C179" s="354"/>
      <c r="D179" s="195">
        <v>1972</v>
      </c>
      <c r="E179" s="196">
        <f>SUM(IFERROR(LOOKUP(D179,'United Kingdom'!D$12:D$303,'United Kingdom'!F$12:F$303),0),IFERROR(LOOKUP(D179,'Pennsylvania anthracite'!D$8:D$300,'Pennsylvania anthracite'!F$8:F$300),0),IFERROR(LOOKUP(D179,'France and Belgium'!D$8:D$300,'France and Belgium'!F$8:F$300),0),IFERROR(LOOKUP(D179,'Japan and South Korea'!D$8:D$200,'Japan and South Korea'!F$8:F$200),0),IFERROR(LOOKUP(D179,Australia!D$57:D$248,Australia!F$57:F$248),0),IFERROR(LOOKUP(D179,China!D$11:D$200,China!F$11:F$200),0),IFERROR(LOOKUP(D179,Africa!D$18:D$200,Africa!F$18:F$200),0),IFERROR(LOOKUP(D179,Europe!D$18:D$300,Europe!F$18:F$300),0),IFERROR(LOOKUP(D179,Russia!D$18:D$198,Russia!F$18:F$198),0),IFERROR(LOOKUP(D179,'Western United States'!D$13:D$300,'Western United States'!F$13:F$300),0),IFERROR(LOOKUP(D179,'Eastern United States'!D$13:D$300,'Eastern United States'!F$13:F$300),0),IFERROR(LOOKUP(D179,Canada!D$13:D$200,Canada!F$13:F$200),0),IFERROR(LOOKUP(D179,'South Asia'!D$11:D$200,'South Asia'!F$11:F$200),0),IFERROR(LOOKUP(D179,'Latin America'!D$11:D$200,'Latin America'!F$11:F$200),0))</f>
        <v>139.7584993826363</v>
      </c>
      <c r="G179" s="18"/>
      <c r="H179" s="339">
        <f t="shared" si="3"/>
        <v>2.1696201391864567E-2</v>
      </c>
      <c r="I179" s="197">
        <f>-INTERCEPT(H$32:H179,E$32:E179)/SLOPE(H$32:H179,E$32:E179)</f>
        <v>148.61723794371036</v>
      </c>
      <c r="J179" s="203"/>
    </row>
    <row r="180" spans="3:10" x14ac:dyDescent="0.15">
      <c r="C180" s="354"/>
      <c r="D180" s="195">
        <v>1973</v>
      </c>
      <c r="E180" s="196">
        <f>SUM(IFERROR(LOOKUP(D180,'United Kingdom'!D$12:D$303,'United Kingdom'!F$12:F$303),0),IFERROR(LOOKUP(D180,'Pennsylvania anthracite'!D$8:D$300,'Pennsylvania anthracite'!F$8:F$300),0),IFERROR(LOOKUP(D180,'France and Belgium'!D$8:D$300,'France and Belgium'!F$8:F$300),0),IFERROR(LOOKUP(D180,'Japan and South Korea'!D$8:D$200,'Japan and South Korea'!F$8:F$200),0),IFERROR(LOOKUP(D180,Australia!D$57:D$248,Australia!F$57:F$248),0),IFERROR(LOOKUP(D180,China!D$11:D$200,China!F$11:F$200),0),IFERROR(LOOKUP(D180,Africa!D$18:D$200,Africa!F$18:F$200),0),IFERROR(LOOKUP(D180,Europe!D$18:D$300,Europe!F$18:F$300),0),IFERROR(LOOKUP(D180,Russia!D$18:D$198,Russia!F$18:F$198),0),IFERROR(LOOKUP(D180,'Western United States'!D$13:D$300,'Western United States'!F$13:F$300),0),IFERROR(LOOKUP(D180,'Eastern United States'!D$13:D$300,'Eastern United States'!F$13:F$300),0),IFERROR(LOOKUP(D180,Canada!D$13:D$200,Canada!F$13:F$200),0),IFERROR(LOOKUP(D180,'South Asia'!D$11:D$200,'South Asia'!F$11:F$200),0),IFERROR(LOOKUP(D180,'Latin America'!D$11:D$200,'Latin America'!F$11:F$200),0))</f>
        <v>142.82921413854399</v>
      </c>
      <c r="G180" s="18"/>
      <c r="H180" s="339">
        <f t="shared" si="3"/>
        <v>2.1499206408355009E-2</v>
      </c>
      <c r="I180" s="197">
        <f>-INTERCEPT(H$32:H180,E$32:E180)/SLOPE(H$32:H180,E$32:E180)</f>
        <v>151.5379341250254</v>
      </c>
      <c r="J180" s="203"/>
    </row>
    <row r="181" spans="3:10" x14ac:dyDescent="0.15">
      <c r="C181" s="354"/>
      <c r="D181" s="195">
        <v>1974</v>
      </c>
      <c r="E181" s="196">
        <f>SUM(IFERROR(LOOKUP(D181,'United Kingdom'!D$12:D$303,'United Kingdom'!F$12:F$303),0),IFERROR(LOOKUP(D181,'Pennsylvania anthracite'!D$8:D$300,'Pennsylvania anthracite'!F$8:F$300),0),IFERROR(LOOKUP(D181,'France and Belgium'!D$8:D$300,'France and Belgium'!F$8:F$300),0),IFERROR(LOOKUP(D181,'Japan and South Korea'!D$8:D$200,'Japan and South Korea'!F$8:F$200),0),IFERROR(LOOKUP(D181,Australia!D$57:D$248,Australia!F$57:F$248),0),IFERROR(LOOKUP(D181,China!D$11:D$200,China!F$11:F$200),0),IFERROR(LOOKUP(D181,Africa!D$18:D$200,Africa!F$18:F$200),0),IFERROR(LOOKUP(D181,Europe!D$18:D$300,Europe!F$18:F$300),0),IFERROR(LOOKUP(D181,Russia!D$18:D$198,Russia!F$18:F$198),0),IFERROR(LOOKUP(D181,'Western United States'!D$13:D$300,'Western United States'!F$13:F$300),0),IFERROR(LOOKUP(D181,'Eastern United States'!D$13:D$300,'Eastern United States'!F$13:F$300),0),IFERROR(LOOKUP(D181,Canada!D$13:D$200,Canada!F$13:F$200),0),IFERROR(LOOKUP(D181,'South Asia'!D$11:D$200,'South Asia'!F$11:F$200),0),IFERROR(LOOKUP(D181,'Latin America'!D$11:D$200,'Latin America'!F$11:F$200),0))</f>
        <v>145.91202069565708</v>
      </c>
      <c r="G181" s="18"/>
      <c r="H181" s="339">
        <f t="shared" si="3"/>
        <v>2.1127845001497114E-2</v>
      </c>
      <c r="I181" s="197">
        <f>-INTERCEPT(H$32:H181,E$32:E181)/SLOPE(H$32:H181,E$32:E181)</f>
        <v>154.4651929029317</v>
      </c>
      <c r="J181" s="203"/>
    </row>
    <row r="182" spans="3:10" x14ac:dyDescent="0.15">
      <c r="C182" s="354"/>
      <c r="D182" s="195">
        <v>1975</v>
      </c>
      <c r="E182" s="196">
        <f>SUM(IFERROR(LOOKUP(D182,'United Kingdom'!D$12:D$303,'United Kingdom'!F$12:F$303),0),IFERROR(LOOKUP(D182,'Pennsylvania anthracite'!D$8:D$300,'Pennsylvania anthracite'!F$8:F$300),0),IFERROR(LOOKUP(D182,'France and Belgium'!D$8:D$300,'France and Belgium'!F$8:F$300),0),IFERROR(LOOKUP(D182,'Japan and South Korea'!D$8:D$200,'Japan and South Korea'!F$8:F$200),0),IFERROR(LOOKUP(D182,Australia!D$57:D$248,Australia!F$57:F$248),0),IFERROR(LOOKUP(D182,China!D$11:D$200,China!F$11:F$200),0),IFERROR(LOOKUP(D182,Africa!D$18:D$200,Africa!F$18:F$200),0),IFERROR(LOOKUP(D182,Europe!D$18:D$300,Europe!F$18:F$300),0),IFERROR(LOOKUP(D182,Russia!D$18:D$198,Russia!F$18:F$198),0),IFERROR(LOOKUP(D182,'Western United States'!D$13:D$300,'Western United States'!F$13:F$300),0),IFERROR(LOOKUP(D182,'Eastern United States'!D$13:D$300,'Eastern United States'!F$13:F$300),0),IFERROR(LOOKUP(D182,Canada!D$13:D$200,Canada!F$13:F$200),0),IFERROR(LOOKUP(D182,'South Asia'!D$11:D$200,'South Asia'!F$11:F$200),0),IFERROR(LOOKUP(D182,'Latin America'!D$11:D$200,'Latin America'!F$11:F$200),0))</f>
        <v>149.20512302153344</v>
      </c>
      <c r="G182" s="18"/>
      <c r="H182" s="339">
        <f t="shared" si="3"/>
        <v>2.2070973564366825E-2</v>
      </c>
      <c r="I182" s="197">
        <f>-INTERCEPT(H$32:H182,E$32:E182)/SLOPE(H$32:H182,E$32:E182)</f>
        <v>157.62112067077121</v>
      </c>
      <c r="J182" s="203"/>
    </row>
    <row r="183" spans="3:10" x14ac:dyDescent="0.15">
      <c r="C183" s="354"/>
      <c r="D183" s="195">
        <v>1976</v>
      </c>
      <c r="E183" s="196">
        <f>SUM(IFERROR(LOOKUP(D183,'United Kingdom'!D$12:D$303,'United Kingdom'!F$12:F$303),0),IFERROR(LOOKUP(D183,'Pennsylvania anthracite'!D$8:D$300,'Pennsylvania anthracite'!F$8:F$300),0),IFERROR(LOOKUP(D183,'France and Belgium'!D$8:D$300,'France and Belgium'!F$8:F$300),0),IFERROR(LOOKUP(D183,'Japan and South Korea'!D$8:D$200,'Japan and South Korea'!F$8:F$200),0),IFERROR(LOOKUP(D183,Australia!D$57:D$248,Australia!F$57:F$248),0),IFERROR(LOOKUP(D183,China!D$11:D$200,China!F$11:F$200),0),IFERROR(LOOKUP(D183,Africa!D$18:D$200,Africa!F$18:F$200),0),IFERROR(LOOKUP(D183,Europe!D$18:D$300,Europe!F$18:F$300),0),IFERROR(LOOKUP(D183,Russia!D$18:D$198,Russia!F$18:F$198),0),IFERROR(LOOKUP(D183,'Western United States'!D$13:D$300,'Western United States'!F$13:F$300),0),IFERROR(LOOKUP(D183,'Eastern United States'!D$13:D$300,'Eastern United States'!F$13:F$300),0),IFERROR(LOOKUP(D183,Canada!D$13:D$200,Canada!F$13:F$200),0),IFERROR(LOOKUP(D183,'South Asia'!D$11:D$200,'South Asia'!F$11:F$200),0),IFERROR(LOOKUP(D183,'Latin America'!D$11:D$200,'Latin America'!F$11:F$200),0))</f>
        <v>152.57683064388209</v>
      </c>
      <c r="G183" s="18"/>
      <c r="H183" s="339">
        <f t="shared" si="3"/>
        <v>2.2098424827150187E-2</v>
      </c>
      <c r="I183" s="197">
        <f>-INTERCEPT(H$32:H183,E$32:E183)/SLOPE(H$32:H183,E$32:E183)</f>
        <v>160.8630843855633</v>
      </c>
      <c r="J183" s="203"/>
    </row>
    <row r="184" spans="3:10" x14ac:dyDescent="0.15">
      <c r="C184" s="354"/>
      <c r="D184" s="195">
        <v>1977</v>
      </c>
      <c r="E184" s="196">
        <f>SUM(IFERROR(LOOKUP(D184,'United Kingdom'!D$12:D$303,'United Kingdom'!F$12:F$303),0),IFERROR(LOOKUP(D184,'Pennsylvania anthracite'!D$8:D$300,'Pennsylvania anthracite'!F$8:F$300),0),IFERROR(LOOKUP(D184,'France and Belgium'!D$8:D$300,'France and Belgium'!F$8:F$300),0),IFERROR(LOOKUP(D184,'Japan and South Korea'!D$8:D$200,'Japan and South Korea'!F$8:F$200),0),IFERROR(LOOKUP(D184,Australia!D$57:D$248,Australia!F$57:F$248),0),IFERROR(LOOKUP(D184,China!D$11:D$200,China!F$11:F$200),0),IFERROR(LOOKUP(D184,Africa!D$18:D$200,Africa!F$18:F$200),0),IFERROR(LOOKUP(D184,Europe!D$18:D$300,Europe!F$18:F$300),0),IFERROR(LOOKUP(D184,Russia!D$18:D$198,Russia!F$18:F$198),0),IFERROR(LOOKUP(D184,'Western United States'!D$13:D$300,'Western United States'!F$13:F$300),0),IFERROR(LOOKUP(D184,'Eastern United States'!D$13:D$300,'Eastern United States'!F$13:F$300),0),IFERROR(LOOKUP(D184,Canada!D$13:D$200,Canada!F$13:F$200),0),IFERROR(LOOKUP(D184,'South Asia'!D$11:D$200,'South Asia'!F$11:F$200),0),IFERROR(LOOKUP(D184,'Latin America'!D$11:D$200,'Latin America'!F$11:F$200),0))</f>
        <v>156.05898038106423</v>
      </c>
      <c r="G184" s="18"/>
      <c r="H184" s="339">
        <f t="shared" si="3"/>
        <v>2.2313036575527079E-2</v>
      </c>
      <c r="I184" s="197">
        <f>-INTERCEPT(H$32:H184,E$32:E184)/SLOPE(H$32:H184,E$32:E184)</f>
        <v>164.22725251767571</v>
      </c>
      <c r="J184" s="203"/>
    </row>
    <row r="185" spans="3:10" x14ac:dyDescent="0.15">
      <c r="C185" s="354"/>
      <c r="D185" s="195">
        <v>1978</v>
      </c>
      <c r="E185" s="196">
        <f>SUM(IFERROR(LOOKUP(D185,'United Kingdom'!D$12:D$303,'United Kingdom'!F$12:F$303),0),IFERROR(LOOKUP(D185,'Pennsylvania anthracite'!D$8:D$300,'Pennsylvania anthracite'!F$8:F$300),0),IFERROR(LOOKUP(D185,'France and Belgium'!D$8:D$300,'France and Belgium'!F$8:F$300),0),IFERROR(LOOKUP(D185,'Japan and South Korea'!D$8:D$200,'Japan and South Korea'!F$8:F$200),0),IFERROR(LOOKUP(D185,Australia!D$57:D$248,Australia!F$57:F$248),0),IFERROR(LOOKUP(D185,China!D$11:D$200,China!F$11:F$200),0),IFERROR(LOOKUP(D185,Africa!D$18:D$200,Africa!F$18:F$200),0),IFERROR(LOOKUP(D185,Europe!D$18:D$300,Europe!F$18:F$300),0),IFERROR(LOOKUP(D185,Russia!D$18:D$198,Russia!F$18:F$198),0),IFERROR(LOOKUP(D185,'Western United States'!D$13:D$300,'Western United States'!F$13:F$300),0),IFERROR(LOOKUP(D185,'Eastern United States'!D$13:D$300,'Eastern United States'!F$13:F$300),0),IFERROR(LOOKUP(D185,Canada!D$13:D$200,Canada!F$13:F$200),0),IFERROR(LOOKUP(D185,'South Asia'!D$11:D$200,'South Asia'!F$11:F$200),0),IFERROR(LOOKUP(D185,'Latin America'!D$11:D$200,'Latin America'!F$11:F$200),0))</f>
        <v>159.61126293567136</v>
      </c>
      <c r="G185" s="18"/>
      <c r="H185" s="339">
        <f t="shared" si="3"/>
        <v>2.2255838900534397E-2</v>
      </c>
      <c r="I185" s="197">
        <f>-INTERCEPT(H$32:H185,E$32:E185)/SLOPE(H$32:H185,E$32:E185)</f>
        <v>167.67000057586978</v>
      </c>
      <c r="J185" s="203"/>
    </row>
    <row r="186" spans="3:10" x14ac:dyDescent="0.15">
      <c r="C186" s="354"/>
      <c r="D186" s="195">
        <v>1979</v>
      </c>
      <c r="E186" s="196">
        <f>SUM(IFERROR(LOOKUP(D186,'United Kingdom'!D$12:D$303,'United Kingdom'!F$12:F$303),0),IFERROR(LOOKUP(D186,'Pennsylvania anthracite'!D$8:D$300,'Pennsylvania anthracite'!F$8:F$300),0),IFERROR(LOOKUP(D186,'France and Belgium'!D$8:D$300,'France and Belgium'!F$8:F$300),0),IFERROR(LOOKUP(D186,'Japan and South Korea'!D$8:D$200,'Japan and South Korea'!F$8:F$200),0),IFERROR(LOOKUP(D186,Australia!D$57:D$248,Australia!F$57:F$248),0),IFERROR(LOOKUP(D186,China!D$11:D$200,China!F$11:F$200),0),IFERROR(LOOKUP(D186,Africa!D$18:D$200,Africa!F$18:F$200),0),IFERROR(LOOKUP(D186,Europe!D$18:D$300,Europe!F$18:F$300),0),IFERROR(LOOKUP(D186,Russia!D$18:D$198,Russia!F$18:F$198),0),IFERROR(LOOKUP(D186,'Western United States'!D$13:D$300,'Western United States'!F$13:F$300),0),IFERROR(LOOKUP(D186,'Eastern United States'!D$13:D$300,'Eastern United States'!F$13:F$300),0),IFERROR(LOOKUP(D186,Canada!D$13:D$200,Canada!F$13:F$200),0),IFERROR(LOOKUP(D186,'South Asia'!D$11:D$200,'South Asia'!F$11:F$200),0),IFERROR(LOOKUP(D186,'Latin America'!D$11:D$200,'Latin America'!F$11:F$200),0))</f>
        <v>163.33382178096082</v>
      </c>
      <c r="G186" s="18"/>
      <c r="H186" s="339">
        <f t="shared" si="3"/>
        <v>2.2791108447101638E-2</v>
      </c>
      <c r="I186" s="197">
        <f>-INTERCEPT(H$32:H186,E$32:E186)/SLOPE(H$32:H186,E$32:E186)</f>
        <v>171.30359303168842</v>
      </c>
      <c r="J186" s="203"/>
    </row>
    <row r="187" spans="3:10" x14ac:dyDescent="0.15">
      <c r="C187" s="354"/>
      <c r="D187" s="195">
        <v>1980</v>
      </c>
      <c r="E187" s="196">
        <f>SUM(IFERROR(LOOKUP(D187,'United Kingdom'!D$12:D$303,'United Kingdom'!F$12:F$303),0),IFERROR(LOOKUP(D187,'Pennsylvania anthracite'!D$8:D$300,'Pennsylvania anthracite'!F$8:F$300),0),IFERROR(LOOKUP(D187,'France and Belgium'!D$8:D$300,'France and Belgium'!F$8:F$300),0),IFERROR(LOOKUP(D187,'Japan and South Korea'!D$8:D$200,'Japan and South Korea'!F$8:F$200),0),IFERROR(LOOKUP(D187,Australia!D$57:D$248,Australia!F$57:F$248),0),IFERROR(LOOKUP(D187,China!D$11:D$200,China!F$11:F$200),0),IFERROR(LOOKUP(D187,Africa!D$18:D$200,Africa!F$18:F$200),0),IFERROR(LOOKUP(D187,Europe!D$18:D$300,Europe!F$18:F$300),0),IFERROR(LOOKUP(D187,Russia!D$18:D$198,Russia!F$18:F$198),0),IFERROR(LOOKUP(D187,'Western United States'!D$13:D$300,'Western United States'!F$13:F$300),0),IFERROR(LOOKUP(D187,'Eastern United States'!D$13:D$300,'Eastern United States'!F$13:F$300),0),IFERROR(LOOKUP(D187,Canada!D$13:D$200,Canada!F$13:F$200),0),IFERROR(LOOKUP(D187,'South Asia'!D$11:D$200,'South Asia'!F$11:F$200),0),IFERROR(LOOKUP(D187,'Latin America'!D$11:D$200,'Latin America'!F$11:F$200),0))</f>
        <v>167.13121896037001</v>
      </c>
      <c r="G187" s="18"/>
      <c r="H187" s="339">
        <f t="shared" si="3"/>
        <v>2.2721052374479633E-2</v>
      </c>
      <c r="I187" s="197">
        <f>-INTERCEPT(H$32:H187,E$32:E187)/SLOPE(H$32:H187,E$32:E187)</f>
        <v>175.02535280433301</v>
      </c>
      <c r="J187" s="203"/>
    </row>
    <row r="188" spans="3:10" x14ac:dyDescent="0.15">
      <c r="C188" s="354"/>
      <c r="D188" s="195">
        <v>1981</v>
      </c>
      <c r="E188" s="196">
        <f>SUM(IFERROR(LOOKUP(D188,'United Kingdom'!D$12:D$303,'United Kingdom'!F$12:F$303),0),IFERROR(LOOKUP(D188,'Pennsylvania anthracite'!D$8:D$300,'Pennsylvania anthracite'!F$8:F$300),0),IFERROR(LOOKUP(D188,'France and Belgium'!D$8:D$300,'France and Belgium'!F$8:F$300),0),IFERROR(LOOKUP(D188,'Japan and South Korea'!D$8:D$200,'Japan and South Korea'!F$8:F$200),0),IFERROR(LOOKUP(D188,Australia!D$57:D$248,Australia!F$57:F$248),0),IFERROR(LOOKUP(D188,China!D$11:D$200,China!F$11:F$200),0),IFERROR(LOOKUP(D188,Africa!D$18:D$200,Africa!F$18:F$200),0),IFERROR(LOOKUP(D188,Europe!D$18:D$300,Europe!F$18:F$300),0),IFERROR(LOOKUP(D188,Russia!D$18:D$198,Russia!F$18:F$198),0),IFERROR(LOOKUP(D188,'Western United States'!D$13:D$300,'Western United States'!F$13:F$300),0),IFERROR(LOOKUP(D188,'Eastern United States'!D$13:D$300,'Eastern United States'!F$13:F$300),0),IFERROR(LOOKUP(D188,Canada!D$13:D$200,Canada!F$13:F$200),0),IFERROR(LOOKUP(D188,'South Asia'!D$11:D$200,'South Asia'!F$11:F$200),0),IFERROR(LOOKUP(D188,'Latin America'!D$11:D$200,'Latin America'!F$11:F$200),0))</f>
        <v>170.95570206686276</v>
      </c>
      <c r="G188" s="18"/>
      <c r="H188" s="339">
        <f t="shared" si="3"/>
        <v>2.2371193591407379E-2</v>
      </c>
      <c r="I188" s="197">
        <f>-INTERCEPT(H$32:H188,E$32:E188)/SLOPE(H$32:H188,E$32:E188)</f>
        <v>178.7812049080911</v>
      </c>
      <c r="J188" s="203"/>
    </row>
    <row r="189" spans="3:10" x14ac:dyDescent="0.15">
      <c r="C189" s="354"/>
      <c r="D189" s="195">
        <v>1982</v>
      </c>
      <c r="E189" s="196">
        <f>SUM(IFERROR(LOOKUP(D189,'United Kingdom'!D$12:D$303,'United Kingdom'!F$12:F$303),0),IFERROR(LOOKUP(D189,'Pennsylvania anthracite'!D$8:D$300,'Pennsylvania anthracite'!F$8:F$300),0),IFERROR(LOOKUP(D189,'France and Belgium'!D$8:D$300,'France and Belgium'!F$8:F$300),0),IFERROR(LOOKUP(D189,'Japan and South Korea'!D$8:D$200,'Japan and South Korea'!F$8:F$200),0),IFERROR(LOOKUP(D189,Australia!D$57:D$248,Australia!F$57:F$248),0),IFERROR(LOOKUP(D189,China!D$11:D$200,China!F$11:F$200),0),IFERROR(LOOKUP(D189,Africa!D$18:D$200,Africa!F$18:F$200),0),IFERROR(LOOKUP(D189,Europe!D$18:D$300,Europe!F$18:F$300),0),IFERROR(LOOKUP(D189,Russia!D$18:D$198,Russia!F$18:F$198),0),IFERROR(LOOKUP(D189,'Western United States'!D$13:D$300,'Western United States'!F$13:F$300),0),IFERROR(LOOKUP(D189,'Eastern United States'!D$13:D$300,'Eastern United States'!F$13:F$300),0),IFERROR(LOOKUP(D189,Canada!D$13:D$200,Canada!F$13:F$200),0),IFERROR(LOOKUP(D189,'South Asia'!D$11:D$200,'South Asia'!F$11:F$200),0),IFERROR(LOOKUP(D189,'Latin America'!D$11:D$200,'Latin America'!F$11:F$200),0))</f>
        <v>174.9324115799028</v>
      </c>
      <c r="G189" s="18"/>
      <c r="H189" s="339">
        <f t="shared" si="3"/>
        <v>2.2732834225083765E-2</v>
      </c>
      <c r="I189" s="197">
        <f>-INTERCEPT(H$32:H189,E$32:E189)/SLOPE(H$32:H189,E$32:E189)</f>
        <v>182.70904670973059</v>
      </c>
      <c r="J189" s="203"/>
    </row>
    <row r="190" spans="3:10" x14ac:dyDescent="0.15">
      <c r="C190" s="354"/>
      <c r="D190" s="195">
        <v>1983</v>
      </c>
      <c r="E190" s="196">
        <f>SUM(IFERROR(LOOKUP(D190,'United Kingdom'!D$12:D$303,'United Kingdom'!F$12:F$303),0),IFERROR(LOOKUP(D190,'Pennsylvania anthracite'!D$8:D$300,'Pennsylvania anthracite'!F$8:F$300),0),IFERROR(LOOKUP(D190,'France and Belgium'!D$8:D$300,'France and Belgium'!F$8:F$300),0),IFERROR(LOOKUP(D190,'Japan and South Korea'!D$8:D$200,'Japan and South Korea'!F$8:F$200),0),IFERROR(LOOKUP(D190,Australia!D$57:D$248,Australia!F$57:F$248),0),IFERROR(LOOKUP(D190,China!D$11:D$200,China!F$11:F$200),0),IFERROR(LOOKUP(D190,Africa!D$18:D$200,Africa!F$18:F$200),0),IFERROR(LOOKUP(D190,Europe!D$18:D$300,Europe!F$18:F$300),0),IFERROR(LOOKUP(D190,Russia!D$18:D$198,Russia!F$18:F$198),0),IFERROR(LOOKUP(D190,'Western United States'!D$13:D$300,'Western United States'!F$13:F$300),0),IFERROR(LOOKUP(D190,'Eastern United States'!D$13:D$300,'Eastern United States'!F$13:F$300),0),IFERROR(LOOKUP(D190,Canada!D$13:D$200,Canada!F$13:F$200),0),IFERROR(LOOKUP(D190,'South Asia'!D$11:D$200,'South Asia'!F$11:F$200),0),IFERROR(LOOKUP(D190,'Latin America'!D$11:D$200,'Latin America'!F$11:F$200),0))</f>
        <v>178.91918483694096</v>
      </c>
      <c r="G190" s="18"/>
      <c r="H190" s="339">
        <f t="shared" si="3"/>
        <v>2.2282536446113999E-2</v>
      </c>
      <c r="I190" s="197">
        <f>-INTERCEPT(H$32:H190,E$32:E190)/SLOPE(H$32:H190,E$32:E190)</f>
        <v>186.65249004730566</v>
      </c>
      <c r="J190" s="203"/>
    </row>
    <row r="191" spans="3:10" x14ac:dyDescent="0.15">
      <c r="C191" s="354"/>
      <c r="D191" s="195">
        <v>1984</v>
      </c>
      <c r="E191" s="196">
        <f>SUM(IFERROR(LOOKUP(D191,'United Kingdom'!D$12:D$303,'United Kingdom'!F$12:F$303),0),IFERROR(LOOKUP(D191,'Pennsylvania anthracite'!D$8:D$300,'Pennsylvania anthracite'!F$8:F$300),0),IFERROR(LOOKUP(D191,'France and Belgium'!D$8:D$300,'France and Belgium'!F$8:F$300),0),IFERROR(LOOKUP(D191,'Japan and South Korea'!D$8:D$200,'Japan and South Korea'!F$8:F$200),0),IFERROR(LOOKUP(D191,Australia!D$57:D$248,Australia!F$57:F$248),0),IFERROR(LOOKUP(D191,China!D$11:D$200,China!F$11:F$200),0),IFERROR(LOOKUP(D191,Africa!D$18:D$200,Africa!F$18:F$200),0),IFERROR(LOOKUP(D191,Europe!D$18:D$300,Europe!F$18:F$300),0),IFERROR(LOOKUP(D191,Russia!D$18:D$198,Russia!F$18:F$198),0),IFERROR(LOOKUP(D191,'Western United States'!D$13:D$300,'Western United States'!F$13:F$300),0),IFERROR(LOOKUP(D191,'Eastern United States'!D$13:D$300,'Eastern United States'!F$13:F$300),0),IFERROR(LOOKUP(D191,Canada!D$13:D$200,Canada!F$13:F$200),0),IFERROR(LOOKUP(D191,'South Asia'!D$11:D$200,'South Asia'!F$11:F$200),0),IFERROR(LOOKUP(D191,'Latin America'!D$11:D$200,'Latin America'!F$11:F$200),0))</f>
        <v>183.11327309369611</v>
      </c>
      <c r="G191" s="18"/>
      <c r="H191" s="339">
        <f t="shared" si="3"/>
        <v>2.2904337768071548E-2</v>
      </c>
      <c r="I191" s="197">
        <f>-INTERCEPT(H$32:H191,E$32:E191)/SLOPE(H$32:H191,E$32:E191)</f>
        <v>190.82963700773252</v>
      </c>
      <c r="J191" s="203"/>
    </row>
    <row r="192" spans="3:10" x14ac:dyDescent="0.15">
      <c r="C192" s="354"/>
      <c r="D192" s="195">
        <v>1985</v>
      </c>
      <c r="E192" s="196">
        <f>SUM(IFERROR(LOOKUP(D192,'United Kingdom'!D$12:D$303,'United Kingdom'!F$12:F$303),0),IFERROR(LOOKUP(D192,'Pennsylvania anthracite'!D$8:D$300,'Pennsylvania anthracite'!F$8:F$300),0),IFERROR(LOOKUP(D192,'France and Belgium'!D$8:D$300,'France and Belgium'!F$8:F$300),0),IFERROR(LOOKUP(D192,'Japan and South Korea'!D$8:D$200,'Japan and South Korea'!F$8:F$200),0),IFERROR(LOOKUP(D192,Australia!D$57:D$248,Australia!F$57:F$248),0),IFERROR(LOOKUP(D192,China!D$11:D$200,China!F$11:F$200),0),IFERROR(LOOKUP(D192,Africa!D$18:D$200,Africa!F$18:F$200),0),IFERROR(LOOKUP(D192,Europe!D$18:D$300,Europe!F$18:F$300),0),IFERROR(LOOKUP(D192,Russia!D$18:D$198,Russia!F$18:F$198),0),IFERROR(LOOKUP(D192,'Western United States'!D$13:D$300,'Western United States'!F$13:F$300),0),IFERROR(LOOKUP(D192,'Eastern United States'!D$13:D$300,'Eastern United States'!F$13:F$300),0),IFERROR(LOOKUP(D192,Canada!D$13:D$200,Canada!F$13:F$200),0),IFERROR(LOOKUP(D192,'South Asia'!D$11:D$200,'South Asia'!F$11:F$200),0),IFERROR(LOOKUP(D192,'Latin America'!D$11:D$200,'Latin America'!F$11:F$200),0))</f>
        <v>187.53367905805433</v>
      </c>
      <c r="G192" s="18"/>
      <c r="H192" s="339">
        <f t="shared" si="3"/>
        <v>2.3571264567309069E-2</v>
      </c>
      <c r="I192" s="197">
        <f>-INTERCEPT(H$32:H192,E$32:E192)/SLOPE(H$32:H192,E$32:E192)</f>
        <v>195.26875586153051</v>
      </c>
      <c r="J192" s="203"/>
    </row>
    <row r="193" spans="3:10" x14ac:dyDescent="0.15">
      <c r="C193" s="354"/>
      <c r="D193" s="195">
        <v>1986</v>
      </c>
      <c r="E193" s="196">
        <f>SUM(IFERROR(LOOKUP(D193,'United Kingdom'!D$12:D$303,'United Kingdom'!F$12:F$303),0),IFERROR(LOOKUP(D193,'Pennsylvania anthracite'!D$8:D$300,'Pennsylvania anthracite'!F$8:F$300),0),IFERROR(LOOKUP(D193,'France and Belgium'!D$8:D$300,'France and Belgium'!F$8:F$300),0),IFERROR(LOOKUP(D193,'Japan and South Korea'!D$8:D$200,'Japan and South Korea'!F$8:F$200),0),IFERROR(LOOKUP(D193,Australia!D$57:D$248,Australia!F$57:F$248),0),IFERROR(LOOKUP(D193,China!D$11:D$200,China!F$11:F$200),0),IFERROR(LOOKUP(D193,Africa!D$18:D$200,Africa!F$18:F$200),0),IFERROR(LOOKUP(D193,Europe!D$18:D$300,Europe!F$18:F$300),0),IFERROR(LOOKUP(D193,Russia!D$18:D$198,Russia!F$18:F$198),0),IFERROR(LOOKUP(D193,'Western United States'!D$13:D$300,'Western United States'!F$13:F$300),0),IFERROR(LOOKUP(D193,'Eastern United States'!D$13:D$300,'Eastern United States'!F$13:F$300),0),IFERROR(LOOKUP(D193,Canada!D$13:D$200,Canada!F$13:F$200),0),IFERROR(LOOKUP(D193,'South Asia'!D$11:D$200,'South Asia'!F$11:F$200),0),IFERROR(LOOKUP(D193,'Latin America'!D$11:D$200,'Latin America'!F$11:F$200),0))</f>
        <v>192.06220120335672</v>
      </c>
      <c r="G193" s="18"/>
      <c r="H193" s="339">
        <f t="shared" si="3"/>
        <v>2.357841426855023E-2</v>
      </c>
      <c r="I193" s="197">
        <f>-INTERCEPT(H$32:H193,E$32:E193)/SLOPE(H$32:H193,E$32:E193)</f>
        <v>199.84386961266671</v>
      </c>
      <c r="J193" s="203"/>
    </row>
    <row r="194" spans="3:10" x14ac:dyDescent="0.15">
      <c r="C194" s="354"/>
      <c r="D194" s="195">
        <v>1987</v>
      </c>
      <c r="E194" s="196">
        <f>SUM(IFERROR(LOOKUP(D194,'United Kingdom'!D$12:D$303,'United Kingdom'!F$12:F$303),0),IFERROR(LOOKUP(D194,'Pennsylvania anthracite'!D$8:D$300,'Pennsylvania anthracite'!F$8:F$300),0),IFERROR(LOOKUP(D194,'France and Belgium'!D$8:D$300,'France and Belgium'!F$8:F$300),0),IFERROR(LOOKUP(D194,'Japan and South Korea'!D$8:D$200,'Japan and South Korea'!F$8:F$200),0),IFERROR(LOOKUP(D194,Australia!D$57:D$248,Australia!F$57:F$248),0),IFERROR(LOOKUP(D194,China!D$11:D$200,China!F$11:F$200),0),IFERROR(LOOKUP(D194,Africa!D$18:D$200,Africa!F$18:F$200),0),IFERROR(LOOKUP(D194,Europe!D$18:D$300,Europe!F$18:F$300),0),IFERROR(LOOKUP(D194,Russia!D$18:D$198,Russia!F$18:F$198),0),IFERROR(LOOKUP(D194,'Western United States'!D$13:D$300,'Western United States'!F$13:F$300),0),IFERROR(LOOKUP(D194,'Eastern United States'!D$13:D$300,'Eastern United States'!F$13:F$300),0),IFERROR(LOOKUP(D194,Canada!D$13:D$200,Canada!F$13:F$200),0),IFERROR(LOOKUP(D194,'South Asia'!D$11:D$200,'South Asia'!F$11:F$200),0),IFERROR(LOOKUP(D194,'Latin America'!D$11:D$200,'Latin America'!F$11:F$200),0))</f>
        <v>196.69061884151296</v>
      </c>
      <c r="G194" s="18"/>
      <c r="H194" s="339">
        <f t="shared" si="3"/>
        <v>2.3531461060101067E-2</v>
      </c>
      <c r="I194" s="197">
        <f>-INTERCEPT(H$32:H194,E$32:E194)/SLOPE(H$32:H194,E$32:E194)</f>
        <v>204.5461390941627</v>
      </c>
      <c r="J194" s="203"/>
    </row>
    <row r="195" spans="3:10" x14ac:dyDescent="0.15">
      <c r="C195" s="354"/>
      <c r="D195" s="195">
        <v>1988</v>
      </c>
      <c r="E195" s="196">
        <f>SUM(IFERROR(LOOKUP(D195,'United Kingdom'!D$12:D$303,'United Kingdom'!F$12:F$303),0),IFERROR(LOOKUP(D195,'Pennsylvania anthracite'!D$8:D$300,'Pennsylvania anthracite'!F$8:F$300),0),IFERROR(LOOKUP(D195,'France and Belgium'!D$8:D$300,'France and Belgium'!F$8:F$300),0),IFERROR(LOOKUP(D195,'Japan and South Korea'!D$8:D$200,'Japan and South Korea'!F$8:F$200),0),IFERROR(LOOKUP(D195,Australia!D$57:D$248,Australia!F$57:F$248),0),IFERROR(LOOKUP(D195,China!D$11:D$200,China!F$11:F$200),0),IFERROR(LOOKUP(D195,Africa!D$18:D$200,Africa!F$18:F$200),0),IFERROR(LOOKUP(D195,Europe!D$18:D$300,Europe!F$18:F$300),0),IFERROR(LOOKUP(D195,Russia!D$18:D$198,Russia!F$18:F$198),0),IFERROR(LOOKUP(D195,'Western United States'!D$13:D$300,'Western United States'!F$13:F$300),0),IFERROR(LOOKUP(D195,'Eastern United States'!D$13:D$300,'Eastern United States'!F$13:F$300),0),IFERROR(LOOKUP(D195,Canada!D$13:D$200,Canada!F$13:F$200),0),IFERROR(LOOKUP(D195,'South Asia'!D$11:D$200,'South Asia'!F$11:F$200),0),IFERROR(LOOKUP(D195,'Latin America'!D$11:D$200,'Latin America'!F$11:F$200),0))</f>
        <v>201.42406212926645</v>
      </c>
      <c r="G195" s="18"/>
      <c r="H195" s="339">
        <f t="shared" si="3"/>
        <v>2.3499889922365624E-2</v>
      </c>
      <c r="I195" s="197">
        <f>-INTERCEPT(H$32:H195,E$32:E195)/SLOPE(H$32:H195,E$32:E195)</f>
        <v>209.3812947847147</v>
      </c>
      <c r="J195" s="203"/>
    </row>
    <row r="196" spans="3:10" x14ac:dyDescent="0.15">
      <c r="C196" s="354"/>
      <c r="D196" s="195">
        <v>1989</v>
      </c>
      <c r="E196" s="196">
        <f>SUM(IFERROR(LOOKUP(D196,'United Kingdom'!D$12:D$303,'United Kingdom'!F$12:F$303),0),IFERROR(LOOKUP(D196,'Pennsylvania anthracite'!D$8:D$300,'Pennsylvania anthracite'!F$8:F$300),0),IFERROR(LOOKUP(D196,'France and Belgium'!D$8:D$300,'France and Belgium'!F$8:F$300),0),IFERROR(LOOKUP(D196,'Japan and South Korea'!D$8:D$200,'Japan and South Korea'!F$8:F$200),0),IFERROR(LOOKUP(D196,Australia!D$57:D$248,Australia!F$57:F$248),0),IFERROR(LOOKUP(D196,China!D$11:D$200,China!F$11:F$200),0),IFERROR(LOOKUP(D196,Africa!D$18:D$200,Africa!F$18:F$200),0),IFERROR(LOOKUP(D196,Europe!D$18:D$300,Europe!F$18:F$300),0),IFERROR(LOOKUP(D196,Russia!D$18:D$198,Russia!F$18:F$198),0),IFERROR(LOOKUP(D196,'Western United States'!D$13:D$300,'Western United States'!F$13:F$300),0),IFERROR(LOOKUP(D196,'Eastern United States'!D$13:D$300,'Eastern United States'!F$13:F$300),0),IFERROR(LOOKUP(D196,Canada!D$13:D$200,Canada!F$13:F$200),0),IFERROR(LOOKUP(D196,'South Asia'!D$11:D$200,'South Asia'!F$11:F$200),0),IFERROR(LOOKUP(D196,'Latin America'!D$11:D$200,'Latin America'!F$11:F$200),0))</f>
        <v>206.24108963679461</v>
      </c>
      <c r="G196" s="18"/>
      <c r="H196" s="339">
        <f t="shared" si="3"/>
        <v>2.3356293918012638E-2</v>
      </c>
      <c r="I196" s="197">
        <f>-INTERCEPT(H$32:H196,E$32:E196)/SLOPE(H$32:H196,E$32:E196)</f>
        <v>214.32475236032701</v>
      </c>
      <c r="J196" s="203"/>
    </row>
    <row r="197" spans="3:10" x14ac:dyDescent="0.15">
      <c r="C197" s="354"/>
      <c r="D197" s="195">
        <v>1990</v>
      </c>
      <c r="E197" s="196">
        <f>SUM(IFERROR(LOOKUP(D197,'United Kingdom'!D$12:D$303,'United Kingdom'!F$12:F$303),0),IFERROR(LOOKUP(D197,'Pennsylvania anthracite'!D$8:D$300,'Pennsylvania anthracite'!F$8:F$300),0),IFERROR(LOOKUP(D197,'France and Belgium'!D$8:D$300,'France and Belgium'!F$8:F$300),0),IFERROR(LOOKUP(D197,'Japan and South Korea'!D$8:D$200,'Japan and South Korea'!F$8:F$200),0),IFERROR(LOOKUP(D197,Australia!D$57:D$248,Australia!F$57:F$248),0),IFERROR(LOOKUP(D197,China!D$11:D$200,China!F$11:F$200),0),IFERROR(LOOKUP(D197,Africa!D$18:D$200,Africa!F$18:F$200),0),IFERROR(LOOKUP(D197,Europe!D$18:D$300,Europe!F$18:F$300),0),IFERROR(LOOKUP(D197,Russia!D$18:D$198,Russia!F$18:F$198),0),IFERROR(LOOKUP(D197,'Western United States'!D$13:D$300,'Western United States'!F$13:F$300),0),IFERROR(LOOKUP(D197,'Eastern United States'!D$13:D$300,'Eastern United States'!F$13:F$300),0),IFERROR(LOOKUP(D197,Canada!D$13:D$200,Canada!F$13:F$200),0),IFERROR(LOOKUP(D197,'South Asia'!D$11:D$200,'South Asia'!F$11:F$200),0),IFERROR(LOOKUP(D197,'Latin America'!D$11:D$200,'Latin America'!F$11:F$200),0))</f>
        <v>210.95917450834912</v>
      </c>
      <c r="G197" s="18"/>
      <c r="H197" s="339">
        <f t="shared" si="3"/>
        <v>2.236491910129168E-2</v>
      </c>
      <c r="I197" s="197">
        <f>-INTERCEPT(H$32:H197,E$32:E197)/SLOPE(H$32:H197,E$32:E197)</f>
        <v>219.16482774549135</v>
      </c>
      <c r="J197" s="203"/>
    </row>
    <row r="198" spans="3:10" x14ac:dyDescent="0.15">
      <c r="C198" s="354"/>
      <c r="D198" s="195">
        <v>1991</v>
      </c>
      <c r="E198" s="196">
        <f>SUM(IFERROR(LOOKUP(D198,'United Kingdom'!D$12:D$303,'United Kingdom'!F$12:F$303),0),IFERROR(LOOKUP(D198,'Pennsylvania anthracite'!D$8:D$300,'Pennsylvania anthracite'!F$8:F$300),0),IFERROR(LOOKUP(D198,'France and Belgium'!D$8:D$300,'France and Belgium'!F$8:F$300),0),IFERROR(LOOKUP(D198,'Japan and South Korea'!D$8:D$200,'Japan and South Korea'!F$8:F$200),0),IFERROR(LOOKUP(D198,Australia!D$57:D$248,Australia!F$57:F$248),0),IFERROR(LOOKUP(D198,China!D$11:D$200,China!F$11:F$200),0),IFERROR(LOOKUP(D198,Africa!D$18:D$200,Africa!F$18:F$200),0),IFERROR(LOOKUP(D198,Europe!D$18:D$300,Europe!F$18:F$300),0),IFERROR(LOOKUP(D198,Russia!D$18:D$198,Russia!F$18:F$198),0),IFERROR(LOOKUP(D198,'Western United States'!D$13:D$300,'Western United States'!F$13:F$300),0),IFERROR(LOOKUP(D198,'Eastern United States'!D$13:D$300,'Eastern United States'!F$13:F$300),0),IFERROR(LOOKUP(D198,Canada!D$13:D$200,Canada!F$13:F$200),0),IFERROR(LOOKUP(D198,'South Asia'!D$11:D$200,'South Asia'!F$11:F$200),0),IFERROR(LOOKUP(D198,'Latin America'!D$11:D$200,'Latin America'!F$11:F$200),0))</f>
        <v>215.49800333623367</v>
      </c>
      <c r="G198" s="18"/>
      <c r="H198" s="339">
        <f t="shared" si="3"/>
        <v>2.1062045854795097E-2</v>
      </c>
      <c r="I198" s="197">
        <f>-INTERCEPT(H$32:H198,E$32:E198)/SLOPE(H$32:H198,E$32:E198)</f>
        <v>223.79788268116639</v>
      </c>
      <c r="J198" s="203"/>
    </row>
    <row r="199" spans="3:10" x14ac:dyDescent="0.15">
      <c r="C199" s="354"/>
      <c r="D199" s="195">
        <v>1992</v>
      </c>
      <c r="E199" s="196">
        <f>SUM(IFERROR(LOOKUP(D199,'United Kingdom'!D$12:D$303,'United Kingdom'!F$12:F$303),0),IFERROR(LOOKUP(D199,'Pennsylvania anthracite'!D$8:D$300,'Pennsylvania anthracite'!F$8:F$300),0),IFERROR(LOOKUP(D199,'France and Belgium'!D$8:D$300,'France and Belgium'!F$8:F$300),0),IFERROR(LOOKUP(D199,'Japan and South Korea'!D$8:D$200,'Japan and South Korea'!F$8:F$200),0),IFERROR(LOOKUP(D199,Australia!D$57:D$248,Australia!F$57:F$248),0),IFERROR(LOOKUP(D199,China!D$11:D$200,China!F$11:F$200),0),IFERROR(LOOKUP(D199,Africa!D$18:D$200,Africa!F$18:F$200),0),IFERROR(LOOKUP(D199,Europe!D$18:D$300,Europe!F$18:F$300),0),IFERROR(LOOKUP(D199,Russia!D$18:D$198,Russia!F$18:F$198),0),IFERROR(LOOKUP(D199,'Western United States'!D$13:D$300,'Western United States'!F$13:F$300),0),IFERROR(LOOKUP(D199,'Eastern United States'!D$13:D$300,'Eastern United States'!F$13:F$300),0),IFERROR(LOOKUP(D199,Canada!D$13:D$200,Canada!F$13:F$200),0),IFERROR(LOOKUP(D199,'South Asia'!D$11:D$200,'South Asia'!F$11:F$200),0),IFERROR(LOOKUP(D199,'Latin America'!D$11:D$200,'Latin America'!F$11:F$200),0))</f>
        <v>219.99830131682822</v>
      </c>
      <c r="G199" s="18"/>
      <c r="H199" s="339">
        <f t="shared" si="3"/>
        <v>2.0456057858890042E-2</v>
      </c>
      <c r="I199" s="197">
        <f>-INTERCEPT(H$32:H199,E$32:E199)/SLOPE(H$32:H199,E$32:E199)</f>
        <v>228.37257335951401</v>
      </c>
      <c r="J199" s="203"/>
    </row>
    <row r="200" spans="3:10" x14ac:dyDescent="0.15">
      <c r="C200" s="354"/>
      <c r="D200" s="195">
        <v>1993</v>
      </c>
      <c r="E200" s="196">
        <f>SUM(IFERROR(LOOKUP(D200,'United Kingdom'!D$12:D$303,'United Kingdom'!F$12:F$303),0),IFERROR(LOOKUP(D200,'Pennsylvania anthracite'!D$8:D$300,'Pennsylvania anthracite'!F$8:F$300),0),IFERROR(LOOKUP(D200,'France and Belgium'!D$8:D$300,'France and Belgium'!F$8:F$300),0),IFERROR(LOOKUP(D200,'Japan and South Korea'!D$8:D$200,'Japan and South Korea'!F$8:F$200),0),IFERROR(LOOKUP(D200,Australia!D$57:D$248,Australia!F$57:F$248),0),IFERROR(LOOKUP(D200,China!D$11:D$200,China!F$11:F$200),0),IFERROR(LOOKUP(D200,Africa!D$18:D$200,Africa!F$18:F$200),0),IFERROR(LOOKUP(D200,Europe!D$18:D$300,Europe!F$18:F$300),0),IFERROR(LOOKUP(D200,Russia!D$18:D$198,Russia!F$18:F$198),0),IFERROR(LOOKUP(D200,'Western United States'!D$13:D$300,'Western United States'!F$13:F$300),0),IFERROR(LOOKUP(D200,'Eastern United States'!D$13:D$300,'Eastern United States'!F$13:F$300),0),IFERROR(LOOKUP(D200,Canada!D$13:D$200,Canada!F$13:F$200),0),IFERROR(LOOKUP(D200,'South Asia'!D$11:D$200,'South Asia'!F$11:F$200),0),IFERROR(LOOKUP(D200,'Latin America'!D$11:D$200,'Latin America'!F$11:F$200),0))</f>
        <v>224.38011624359461</v>
      </c>
      <c r="G200" s="18"/>
      <c r="H200" s="339">
        <f t="shared" ref="H200:H216" si="4">1-E199/E200</f>
        <v>1.9528534881448012E-2</v>
      </c>
      <c r="I200" s="197">
        <f>-INTERCEPT(H$32:H200,E$32:E200)/SLOPE(H$32:H200,E$32:E200)</f>
        <v>232.79313029063866</v>
      </c>
      <c r="J200" s="203"/>
    </row>
    <row r="201" spans="3:10" x14ac:dyDescent="0.15">
      <c r="C201" s="354"/>
      <c r="D201" s="195">
        <v>1994</v>
      </c>
      <c r="E201" s="196">
        <f>SUM(IFERROR(LOOKUP(D201,'United Kingdom'!D$12:D$303,'United Kingdom'!F$12:F$303),0),IFERROR(LOOKUP(D201,'Pennsylvania anthracite'!D$8:D$300,'Pennsylvania anthracite'!F$8:F$300),0),IFERROR(LOOKUP(D201,'France and Belgium'!D$8:D$300,'France and Belgium'!F$8:F$300),0),IFERROR(LOOKUP(D201,'Japan and South Korea'!D$8:D$200,'Japan and South Korea'!F$8:F$200),0),IFERROR(LOOKUP(D201,Australia!D$57:D$248,Australia!F$57:F$248),0),IFERROR(LOOKUP(D201,China!D$11:D$200,China!F$11:F$200),0),IFERROR(LOOKUP(D201,Africa!D$18:D$200,Africa!F$18:F$200),0),IFERROR(LOOKUP(D201,Europe!D$18:D$300,Europe!F$18:F$300),0),IFERROR(LOOKUP(D201,Russia!D$18:D$198,Russia!F$18:F$198),0),IFERROR(LOOKUP(D201,'Western United States'!D$13:D$300,'Western United States'!F$13:F$300),0),IFERROR(LOOKUP(D201,'Eastern United States'!D$13:D$300,'Eastern United States'!F$13:F$300),0),IFERROR(LOOKUP(D201,Canada!D$13:D$200,Canada!F$13:F$200),0),IFERROR(LOOKUP(D201,'South Asia'!D$11:D$200,'South Asia'!F$11:F$200),0),IFERROR(LOOKUP(D201,'Latin America'!D$11:D$200,'Latin America'!F$11:F$200),0))</f>
        <v>228.85021915772322</v>
      </c>
      <c r="G201" s="18"/>
      <c r="H201" s="339">
        <f t="shared" si="4"/>
        <v>1.9532875828481622E-2</v>
      </c>
      <c r="I201" s="197">
        <f>-INTERCEPT(H$32:H201,E$32:E201)/SLOPE(H$32:H201,E$32:E201)</f>
        <v>237.28729723808277</v>
      </c>
      <c r="J201" s="203"/>
    </row>
    <row r="202" spans="3:10" x14ac:dyDescent="0.15">
      <c r="C202" s="354"/>
      <c r="D202" s="16">
        <v>1995</v>
      </c>
      <c r="E202" s="196">
        <f>SUM(IFERROR(LOOKUP(D202,'United Kingdom'!D$12:D$303,'United Kingdom'!F$12:F$303),0),IFERROR(LOOKUP(D202,'Pennsylvania anthracite'!D$8:D$300,'Pennsylvania anthracite'!F$8:F$300),0),IFERROR(LOOKUP(D202,'France and Belgium'!D$8:D$300,'France and Belgium'!F$8:F$300),0),IFERROR(LOOKUP(D202,'Japan and South Korea'!D$8:D$200,'Japan and South Korea'!F$8:F$200),0),IFERROR(LOOKUP(D202,Australia!D$57:D$248,Australia!F$57:F$248),0),IFERROR(LOOKUP(D202,China!D$11:D$200,China!F$11:F$200),0),IFERROR(LOOKUP(D202,Africa!D$18:D$200,Africa!F$18:F$200),0),IFERROR(LOOKUP(D202,Europe!D$18:D$300,Europe!F$18:F$300),0),IFERROR(LOOKUP(D202,Russia!D$18:D$198,Russia!F$18:F$198),0),IFERROR(LOOKUP(D202,'Western United States'!D$13:D$300,'Western United States'!F$13:F$300),0),IFERROR(LOOKUP(D202,'Eastern United States'!D$13:D$300,'Eastern United States'!F$13:F$300),0),IFERROR(LOOKUP(D202,Canada!D$13:D$200,Canada!F$13:F$200),0),IFERROR(LOOKUP(D202,'South Asia'!D$11:D$200,'South Asia'!F$11:F$200),0),IFERROR(LOOKUP(D202,'Latin America'!D$11:D$200,'Latin America'!F$11:F$200),0))</f>
        <v>233.44292358256544</v>
      </c>
      <c r="F202" s="139">
        <f>SUM(Australia!H175,China!H111,Africa!H125,Europe!H215,Russia!H159,'Western United States'!H190,'Eastern United States'!H209,Canada!H151,'South Asia'!H117,'Latin America'!H116,'United Kingdom'!H178,'Pennsylvania anthracite'!H204,'France and Belgium'!H189,'Japan and South Korea'!H130)</f>
        <v>748.52158655512108</v>
      </c>
      <c r="G202" s="139">
        <f ca="1">SUM(Australia!J175,China!J111,Africa!J125,Europe!J215,Russia!J159,'Western United States'!J190,'Eastern United States'!J209,Canada!J151,'South Asia'!J117,'Latin America'!J116,'United Kingdom'!J178,'Pennsylvania anthracite'!J204,'France and Belgium'!J189,'Japan and South Korea'!J130)</f>
        <v>232.83126080143927</v>
      </c>
      <c r="H202" s="339">
        <f t="shared" si="4"/>
        <v>1.9673778730833313E-2</v>
      </c>
      <c r="I202" s="197">
        <f>-INTERCEPT(H$32:H202,E$32:E202)/SLOPE(H$32:H202,E$32:E202)</f>
        <v>241.89459754587921</v>
      </c>
      <c r="J202" s="203">
        <f>-INTERCEPT(H$138:H202,E$138:E202)/SLOPE(H$138:H202,E$138:E202)</f>
        <v>9111.1942733249616</v>
      </c>
    </row>
    <row r="203" spans="3:10" x14ac:dyDescent="0.15">
      <c r="C203" s="354"/>
      <c r="D203" s="16">
        <v>1996</v>
      </c>
      <c r="E203" s="196">
        <f>SUM(IFERROR(LOOKUP(D203,'United Kingdom'!D$12:D$303,'United Kingdom'!F$12:F$303),0),IFERROR(LOOKUP(D203,'Pennsylvania anthracite'!D$8:D$300,'Pennsylvania anthracite'!F$8:F$300),0),IFERROR(LOOKUP(D203,'France and Belgium'!D$8:D$300,'France and Belgium'!F$8:F$300),0),IFERROR(LOOKUP(D203,'Japan and South Korea'!D$8:D$200,'Japan and South Korea'!F$8:F$200),0),IFERROR(LOOKUP(D203,Australia!D$57:D$248,Australia!F$57:F$248),0),IFERROR(LOOKUP(D203,China!D$11:D$200,China!F$11:F$200),0),IFERROR(LOOKUP(D203,Africa!D$18:D$200,Africa!F$18:F$200),0),IFERROR(LOOKUP(D203,Europe!D$18:D$300,Europe!F$18:F$300),0),IFERROR(LOOKUP(D203,Russia!D$18:D$198,Russia!F$18:F$198),0),IFERROR(LOOKUP(D203,'Western United States'!D$13:D$300,'Western United States'!F$13:F$300),0),IFERROR(LOOKUP(D203,'Eastern United States'!D$13:D$300,'Eastern United States'!F$13:F$300),0),IFERROR(LOOKUP(D203,Canada!D$13:D$200,Canada!F$13:F$200),0),IFERROR(LOOKUP(D203,'South Asia'!D$11:D$200,'South Asia'!F$11:F$200),0),IFERROR(LOOKUP(D203,'Latin America'!D$11:D$200,'Latin America'!F$11:F$200),0))</f>
        <v>238.10925374938239</v>
      </c>
      <c r="F203" s="139">
        <f>SUM(Australia!H176,China!H112,Africa!H126,Europe!H216,Russia!H160,'Western United States'!H191,'Eastern United States'!H210,Canada!H152,'South Asia'!H118,'Latin America'!H117,'United Kingdom'!H179,'Pennsylvania anthracite'!H205,'France and Belgium'!H190,'Japan and South Korea'!H131)</f>
        <v>724.76791287401056</v>
      </c>
      <c r="G203" s="139">
        <f ca="1">SUM(Australia!J176,China!J112,Africa!J126,Europe!J216,Russia!J160,'Western United States'!J191,'Eastern United States'!J210,Canada!J152,'South Asia'!J118,'Latin America'!J117,'United Kingdom'!J179,'Pennsylvania anthracite'!J205,'France and Belgium'!J190,'Japan and South Korea'!J131)</f>
        <v>237.46386323096954</v>
      </c>
      <c r="H203" s="339">
        <f t="shared" si="4"/>
        <v>1.959743308308548E-2</v>
      </c>
      <c r="I203" s="197">
        <f>-INTERCEPT(H$32:H203,E$32:E203)/SLOPE(H$32:H203,E$32:E203)</f>
        <v>246.56202594279964</v>
      </c>
      <c r="J203" s="203">
        <f>-INTERCEPT(H$138:H203,E$138:E203)/SLOPE(H$138:H203,E$138:E203)</f>
        <v>5925.0363716403499</v>
      </c>
    </row>
    <row r="204" spans="3:10" x14ac:dyDescent="0.15">
      <c r="C204" s="354"/>
      <c r="D204" s="16">
        <v>1997</v>
      </c>
      <c r="E204" s="196">
        <f>SUM(IFERROR(LOOKUP(D204,'United Kingdom'!D$12:D$303,'United Kingdom'!F$12:F$303),0),IFERROR(LOOKUP(D204,'Pennsylvania anthracite'!D$8:D$300,'Pennsylvania anthracite'!F$8:F$300),0),IFERROR(LOOKUP(D204,'France and Belgium'!D$8:D$300,'France and Belgium'!F$8:F$300),0),IFERROR(LOOKUP(D204,'Japan and South Korea'!D$8:D$200,'Japan and South Korea'!F$8:F$200),0),IFERROR(LOOKUP(D204,Australia!D$57:D$248,Australia!F$57:F$248),0),IFERROR(LOOKUP(D204,China!D$11:D$200,China!F$11:F$200),0),IFERROR(LOOKUP(D204,Africa!D$18:D$200,Africa!F$18:F$200),0),IFERROR(LOOKUP(D204,Europe!D$18:D$300,Europe!F$18:F$300),0),IFERROR(LOOKUP(D204,Russia!D$18:D$198,Russia!F$18:F$198),0),IFERROR(LOOKUP(D204,'Western United States'!D$13:D$300,'Western United States'!F$13:F$300),0),IFERROR(LOOKUP(D204,'Eastern United States'!D$13:D$300,'Eastern United States'!F$13:F$300),0),IFERROR(LOOKUP(D204,Canada!D$13:D$200,Canada!F$13:F$200),0),IFERROR(LOOKUP(D204,'South Asia'!D$11:D$200,'South Asia'!F$11:F$200),0),IFERROR(LOOKUP(D204,'Latin America'!D$11:D$200,'Latin America'!F$11:F$200),0))</f>
        <v>242.8111895929386</v>
      </c>
      <c r="F204" s="139">
        <f>SUM(Australia!H177,China!H113,Africa!H127,Europe!H217,Russia!H161,'Western United States'!H192,'Eastern United States'!H211,Canada!H153,'South Asia'!H119,'Latin America'!H118,'United Kingdom'!H180,'Pennsylvania anthracite'!H206,'France and Belgium'!H191,'Japan and South Korea'!H132)</f>
        <v>708.70237269669394</v>
      </c>
      <c r="G204" s="139">
        <f ca="1">SUM(Australia!J177,China!J113,Africa!J127,Europe!J217,Russia!J161,'Western United States'!J192,'Eastern United States'!J211,Canada!J153,'South Asia'!J119,'Latin America'!J118,'United Kingdom'!J180,'Pennsylvania anthracite'!J206,'France and Belgium'!J191,'Japan and South Korea'!J132)</f>
        <v>242.20399516186095</v>
      </c>
      <c r="H204" s="339">
        <f t="shared" si="4"/>
        <v>1.9364576449045767E-2</v>
      </c>
      <c r="I204" s="197">
        <f>-INTERCEPT(H$32:H204,E$32:E204)/SLOPE(H$32:H204,E$32:E204)</f>
        <v>251.24727217355016</v>
      </c>
      <c r="J204" s="203">
        <f>-INTERCEPT(H$138:H204,E$138:E204)/SLOPE(H$138:H204,E$138:E204)</f>
        <v>4436.6911985117649</v>
      </c>
    </row>
    <row r="205" spans="3:10" x14ac:dyDescent="0.15">
      <c r="C205" s="354"/>
      <c r="D205" s="16">
        <v>1998</v>
      </c>
      <c r="E205" s="196">
        <f>SUM(IFERROR(LOOKUP(D205,'United Kingdom'!D$12:D$303,'United Kingdom'!F$12:F$303),0),IFERROR(LOOKUP(D205,'Pennsylvania anthracite'!D$8:D$300,'Pennsylvania anthracite'!F$8:F$300),0),IFERROR(LOOKUP(D205,'France and Belgium'!D$8:D$300,'France and Belgium'!F$8:F$300),0),IFERROR(LOOKUP(D205,'Japan and South Korea'!D$8:D$200,'Japan and South Korea'!F$8:F$200),0),IFERROR(LOOKUP(D205,Australia!D$57:D$248,Australia!F$57:F$248),0),IFERROR(LOOKUP(D205,China!D$11:D$200,China!F$11:F$200),0),IFERROR(LOOKUP(D205,Africa!D$18:D$200,Africa!F$18:F$200),0),IFERROR(LOOKUP(D205,Europe!D$18:D$300,Europe!F$18:F$300),0),IFERROR(LOOKUP(D205,Russia!D$18:D$198,Russia!F$18:F$198),0),IFERROR(LOOKUP(D205,'Western United States'!D$13:D$300,'Western United States'!F$13:F$300),0),IFERROR(LOOKUP(D205,'Eastern United States'!D$13:D$300,'Eastern United States'!F$13:F$300),0),IFERROR(LOOKUP(D205,Canada!D$13:D$200,Canada!F$13:F$200),0),IFERROR(LOOKUP(D205,'South Asia'!D$11:D$200,'South Asia'!F$11:F$200),0),IFERROR(LOOKUP(D205,'Latin America'!D$11:D$200,'Latin America'!F$11:F$200),0))</f>
        <v>247.36834758376969</v>
      </c>
      <c r="F205" s="139">
        <f>SUM(Australia!H178,China!H114,Africa!H128,Europe!H218,Russia!H162,'Western United States'!H193,'Eastern United States'!H212,Canada!H154,'South Asia'!H120,'Latin America'!H119,'United Kingdom'!H181,'Pennsylvania anthracite'!H207,'France and Belgium'!H192,'Japan and South Korea'!H133)</f>
        <v>687.80025165711118</v>
      </c>
      <c r="G205" s="139">
        <f ca="1">SUM(Australia!J178,China!J114,Africa!J128,Europe!J218,Russia!J162,'Western United States'!J193,'Eastern United States'!J212,Canada!J154,'South Asia'!J120,'Latin America'!J119,'United Kingdom'!J181,'Pennsylvania anthracite'!J207,'France and Belgium'!J192,'Japan and South Korea'!J133)</f>
        <v>247.05236946644669</v>
      </c>
      <c r="H205" s="339">
        <f t="shared" si="4"/>
        <v>1.8422559051488374E-2</v>
      </c>
      <c r="I205" s="197">
        <f>-INTERCEPT(H$32:H205,E$32:E205)/SLOPE(H$32:H205,E$32:E205)</f>
        <v>255.74927899134551</v>
      </c>
      <c r="J205" s="203">
        <f>-INTERCEPT(H$138:H205,E$138:E205)/SLOPE(H$138:H205,E$138:E205)</f>
        <v>3377.6233400687956</v>
      </c>
    </row>
    <row r="206" spans="3:10" x14ac:dyDescent="0.15">
      <c r="C206" s="354"/>
      <c r="D206" s="16">
        <v>1999</v>
      </c>
      <c r="E206" s="196">
        <f>SUM(IFERROR(LOOKUP(D206,'United Kingdom'!D$12:D$303,'United Kingdom'!F$12:F$303),0),IFERROR(LOOKUP(D206,'Pennsylvania anthracite'!D$8:D$300,'Pennsylvania anthracite'!F$8:F$300),0),IFERROR(LOOKUP(D206,'France and Belgium'!D$8:D$300,'France and Belgium'!F$8:F$300),0),IFERROR(LOOKUP(D206,'Japan and South Korea'!D$8:D$200,'Japan and South Korea'!F$8:F$200),0),IFERROR(LOOKUP(D206,Australia!D$57:D$248,Australia!F$57:F$248),0),IFERROR(LOOKUP(D206,China!D$11:D$200,China!F$11:F$200),0),IFERROR(LOOKUP(D206,Africa!D$18:D$200,Africa!F$18:F$200),0),IFERROR(LOOKUP(D206,Europe!D$18:D$300,Europe!F$18:F$300),0),IFERROR(LOOKUP(D206,Russia!D$18:D$198,Russia!F$18:F$198),0),IFERROR(LOOKUP(D206,'Western United States'!D$13:D$300,'Western United States'!F$13:F$300),0),IFERROR(LOOKUP(D206,'Eastern United States'!D$13:D$300,'Eastern United States'!F$13:F$300),0),IFERROR(LOOKUP(D206,Canada!D$13:D$200,Canada!F$13:F$200),0),IFERROR(LOOKUP(D206,'South Asia'!D$11:D$200,'South Asia'!F$11:F$200),0),IFERROR(LOOKUP(D206,'Latin America'!D$11:D$200,'Latin America'!F$11:F$200),0))</f>
        <v>251.91191230585648</v>
      </c>
      <c r="F206" s="139">
        <f>SUM(Australia!H179,China!H115,Africa!H129,Europe!H219,Russia!H163,'Western United States'!H194,'Eastern United States'!H213,Canada!H155,'South Asia'!H121,'Latin America'!H120,'United Kingdom'!H182,'Pennsylvania anthracite'!H208,'France and Belgium'!H193,'Japan and South Korea'!H134)</f>
        <v>676.0766138822014</v>
      </c>
      <c r="G206" s="139">
        <f ca="1">SUM(Australia!J179,China!J115,Africa!J129,Europe!J219,Russia!J163,'Western United States'!J194,'Eastern United States'!J213,Canada!J155,'South Asia'!J121,'Latin America'!J120,'United Kingdom'!J182,'Pennsylvania anthracite'!J208,'France and Belgium'!J193,'Japan and South Korea'!J134)</f>
        <v>252.00937402839239</v>
      </c>
      <c r="H206" s="339">
        <f t="shared" si="4"/>
        <v>1.803632341359962E-2</v>
      </c>
      <c r="I206" s="197">
        <f>-INTERCEPT(H$32:H206,E$32:E206)/SLOPE(H$32:H206,E$32:E206)</f>
        <v>260.20699320572822</v>
      </c>
      <c r="J206" s="203">
        <f>-INTERCEPT(H$138:H206,E$138:E206)/SLOPE(H$138:H206,E$138:E206)</f>
        <v>2737.3038177173389</v>
      </c>
    </row>
    <row r="207" spans="3:10" x14ac:dyDescent="0.15">
      <c r="C207" s="354"/>
      <c r="D207" s="16">
        <v>2000</v>
      </c>
      <c r="E207" s="196">
        <f>SUM(IFERROR(LOOKUP(D207,'United Kingdom'!D$12:D$303,'United Kingdom'!F$12:F$303),0),IFERROR(LOOKUP(D207,'Pennsylvania anthracite'!D$8:D$300,'Pennsylvania anthracite'!F$8:F$300),0),IFERROR(LOOKUP(D207,'France and Belgium'!D$8:D$300,'France and Belgium'!F$8:F$300),0),IFERROR(LOOKUP(D207,'Japan and South Korea'!D$8:D$200,'Japan and South Korea'!F$8:F$200),0),IFERROR(LOOKUP(D207,Australia!D$57:D$248,Australia!F$57:F$248),0),IFERROR(LOOKUP(D207,China!D$11:D$200,China!F$11:F$200),0),IFERROR(LOOKUP(D207,Africa!D$18:D$200,Africa!F$18:F$200),0),IFERROR(LOOKUP(D207,Europe!D$18:D$300,Europe!F$18:F$300),0),IFERROR(LOOKUP(D207,Russia!D$18:D$198,Russia!F$18:F$198),0),IFERROR(LOOKUP(D207,'Western United States'!D$13:D$300,'Western United States'!F$13:F$300),0),IFERROR(LOOKUP(D207,'Eastern United States'!D$13:D$300,'Eastern United States'!F$13:F$300),0),IFERROR(LOOKUP(D207,Canada!D$13:D$200,Canada!F$13:F$200),0),IFERROR(LOOKUP(D207,'South Asia'!D$11:D$200,'South Asia'!F$11:F$200),0),IFERROR(LOOKUP(D207,'Latin America'!D$11:D$200,'Latin America'!F$11:F$200),0))</f>
        <v>256.52018002404628</v>
      </c>
      <c r="F207" s="139">
        <f>SUM(Australia!H180,China!H116,Africa!H130,Europe!H220,Russia!H164,'Western United States'!H195,'Eastern United States'!H214,Canada!H156,'South Asia'!H122,'Latin America'!H121,'United Kingdom'!H183,'Pennsylvania anthracite'!H209,'France and Belgium'!H194,'Japan and South Korea'!H135)</f>
        <v>665.62451877522267</v>
      </c>
      <c r="G207" s="139">
        <f ca="1">SUM(Australia!J180,China!J116,Africa!J130,Europe!J220,Russia!J164,'Western United States'!J195,'Eastern United States'!J214,Canada!J156,'South Asia'!J122,'Latin America'!J121,'United Kingdom'!J183,'Pennsylvania anthracite'!J209,'France and Belgium'!J194,'Japan and South Korea'!J135)</f>
        <v>257.0750437232885</v>
      </c>
      <c r="H207" s="339">
        <f t="shared" si="4"/>
        <v>1.7964542663886474E-2</v>
      </c>
      <c r="I207" s="197">
        <f>-INTERCEPT(H$32:H207,E$32:E207)/SLOPE(H$32:H207,E$32:E207)</f>
        <v>264.70454722686947</v>
      </c>
      <c r="J207" s="203">
        <f>-INTERCEPT(H$138:H207,E$138:E207)/SLOPE(H$138:H207,E$138:E207)</f>
        <v>2345.2491060279358</v>
      </c>
    </row>
    <row r="208" spans="3:10" x14ac:dyDescent="0.15">
      <c r="C208" s="354"/>
      <c r="D208" s="16">
        <v>2001</v>
      </c>
      <c r="E208" s="196">
        <f>SUM(IFERROR(LOOKUP(D208,'United Kingdom'!D$12:D$303,'United Kingdom'!F$12:F$303),0),IFERROR(LOOKUP(D208,'Pennsylvania anthracite'!D$8:D$300,'Pennsylvania anthracite'!F$8:F$300),0),IFERROR(LOOKUP(D208,'France and Belgium'!D$8:D$300,'France and Belgium'!F$8:F$300),0),IFERROR(LOOKUP(D208,'Japan and South Korea'!D$8:D$200,'Japan and South Korea'!F$8:F$200),0),IFERROR(LOOKUP(D208,Australia!D$57:D$248,Australia!F$57:F$248),0),IFERROR(LOOKUP(D208,China!D$11:D$200,China!F$11:F$200),0),IFERROR(LOOKUP(D208,Africa!D$18:D$200,Africa!F$18:F$200),0),IFERROR(LOOKUP(D208,Europe!D$18:D$300,Europe!F$18:F$300),0),IFERROR(LOOKUP(D208,Russia!D$18:D$198,Russia!F$18:F$198),0),IFERROR(LOOKUP(D208,'Western United States'!D$13:D$300,'Western United States'!F$13:F$300),0),IFERROR(LOOKUP(D208,'Eastern United States'!D$13:D$300,'Eastern United States'!F$13:F$300),0),IFERROR(LOOKUP(D208,Canada!D$13:D$200,Canada!F$13:F$200),0),IFERROR(LOOKUP(D208,'South Asia'!D$11:D$200,'South Asia'!F$11:F$200),0),IFERROR(LOOKUP(D208,'Latin America'!D$11:D$200,'Latin America'!F$11:F$200),0))</f>
        <v>261.34168037194775</v>
      </c>
      <c r="F208" s="139">
        <f>SUM(Australia!H181,China!H117,Africa!H131,Europe!H221,Russia!H165,'Western United States'!H196,'Eastern United States'!H215,Canada!H157,'South Asia'!H123,'Latin America'!H122,'United Kingdom'!H184,'Pennsylvania anthracite'!H210,'France and Belgium'!H195,'Japan and South Korea'!H136)</f>
        <v>671.00471997705495</v>
      </c>
      <c r="G208" s="139">
        <f ca="1">SUM(Australia!J181,China!J117,Africa!J131,Europe!J221,Russia!J165,'Western United States'!J196,'Eastern United States'!J215,Canada!J157,'South Asia'!J123,'Latin America'!J122,'United Kingdom'!J184,'Pennsylvania anthracite'!J210,'France and Belgium'!J195,'Japan and South Korea'!J136)</f>
        <v>262.24903340418922</v>
      </c>
      <c r="H208" s="339">
        <f t="shared" si="4"/>
        <v>1.8449029412527684E-2</v>
      </c>
      <c r="I208" s="197">
        <f>-INTERCEPT(H$32:H208,E$32:E208)/SLOPE(H$32:H208,E$32:E208)</f>
        <v>269.40334719948515</v>
      </c>
      <c r="J208" s="203">
        <f>-INTERCEPT(H$138:H208,E$138:E208)/SLOPE(H$138:H208,E$138:E208)</f>
        <v>2130.3088529727261</v>
      </c>
    </row>
    <row r="209" spans="3:10" x14ac:dyDescent="0.15">
      <c r="C209" s="354"/>
      <c r="D209" s="16">
        <v>2002</v>
      </c>
      <c r="E209" s="196">
        <f>SUM(IFERROR(LOOKUP(D209,'United Kingdom'!D$12:D$303,'United Kingdom'!F$12:F$303),0),IFERROR(LOOKUP(D209,'Pennsylvania anthracite'!D$8:D$300,'Pennsylvania anthracite'!F$8:F$300),0),IFERROR(LOOKUP(D209,'France and Belgium'!D$8:D$300,'France and Belgium'!F$8:F$300),0),IFERROR(LOOKUP(D209,'Japan and South Korea'!D$8:D$200,'Japan and South Korea'!F$8:F$200),0),IFERROR(LOOKUP(D209,Australia!D$57:D$248,Australia!F$57:F$248),0),IFERROR(LOOKUP(D209,China!D$11:D$200,China!F$11:F$200),0),IFERROR(LOOKUP(D209,Africa!D$18:D$200,Africa!F$18:F$200),0),IFERROR(LOOKUP(D209,Europe!D$18:D$300,Europe!F$18:F$300),0),IFERROR(LOOKUP(D209,Russia!D$18:D$198,Russia!F$18:F$198),0),IFERROR(LOOKUP(D209,'Western United States'!D$13:D$300,'Western United States'!F$13:F$300),0),IFERROR(LOOKUP(D209,'Eastern United States'!D$13:D$300,'Eastern United States'!F$13:F$300),0),IFERROR(LOOKUP(D209,Canada!D$13:D$200,Canada!F$13:F$200),0),IFERROR(LOOKUP(D209,'South Asia'!D$11:D$200,'South Asia'!F$11:F$200),0),IFERROR(LOOKUP(D209,'Latin America'!D$11:D$200,'Latin America'!F$11:F$200),0))</f>
        <v>266.19441345042407</v>
      </c>
      <c r="F209" s="139">
        <f>SUM(Australia!H182,China!H118,Africa!H132,Europe!H222,Russia!H166,'Western United States'!H197,'Eastern United States'!H216,Canada!H158,'South Asia'!H124,'Latin America'!H123,'United Kingdom'!H185,'Pennsylvania anthracite'!H211,'France and Belgium'!H196,'Japan and South Korea'!H137)</f>
        <v>666.37982788102795</v>
      </c>
      <c r="G209" s="139">
        <f ca="1">SUM(Australia!J182,China!J118,Africa!J132,Europe!J222,Russia!J166,'Western United States'!J197,'Eastern United States'!J216,Canada!J158,'South Asia'!J124,'Latin America'!J123,'United Kingdom'!J185,'Pennsylvania anthracite'!J211,'France and Belgium'!J196,'Japan and South Korea'!J137)</f>
        <v>267.53059240404679</v>
      </c>
      <c r="H209" s="339">
        <f t="shared" si="4"/>
        <v>1.8230033514133437E-2</v>
      </c>
      <c r="I209" s="197">
        <f>-INTERCEPT(H$32:H209,E$32:E209)/SLOPE(H$32:H209,E$32:E209)</f>
        <v>274.1118874947469</v>
      </c>
      <c r="J209" s="203">
        <f>-INTERCEPT(H$138:H209,E$138:E209)/SLOPE(H$138:H209,E$138:E209)</f>
        <v>1959.1340865743662</v>
      </c>
    </row>
    <row r="210" spans="3:10" x14ac:dyDescent="0.15">
      <c r="C210" s="354"/>
      <c r="D210" s="16">
        <v>2003</v>
      </c>
      <c r="E210" s="196">
        <f>SUM(IFERROR(LOOKUP(D210,'United Kingdom'!D$12:D$303,'United Kingdom'!F$12:F$303),0),IFERROR(LOOKUP(D210,'Pennsylvania anthracite'!D$8:D$300,'Pennsylvania anthracite'!F$8:F$300),0),IFERROR(LOOKUP(D210,'France and Belgium'!D$8:D$300,'France and Belgium'!F$8:F$300),0),IFERROR(LOOKUP(D210,'Japan and South Korea'!D$8:D$200,'Japan and South Korea'!F$8:F$200),0),IFERROR(LOOKUP(D210,Australia!D$57:D$248,Australia!F$57:F$248),0),IFERROR(LOOKUP(D210,China!D$11:D$200,China!F$11:F$200),0),IFERROR(LOOKUP(D210,Africa!D$18:D$200,Africa!F$18:F$200),0),IFERROR(LOOKUP(D210,Europe!D$18:D$300,Europe!F$18:F$300),0),IFERROR(LOOKUP(D210,Russia!D$18:D$198,Russia!F$18:F$198),0),IFERROR(LOOKUP(D210,'Western United States'!D$13:D$300,'Western United States'!F$13:F$300),0),IFERROR(LOOKUP(D210,'Eastern United States'!D$13:D$300,'Eastern United States'!F$13:F$300),0),IFERROR(LOOKUP(D210,Canada!D$13:D$200,Canada!F$13:F$200),0),IFERROR(LOOKUP(D210,'South Asia'!D$11:D$200,'South Asia'!F$11:F$200),0),IFERROR(LOOKUP(D210,'Latin America'!D$11:D$200,'Latin America'!F$11:F$200),0))</f>
        <v>271.38283551784275</v>
      </c>
      <c r="F210" s="139">
        <f>SUM(Australia!H183,China!H119,Africa!H133,Europe!H223,Russia!H167,'Western United States'!H198,'Eastern United States'!H217,Canada!H159,'South Asia'!H125,'Latin America'!H124,'United Kingdom'!H186,'Pennsylvania anthracite'!H212,'France and Belgium'!H197,'Japan and South Korea'!H138)</f>
        <v>664.05900077630236</v>
      </c>
      <c r="G210" s="139">
        <f ca="1">SUM(Australia!J183,China!J119,Africa!J133,Europe!J223,Russia!J167,'Western United States'!J198,'Eastern United States'!J217,Canada!J159,'South Asia'!J125,'Latin America'!J124,'United Kingdom'!J186,'Pennsylvania anthracite'!J212,'France and Belgium'!J197,'Japan and South Korea'!J138)</f>
        <v>272.9185410969784</v>
      </c>
      <c r="H210" s="339">
        <f t="shared" si="4"/>
        <v>1.9118460670212722E-2</v>
      </c>
      <c r="I210" s="197">
        <f>-INTERCEPT(H$32:H210,E$32:E210)/SLOPE(H$32:H210,E$32:E210)</f>
        <v>279.15520605456004</v>
      </c>
      <c r="J210" s="203">
        <f>-INTERCEPT(H$138:H210,E$138:E210)/SLOPE(H$138:H210,E$138:E210)</f>
        <v>1888.2034788988185</v>
      </c>
    </row>
    <row r="211" spans="3:10" x14ac:dyDescent="0.15">
      <c r="C211" s="354"/>
      <c r="D211" s="16">
        <v>2004</v>
      </c>
      <c r="E211" s="196">
        <f>SUM(IFERROR(LOOKUP(D211,'United Kingdom'!D$12:D$303,'United Kingdom'!F$12:F$303),0),IFERROR(LOOKUP(D211,'Pennsylvania anthracite'!D$8:D$300,'Pennsylvania anthracite'!F$8:F$300),0),IFERROR(LOOKUP(D211,'France and Belgium'!D$8:D$300,'France and Belgium'!F$8:F$300),0),IFERROR(LOOKUP(D211,'Japan and South Korea'!D$8:D$200,'Japan and South Korea'!F$8:F$200),0),IFERROR(LOOKUP(D211,Australia!D$57:D$248,Australia!F$57:F$248),0),IFERROR(LOOKUP(D211,China!D$11:D$200,China!F$11:F$200),0),IFERROR(LOOKUP(D211,Africa!D$18:D$200,Africa!F$18:F$200),0),IFERROR(LOOKUP(D211,Europe!D$18:D$300,Europe!F$18:F$300),0),IFERROR(LOOKUP(D211,Russia!D$18:D$198,Russia!F$18:F$198),0),IFERROR(LOOKUP(D211,'Western United States'!D$13:D$300,'Western United States'!F$13:F$300),0),IFERROR(LOOKUP(D211,'Eastern United States'!D$13:D$300,'Eastern United States'!F$13:F$300),0),IFERROR(LOOKUP(D211,Canada!D$13:D$200,Canada!F$13:F$200),0),IFERROR(LOOKUP(D211,'South Asia'!D$11:D$200,'South Asia'!F$11:F$200),0),IFERROR(LOOKUP(D211,'Latin America'!D$11:D$200,'Latin America'!F$11:F$200),0))</f>
        <v>276.96850500257875</v>
      </c>
      <c r="F211" s="139">
        <f>SUM(Australia!H184,China!H120,Africa!H134,Europe!H224,Russia!H168,'Western United States'!H199,'Eastern United States'!H218,Canada!H160,'South Asia'!H126,'Latin America'!H125,'United Kingdom'!H187,'Pennsylvania anthracite'!H213,'France and Belgium'!H198,'Japan and South Korea'!H139)</f>
        <v>671.9492249727474</v>
      </c>
      <c r="G211" s="139">
        <f ca="1">SUM(Australia!J184,China!J120,Africa!J134,Europe!J224,Russia!J168,'Western United States'!J199,'Eastern United States'!J218,Canada!J160,'South Asia'!J126,'Latin America'!J125,'United Kingdom'!J187,'Pennsylvania anthracite'!J213,'France and Belgium'!J198,'Japan and South Korea'!J139)</f>
        <v>278.41125007860165</v>
      </c>
      <c r="H211" s="339">
        <f t="shared" si="4"/>
        <v>2.016716479978109E-2</v>
      </c>
      <c r="I211" s="197">
        <f>-INTERCEPT(H$32:H211,E$32:E211)/SLOPE(H$32:H211,E$32:E211)</f>
        <v>284.60813931571448</v>
      </c>
      <c r="J211" s="203">
        <f>-INTERCEPT(H$138:H211,E$138:E211)/SLOPE(H$138:H211,E$138:E211)</f>
        <v>1896.5753261093928</v>
      </c>
    </row>
    <row r="212" spans="3:10" x14ac:dyDescent="0.15">
      <c r="C212" s="354"/>
      <c r="D212" s="16">
        <v>2005</v>
      </c>
      <c r="E212" s="196">
        <f>SUM(IFERROR(LOOKUP(D212,'United Kingdom'!D$12:D$303,'United Kingdom'!F$12:F$303),0),IFERROR(LOOKUP(D212,'Pennsylvania anthracite'!D$8:D$300,'Pennsylvania anthracite'!F$8:F$300),0),IFERROR(LOOKUP(D212,'France and Belgium'!D$8:D$300,'France and Belgium'!F$8:F$300),0),IFERROR(LOOKUP(D212,'Japan and South Korea'!D$8:D$200,'Japan and South Korea'!F$8:F$200),0),IFERROR(LOOKUP(D212,Australia!D$57:D$248,Australia!F$57:F$248),0),IFERROR(LOOKUP(D212,China!D$11:D$200,China!F$11:F$200),0),IFERROR(LOOKUP(D212,Africa!D$18:D$200,Africa!F$18:F$200),0),IFERROR(LOOKUP(D212,Europe!D$18:D$300,Europe!F$18:F$300),0),IFERROR(LOOKUP(D212,Russia!D$18:D$198,Russia!F$18:F$198),0),IFERROR(LOOKUP(D212,'Western United States'!D$13:D$300,'Western United States'!F$13:F$300),0),IFERROR(LOOKUP(D212,'Eastern United States'!D$13:D$300,'Eastern United States'!F$13:F$300),0),IFERROR(LOOKUP(D212,Canada!D$13:D$200,Canada!F$13:F$200),0),IFERROR(LOOKUP(D212,'South Asia'!D$11:D$200,'South Asia'!F$11:F$200),0),IFERROR(LOOKUP(D212,'Latin America'!D$11:D$200,'Latin America'!F$11:F$200),0))</f>
        <v>282.85959358651934</v>
      </c>
      <c r="F212" s="139">
        <f>SUM(Australia!H185,China!H121,Africa!H135,Europe!H225,Russia!H169,'Western United States'!H200,'Eastern United States'!H219,Canada!H161,'South Asia'!H127,'Latin America'!H126,'United Kingdom'!H188,'Pennsylvania anthracite'!H214,'France and Belgium'!H199,'Japan and South Korea'!H140)</f>
        <v>675.92516540380723</v>
      </c>
      <c r="G212" s="139">
        <f ca="1">SUM(Australia!J185,China!J121,Africa!J135,Europe!J225,Russia!J169,'Western United States'!J200,'Eastern United States'!J219,Canada!J161,'South Asia'!J127,'Latin America'!J126,'United Kingdom'!J188,'Pennsylvania anthracite'!J214,'France and Belgium'!J199,'Japan and South Korea'!J140)</f>
        <v>284.00662252989224</v>
      </c>
      <c r="H212" s="339">
        <f t="shared" si="4"/>
        <v>2.0826900403993709E-2</v>
      </c>
      <c r="I212" s="197">
        <f>-INTERCEPT(H$32:H212,E$32:E212)/SLOPE(H$32:H212,E$32:E212)</f>
        <v>290.38534169056459</v>
      </c>
      <c r="J212" s="203">
        <f>-INTERCEPT(H$138:H212,E$138:E212)/SLOPE(H$138:H212,E$138:E212)</f>
        <v>1950.0700196952137</v>
      </c>
    </row>
    <row r="213" spans="3:10" x14ac:dyDescent="0.15">
      <c r="C213" s="354"/>
      <c r="D213" s="16">
        <v>2006</v>
      </c>
      <c r="E213" s="196">
        <f>SUM(IFERROR(LOOKUP(D213,'United Kingdom'!D$12:D$303,'United Kingdom'!F$12:F$303),0),IFERROR(LOOKUP(D213,'Pennsylvania anthracite'!D$8:D$300,'Pennsylvania anthracite'!F$8:F$300),0),IFERROR(LOOKUP(D213,'France and Belgium'!D$8:D$300,'France and Belgium'!F$8:F$300),0),IFERROR(LOOKUP(D213,'Japan and South Korea'!D$8:D$200,'Japan and South Korea'!F$8:F$200),0),IFERROR(LOOKUP(D213,Australia!D$57:D$248,Australia!F$57:F$248),0),IFERROR(LOOKUP(D213,China!D$11:D$200,China!F$11:F$200),0),IFERROR(LOOKUP(D213,Africa!D$18:D$200,Africa!F$18:F$200),0),IFERROR(LOOKUP(D213,Europe!D$18:D$300,Europe!F$18:F$300),0),IFERROR(LOOKUP(D213,Russia!D$18:D$198,Russia!F$18:F$198),0),IFERROR(LOOKUP(D213,'Western United States'!D$13:D$300,'Western United States'!F$13:F$300),0),IFERROR(LOOKUP(D213,'Eastern United States'!D$13:D$300,'Eastern United States'!F$13:F$300),0),IFERROR(LOOKUP(D213,Canada!D$13:D$200,Canada!F$13:F$200),0),IFERROR(LOOKUP(D213,'South Asia'!D$11:D$200,'South Asia'!F$11:F$200),0),IFERROR(LOOKUP(D213,'Latin America'!D$11:D$200,'Latin America'!F$11:F$200),0))</f>
        <v>289.04623266815912</v>
      </c>
      <c r="F213" s="139">
        <f>SUM(Australia!H186,China!H122,Africa!H136,Europe!H226,Russia!H170,'Western United States'!H201,'Eastern United States'!H220,Canada!H162,'South Asia'!H128,'Latin America'!H127,'United Kingdom'!H189,'Pennsylvania anthracite'!H215,'France and Belgium'!H200,'Japan and South Korea'!H141)</f>
        <v>682.66270717739928</v>
      </c>
      <c r="G213" s="139">
        <f ca="1">SUM(Australia!J186,China!J122,Africa!J136,Europe!J226,Russia!J170,'Western United States'!J201,'Eastern United States'!J220,Canada!J162,'South Asia'!J128,'Latin America'!J127,'United Kingdom'!J189,'Pennsylvania anthracite'!J215,'France and Belgium'!J200,'Japan and South Korea'!J141)</f>
        <v>289.70208031705437</v>
      </c>
      <c r="H213" s="339">
        <f t="shared" si="4"/>
        <v>2.1403631607758711E-2</v>
      </c>
      <c r="I213" s="197">
        <f>-INTERCEPT(H$32:H213,E$32:E213)/SLOPE(H$32:H213,E$32:E213)</f>
        <v>296.48577612070045</v>
      </c>
      <c r="J213" s="203">
        <f>-INTERCEPT(H$138:H213,E$138:E213)/SLOPE(H$138:H213,E$138:E213)</f>
        <v>2044.7300271169622</v>
      </c>
    </row>
    <row r="214" spans="3:10" x14ac:dyDescent="0.15">
      <c r="C214" s="354"/>
      <c r="D214" s="16">
        <v>2007</v>
      </c>
      <c r="E214" s="196">
        <f>SUM(IFERROR(LOOKUP(D214,'United Kingdom'!D$12:D$303,'United Kingdom'!F$12:F$303),0),IFERROR(LOOKUP(D214,'Pennsylvania anthracite'!D$8:D$300,'Pennsylvania anthracite'!F$8:F$300),0),IFERROR(LOOKUP(D214,'France and Belgium'!D$8:D$300,'France and Belgium'!F$8:F$300),0),IFERROR(LOOKUP(D214,'Japan and South Korea'!D$8:D$200,'Japan and South Korea'!F$8:F$200),0),IFERROR(LOOKUP(D214,Australia!D$57:D$248,Australia!F$57:F$248),0),IFERROR(LOOKUP(D214,China!D$11:D$200,China!F$11:F$200),0),IFERROR(LOOKUP(D214,Africa!D$18:D$200,Africa!F$18:F$200),0),IFERROR(LOOKUP(D214,Europe!D$18:D$300,Europe!F$18:F$300),0),IFERROR(LOOKUP(D214,Russia!D$18:D$198,Russia!F$18:F$198),0),IFERROR(LOOKUP(D214,'Western United States'!D$13:D$300,'Western United States'!F$13:F$300),0),IFERROR(LOOKUP(D214,'Eastern United States'!D$13:D$300,'Eastern United States'!F$13:F$300),0),IFERROR(LOOKUP(D214,Canada!D$13:D$200,Canada!F$13:F$200),0),IFERROR(LOOKUP(D214,'South Asia'!D$11:D$200,'South Asia'!F$11:F$200),0),IFERROR(LOOKUP(D214,'Latin America'!D$11:D$200,'Latin America'!F$11:F$200),0))</f>
        <v>295.45431768840831</v>
      </c>
      <c r="F214" s="139">
        <f>SUM(Australia!H187,China!H123,Africa!H137,Europe!H227,Russia!H171,'Western United States'!H202,'Eastern United States'!H221,Canada!H163,'South Asia'!H129,'Latin America'!H128,'United Kingdom'!H190,'Pennsylvania anthracite'!H216,'France and Belgium'!H201,'Japan and South Korea'!H142)</f>
        <v>653.31777929867621</v>
      </c>
      <c r="G214" s="139">
        <f ca="1">SUM(Australia!J187,China!J123,Africa!J137,Europe!J227,Russia!J171,'Western United States'!J202,'Eastern United States'!J221,Canada!J163,'South Asia'!J129,'Latin America'!J128,'United Kingdom'!J190,'Pennsylvania anthracite'!J216,'France and Belgium'!J201,'Japan and South Korea'!J142)</f>
        <v>295.49455435008667</v>
      </c>
      <c r="H214" s="339">
        <f t="shared" si="4"/>
        <v>2.168891986546384E-2</v>
      </c>
      <c r="I214" s="197">
        <f>-INTERCEPT(H$32:H214,E$32:E214)/SLOPE(H$32:H214,E$32:E214)</f>
        <v>302.83913469622667</v>
      </c>
      <c r="J214" s="203">
        <f>-INTERCEPT(H$138:H214,E$138:E214)/SLOPE(H$138:H214,E$138:E214)</f>
        <v>2165.1956988978018</v>
      </c>
    </row>
    <row r="215" spans="3:10" x14ac:dyDescent="0.15">
      <c r="C215" s="354"/>
      <c r="D215" s="16">
        <v>2008</v>
      </c>
      <c r="E215" s="196">
        <f>SUM(IFERROR(LOOKUP(D215,'United Kingdom'!D$12:D$303,'United Kingdom'!F$12:F$303),0),IFERROR(LOOKUP(D215,'Pennsylvania anthracite'!D$8:D$300,'Pennsylvania anthracite'!F$8:F$300),0),IFERROR(LOOKUP(D215,'France and Belgium'!D$8:D$300,'France and Belgium'!F$8:F$300),0),IFERROR(LOOKUP(D215,'Japan and South Korea'!D$8:D$200,'Japan and South Korea'!F$8:F$200),0),IFERROR(LOOKUP(D215,Australia!D$57:D$248,Australia!F$57:F$248),0),IFERROR(LOOKUP(D215,China!D$11:D$200,China!F$11:F$200),0),IFERROR(LOOKUP(D215,Africa!D$18:D$200,Africa!F$18:F$200),0),IFERROR(LOOKUP(D215,Europe!D$18:D$300,Europe!F$18:F$300),0),IFERROR(LOOKUP(D215,Russia!D$18:D$198,Russia!F$18:F$198),0),IFERROR(LOOKUP(D215,'Western United States'!D$13:D$300,'Western United States'!F$13:F$300),0),IFERROR(LOOKUP(D215,'Eastern United States'!D$13:D$300,'Eastern United States'!F$13:F$300),0),IFERROR(LOOKUP(D215,Canada!D$13:D$200,Canada!F$13:F$200),0),IFERROR(LOOKUP(D215,'South Asia'!D$11:D$200,'South Asia'!F$11:F$200),0),IFERROR(LOOKUP(D215,'Latin America'!D$11:D$200,'Latin America'!F$11:F$200),0))</f>
        <v>302.24759453286367</v>
      </c>
      <c r="F215" s="139">
        <f>SUM(Australia!H188,China!H124,Africa!H138,Europe!H228,Russia!H172,'Western United States'!H203,'Eastern United States'!H222,Canada!H164,'South Asia'!H130,'Latin America'!H129,'United Kingdom'!H191,'Pennsylvania anthracite'!H217,'France and Belgium'!H202,'Japan and South Korea'!H143)</f>
        <v>665.77962240144063</v>
      </c>
      <c r="G215" s="139">
        <f ca="1">SUM(Australia!J188,China!J124,Africa!J138,Europe!J228,Russia!J172,'Western United States'!J203,'Eastern United States'!J222,Canada!J164,'South Asia'!J130,'Latin America'!J129,'United Kingdom'!J191,'Pennsylvania anthracite'!J217,'France and Belgium'!J202,'Japan and South Korea'!J143)</f>
        <v>301.38047967405276</v>
      </c>
      <c r="H215" s="339">
        <f t="shared" si="4"/>
        <v>2.247586735952245E-2</v>
      </c>
      <c r="I215" s="197">
        <f>-INTERCEPT(H$32:H215,E$32:E215)/SLOPE(H$32:H215,E$32:E215)</f>
        <v>309.62784325337071</v>
      </c>
      <c r="J215" s="203">
        <f>-INTERCEPT(H$138:H215,E$138:E215)/SLOPE(H$138:H215,E$138:E215)</f>
        <v>2360.1312829726894</v>
      </c>
    </row>
    <row r="216" spans="3:10" x14ac:dyDescent="0.15">
      <c r="C216" s="354"/>
      <c r="D216" s="16">
        <v>2009</v>
      </c>
      <c r="E216" s="196">
        <f>SUM(IFERROR(LOOKUP(D216,'United Kingdom'!D$12:D$303,'United Kingdom'!F$12:F$303),0),IFERROR(LOOKUP(D216,'Pennsylvania anthracite'!D$8:D$300,'Pennsylvania anthracite'!F$8:F$300),0),IFERROR(LOOKUP(D216,'France and Belgium'!D$8:D$300,'France and Belgium'!F$8:F$300),0),IFERROR(LOOKUP(D216,'Japan and South Korea'!D$8:D$200,'Japan and South Korea'!F$8:F$200),0),IFERROR(LOOKUP(D216,Australia!D$57:D$248,Australia!F$57:F$248),0),IFERROR(LOOKUP(D216,China!D$11:D$200,China!F$11:F$200),0),IFERROR(LOOKUP(D216,Africa!D$18:D$200,Africa!F$18:F$200),0),IFERROR(LOOKUP(D216,Europe!D$18:D$300,Europe!F$18:F$300),0),IFERROR(LOOKUP(D216,Russia!D$18:D$198,Russia!F$18:F$198),0),IFERROR(LOOKUP(D216,'Western United States'!D$13:D$300,'Western United States'!F$13:F$300),0),IFERROR(LOOKUP(D216,'Eastern United States'!D$13:D$300,'Eastern United States'!F$13:F$300),0),IFERROR(LOOKUP(D216,Canada!D$13:D$200,Canada!F$13:F$200),0),IFERROR(LOOKUP(D216,'South Asia'!D$11:D$200,'South Asia'!F$11:F$200),0),IFERROR(LOOKUP(D216,'Latin America'!D$11:D$200,'Latin America'!F$11:F$200),0))</f>
        <v>309.18816678882757</v>
      </c>
      <c r="F216" s="139">
        <f>SUM(Australia!H189,China!H125,Africa!H139,Europe!H229,Russia!H173,'Western United States'!H204,'Eastern United States'!H223,Canada!H165,'South Asia'!H131,'Latin America'!H130,'United Kingdom'!H192,'Pennsylvania anthracite'!H218,'France and Belgium'!H203,'Japan and South Korea'!H144)</f>
        <v>680.119685482112</v>
      </c>
      <c r="G216" s="139">
        <f ca="1">SUM(Australia!J189,China!J125,Africa!J139,Europe!J229,Russia!J173,'Western United States'!J204,'Eastern United States'!J223,Canada!J165,'South Asia'!J131,'Latin America'!J130,'United Kingdom'!J192,'Pennsylvania anthracite'!J218,'France and Belgium'!J203,'Japan and South Korea'!J144)</f>
        <v>307.35579569926097</v>
      </c>
      <c r="H216" s="339">
        <f t="shared" si="4"/>
        <v>2.2447729251890314E-2</v>
      </c>
      <c r="I216" s="197">
        <f>-INTERCEPT(H$32:H216,E$32:E216)/SLOPE(H$32:H216,E$32:E216)</f>
        <v>316.60880525613891</v>
      </c>
      <c r="J216" s="203">
        <f>-INTERCEPT(H$138:H216,E$138:E216)/SLOPE(H$138:H216,E$138:E216)</f>
        <v>2574.3717993806067</v>
      </c>
    </row>
    <row r="217" spans="3:10" x14ac:dyDescent="0.15">
      <c r="C217" s="344"/>
      <c r="D217" s="16">
        <v>2010</v>
      </c>
      <c r="F217" s="139"/>
      <c r="G217" s="139">
        <f ca="1">SUM(Australia!J190,China!J126,Africa!J140,Europe!J230,Russia!J174,'Western United States'!J205,'Eastern United States'!J224,Canada!J166,'South Asia'!J132,'Latin America'!J131,'United Kingdom'!J193,'Pennsylvania anthracite'!J219,'France and Belgium'!J204,'Japan and South Korea'!J145)</f>
        <v>313.41595189024702</v>
      </c>
      <c r="H217" s="139"/>
    </row>
    <row r="218" spans="3:10" x14ac:dyDescent="0.15">
      <c r="C218" s="344"/>
      <c r="D218" s="16">
        <v>2011</v>
      </c>
      <c r="F218" s="139"/>
      <c r="G218" s="139">
        <f ca="1">SUM(Australia!J191,China!J127,Africa!J141,Europe!J231,Russia!J175,'Western United States'!J206,'Eastern United States'!J225,Canada!J167,'South Asia'!J133,'Latin America'!J132,'United Kingdom'!J194,'Pennsylvania anthracite'!J220,'France and Belgium'!J205,'Japan and South Korea'!J146)</f>
        <v>319.55591913023892</v>
      </c>
      <c r="H218" s="139"/>
    </row>
    <row r="219" spans="3:10" x14ac:dyDescent="0.15">
      <c r="C219" s="344"/>
      <c r="D219" s="16">
        <v>2012</v>
      </c>
      <c r="F219" s="139"/>
      <c r="G219" s="139">
        <f ca="1">SUM(Australia!J192,China!J128,Africa!J142,Europe!J232,Russia!J176,'Western United States'!J207,'Eastern United States'!J226,Canada!J168,'South Asia'!J134,'Latin America'!J133,'United Kingdom'!J195,'Pennsylvania anthracite'!J221,'France and Belgium'!J206,'Japan and South Korea'!J147)</f>
        <v>325.77020686023832</v>
      </c>
      <c r="H219" s="139"/>
    </row>
    <row r="220" spans="3:10" x14ac:dyDescent="0.15">
      <c r="C220" s="344"/>
      <c r="D220" s="16">
        <v>2013</v>
      </c>
      <c r="F220" s="139"/>
      <c r="G220" s="139">
        <f ca="1">SUM(Australia!J193,China!J129,Africa!J143,Europe!J233,Russia!J177,'Western United States'!J208,'Eastern United States'!J227,Canada!J169,'South Asia'!J135,'Latin America'!J134,'United Kingdom'!J196,'Pennsylvania anthracite'!J222,'France and Belgium'!J207,'Japan and South Korea'!J148)</f>
        <v>332.05288596351033</v>
      </c>
      <c r="H220" s="139"/>
    </row>
    <row r="221" spans="3:10" x14ac:dyDescent="0.15">
      <c r="C221" s="344"/>
      <c r="D221" s="16">
        <v>2014</v>
      </c>
      <c r="F221" s="139"/>
      <c r="G221" s="139">
        <f ca="1">SUM(Australia!J194,China!J130,Africa!J144,Europe!J234,Russia!J178,'Western United States'!J209,'Eastern United States'!J228,Canada!J170,'South Asia'!J136,'Latin America'!J135,'United Kingdom'!J197,'Pennsylvania anthracite'!J223,'France and Belgium'!J208,'Japan and South Korea'!J149)</f>
        <v>338.39761723146586</v>
      </c>
      <c r="H221" s="139"/>
    </row>
    <row r="222" spans="3:10" x14ac:dyDescent="0.15">
      <c r="C222" s="344"/>
      <c r="D222" s="16">
        <v>2015</v>
      </c>
      <c r="F222" s="139"/>
      <c r="G222" s="139">
        <f ca="1">SUM(Australia!J195,China!J131,Africa!J145,Europe!J235,Russia!J179,'Western United States'!J210,'Eastern United States'!J229,Canada!J171,'South Asia'!J137,'Latin America'!J136,'United Kingdom'!J198,'Pennsylvania anthracite'!J224,'France and Belgium'!J209,'Japan and South Korea'!J150)</f>
        <v>344.79768511065299</v>
      </c>
      <c r="H222" s="139"/>
    </row>
    <row r="223" spans="3:10" x14ac:dyDescent="0.15">
      <c r="C223" s="344"/>
      <c r="D223" s="16">
        <v>2016</v>
      </c>
      <c r="F223" s="139"/>
      <c r="G223" s="139">
        <f ca="1">SUM(Australia!J196,China!J132,Africa!J146,Europe!J236,Russia!J180,'Western United States'!J211,'Eastern United States'!J230,Canada!J172,'South Asia'!J138,'Latin America'!J137,'United Kingdom'!J199,'Pennsylvania anthracite'!J225,'France and Belgium'!J210,'Japan and South Korea'!J151)</f>
        <v>351.24603629820001</v>
      </c>
      <c r="H223" s="139"/>
    </row>
    <row r="224" spans="3:10" x14ac:dyDescent="0.15">
      <c r="C224" s="344"/>
      <c r="D224" s="16">
        <v>2017</v>
      </c>
      <c r="F224" s="139"/>
      <c r="G224" s="139">
        <f ca="1">SUM(Australia!J197,China!J133,Africa!J147,Europe!J237,Russia!J181,'Western United States'!J212,'Eastern United States'!J231,Canada!J173,'South Asia'!J139,'Latin America'!J138,'United Kingdom'!J200,'Pennsylvania anthracite'!J226,'France and Belgium'!J211,'Japan and South Korea'!J152)</f>
        <v>357.73532263006825</v>
      </c>
      <c r="H224" s="139"/>
    </row>
    <row r="225" spans="3:8" x14ac:dyDescent="0.15">
      <c r="C225" s="344"/>
      <c r="D225" s="16">
        <v>2018</v>
      </c>
      <c r="F225" s="139"/>
      <c r="G225" s="139">
        <f ca="1">SUM(Australia!J198,China!J134,Africa!J148,Europe!J238,Russia!J182,'Western United States'!J213,'Eastern United States'!J232,Canada!J174,'South Asia'!J140,'Latin America'!J139,'United Kingdom'!J201,'Pennsylvania anthracite'!J227,'France and Belgium'!J212,'Japan and South Korea'!J153)</f>
        <v>364.25794759809389</v>
      </c>
      <c r="H225" s="139"/>
    </row>
    <row r="226" spans="3:8" x14ac:dyDescent="0.15">
      <c r="C226" s="344"/>
      <c r="D226" s="16">
        <v>2019</v>
      </c>
      <c r="F226" s="139"/>
      <c r="G226" s="139">
        <f ca="1">SUM(Australia!J199,China!J135,Africa!J149,Europe!J239,Russia!J183,'Western United States'!J214,'Eastern United States'!J233,Canada!J175,'South Asia'!J141,'Latin America'!J140,'United Kingdom'!J202,'Pennsylvania anthracite'!J228,'France and Belgium'!J213,'Japan and South Korea'!J154)</f>
        <v>370.80611574274894</v>
      </c>
      <c r="H226" s="139"/>
    </row>
    <row r="227" spans="3:8" x14ac:dyDescent="0.15">
      <c r="C227" s="344"/>
      <c r="D227" s="16">
        <v>2020</v>
      </c>
      <c r="F227" s="19"/>
      <c r="G227" s="139">
        <f ca="1">SUM(Australia!J200,China!J136,Africa!J150,Europe!J240,Russia!J184,'Western United States'!J215,'Eastern United States'!J234,Canada!J176,'South Asia'!J142,'Latin America'!J141,'United Kingdom'!J203,'Pennsylvania anthracite'!J229,'France and Belgium'!J214,'Japan and South Korea'!J155)</f>
        <v>377.37188410264457</v>
      </c>
      <c r="H227" s="139"/>
    </row>
    <row r="228" spans="3:8" x14ac:dyDescent="0.15">
      <c r="C228" s="344"/>
      <c r="D228" s="16">
        <v>2021</v>
      </c>
      <c r="F228" s="19"/>
      <c r="G228" s="139">
        <f ca="1">SUM(Australia!J201,China!J137,Africa!J151,Europe!J241,Russia!J185,'Western United States'!J216,'Eastern United States'!J235,Canada!J177,'South Asia'!J143,'Latin America'!J142,'United Kingdom'!J204,'Pennsylvania anthracite'!J230,'France and Belgium'!J215,'Japan and South Korea'!J156)</f>
        <v>383.94721486178122</v>
      </c>
      <c r="H228" s="139"/>
    </row>
    <row r="229" spans="3:8" x14ac:dyDescent="0.15">
      <c r="C229" s="344"/>
      <c r="D229" s="16">
        <v>2022</v>
      </c>
      <c r="F229" s="19"/>
      <c r="G229" s="139">
        <f ca="1">SUM(Australia!J202,China!J138,Africa!J152,Europe!J242,Russia!J186,'Western United States'!J217,'Eastern United States'!J236,Canada!J178,'South Asia'!J144,'Latin America'!J143,'United Kingdom'!J205,'Pennsylvania anthracite'!J231,'France and Belgium'!J216,'Japan and South Korea'!J157)</f>
        <v>390.52402832288396</v>
      </c>
      <c r="H229" s="139"/>
    </row>
    <row r="230" spans="3:8" x14ac:dyDescent="0.15">
      <c r="C230" s="344"/>
      <c r="D230" s="16">
        <v>2023</v>
      </c>
      <c r="F230" s="19"/>
      <c r="G230" s="139">
        <f ca="1">SUM(Australia!J203,China!J139,Africa!J153,Europe!J243,Russia!J187,'Western United States'!J218,'Eastern United States'!J237,Canada!J179,'South Asia'!J145,'Latin America'!J144,'United Kingdom'!J206,'Pennsylvania anthracite'!J232,'France and Belgium'!J217,'Japan and South Korea'!J158)</f>
        <v>397.09425534989515</v>
      </c>
      <c r="H230" s="139"/>
    </row>
    <row r="231" spans="3:8" x14ac:dyDescent="0.15">
      <c r="C231" s="344"/>
      <c r="D231" s="16">
        <v>2024</v>
      </c>
      <c r="F231" s="19"/>
      <c r="G231" s="139">
        <f ca="1">SUM(Australia!J204,China!J140,Africa!J154,Europe!J244,Russia!J188,'Western United States'!J219,'Eastern United States'!J238,Canada!J180,'South Asia'!J146,'Latin America'!J145,'United Kingdom'!J207,'Pennsylvania anthracite'!J233,'France and Belgium'!J218,'Japan and South Korea'!J159)</f>
        <v>403.64988846358455</v>
      </c>
      <c r="H231" s="139"/>
    </row>
    <row r="232" spans="3:8" x14ac:dyDescent="0.15">
      <c r="C232" s="344"/>
      <c r="D232" s="16">
        <v>2025</v>
      </c>
      <c r="F232" s="19"/>
      <c r="G232" s="139">
        <f ca="1">SUM(Australia!J205,China!J141,Africa!J155,Europe!J245,Russia!J189,'Western United States'!J220,'Eastern United States'!J239,Canada!J181,'South Asia'!J147,'Latin America'!J146,'United Kingdom'!J208,'Pennsylvania anthracite'!J234,'France and Belgium'!J219,'Japan and South Korea'!J160)</f>
        <v>410.18303083868693</v>
      </c>
      <c r="H232" s="139"/>
    </row>
    <row r="233" spans="3:8" x14ac:dyDescent="0.15">
      <c r="C233" s="344"/>
      <c r="D233" s="16">
        <v>2026</v>
      </c>
      <c r="F233" s="19"/>
      <c r="G233" s="139">
        <f ca="1">SUM(Australia!J206,China!J142,Africa!J156,Europe!J246,Russia!J190,'Western United States'!J221,'Eastern United States'!J240,Canada!J182,'South Asia'!J148,'Latin America'!J147,'United Kingdom'!J209,'Pennsylvania anthracite'!J235,'France and Belgium'!J220,'Japan and South Korea'!J161)</f>
        <v>416.68594253539294</v>
      </c>
      <c r="H233" s="139"/>
    </row>
    <row r="234" spans="3:8" x14ac:dyDescent="0.15">
      <c r="C234" s="344"/>
      <c r="D234" s="16">
        <v>2027</v>
      </c>
      <c r="F234" s="19"/>
      <c r="G234" s="139">
        <f ca="1">SUM(Australia!J207,China!J143,Africa!J157,Europe!J247,Russia!J191,'Western United States'!J222,'Eastern United States'!J241,Canada!J183,'South Asia'!J149,'Latin America'!J148,'United Kingdom'!J210,'Pennsylvania anthracite'!J236,'France and Belgium'!J221,'Japan and South Korea'!J162)</f>
        <v>423.15108339794477</v>
      </c>
      <c r="H234" s="139"/>
    </row>
    <row r="235" spans="3:8" x14ac:dyDescent="0.15">
      <c r="C235" s="344"/>
      <c r="D235" s="16">
        <v>2028</v>
      </c>
      <c r="F235" s="19"/>
      <c r="G235" s="139">
        <f ca="1">SUM(Australia!J208,China!J144,Africa!J158,Europe!J248,Russia!J192,'Western United States'!J223,'Eastern United States'!J242,Canada!J184,'South Asia'!J150,'Latin America'!J149,'United Kingdom'!J211,'Pennsylvania anthracite'!J237,'France and Belgium'!J222,'Japan and South Korea'!J163)</f>
        <v>429.57115216357056</v>
      </c>
      <c r="H235" s="139"/>
    </row>
    <row r="236" spans="3:8" x14ac:dyDescent="0.15">
      <c r="C236" s="344"/>
      <c r="D236" s="16">
        <v>2029</v>
      </c>
      <c r="F236" s="19"/>
      <c r="G236" s="139">
        <f ca="1">SUM(Australia!J209,China!J145,Africa!J159,Europe!J249,Russia!J193,'Western United States'!J224,'Eastern United States'!J243,Canada!J185,'South Asia'!J151,'Latin America'!J150,'United Kingdom'!J212,'Pennsylvania anthracite'!J238,'France and Belgium'!J223,'Japan and South Korea'!J164)</f>
        <v>435.93912144090376</v>
      </c>
      <c r="H236" s="139"/>
    </row>
    <row r="237" spans="3:8" x14ac:dyDescent="0.15">
      <c r="C237" s="344"/>
      <c r="D237" s="16">
        <v>2030</v>
      </c>
      <c r="F237" s="19"/>
      <c r="G237" s="139">
        <f ca="1">SUM(Australia!J210,China!J146,Africa!J160,Europe!J250,Russia!J194,'Western United States'!J225,'Eastern United States'!J244,Canada!J186,'South Asia'!J152,'Latin America'!J151,'United Kingdom'!J213,'Pennsylvania anthracite'!J239,'France and Belgium'!J224,'Japan and South Korea'!J165)</f>
        <v>442.24826833334873</v>
      </c>
      <c r="H237" s="139"/>
    </row>
    <row r="238" spans="3:8" x14ac:dyDescent="0.15">
      <c r="C238" s="344"/>
      <c r="D238" s="16">
        <v>2031</v>
      </c>
      <c r="F238" s="19"/>
      <c r="G238" s="139">
        <f ca="1">SUM(Australia!J211,China!J147,Africa!J161,Europe!J251,Russia!J195,'Western United States'!J226,'Eastern United States'!J245,Canada!J187,'South Asia'!J153,'Latin America'!J152,'United Kingdom'!J214,'Pennsylvania anthracite'!J240,'France and Belgium'!J225,'Japan and South Korea'!J166)</f>
        <v>448.49220059499117</v>
      </c>
      <c r="H238" s="139"/>
    </row>
    <row r="239" spans="3:8" x14ac:dyDescent="0.15">
      <c r="D239" s="16">
        <v>2032</v>
      </c>
      <c r="F239" s="19"/>
      <c r="G239" s="139">
        <f ca="1">SUM(Australia!J212,China!J148,Africa!J162,Europe!J252,Russia!J196,'Western United States'!J227,'Eastern United States'!J246,Canada!J188,'South Asia'!J154,'Latin America'!J153,'United Kingdom'!J215,'Pennsylvania anthracite'!J241,'France and Belgium'!J226,'Japan and South Korea'!J167)</f>
        <v>454.66487831064086</v>
      </c>
      <c r="H239" s="139"/>
    </row>
    <row r="240" spans="3:8" x14ac:dyDescent="0.15">
      <c r="D240" s="16">
        <v>2033</v>
      </c>
      <c r="F240" s="19"/>
      <c r="G240" s="139">
        <f ca="1">SUM(Australia!J213,China!J149,Africa!J163,Europe!J253,Russia!J197,'Western United States'!J228,'Eastern United States'!J247,Canada!J189,'South Asia'!J155,'Latin America'!J154,'United Kingdom'!J216,'Pennsylvania anthracite'!J242,'France and Belgium'!J227,'Japan and South Korea'!J168)</f>
        <v>460.76063118431364</v>
      </c>
      <c r="H240" s="139"/>
    </row>
    <row r="241" spans="4:8" x14ac:dyDescent="0.15">
      <c r="D241" s="16">
        <v>2034</v>
      </c>
      <c r="F241" s="19"/>
      <c r="G241" s="139">
        <f ca="1">SUM(Australia!J214,China!J150,Africa!J164,Europe!J254,Russia!J198,'Western United States'!J229,'Eastern United States'!J248,Canada!J190,'South Asia'!J156,'Latin America'!J155,'United Kingdom'!J217,'Pennsylvania anthracite'!J243,'France and Belgium'!J228,'Japan and South Korea'!J169)</f>
        <v>466.77417159964995</v>
      </c>
      <c r="H241" s="139"/>
    </row>
    <row r="242" spans="4:8" x14ac:dyDescent="0.15">
      <c r="D242" s="16">
        <v>2035</v>
      </c>
      <c r="F242" s="19"/>
      <c r="G242" s="139">
        <f ca="1">SUM(Australia!J215,China!J151,Africa!J165,Europe!J255,Russia!J199,'Western United States'!J230,'Eastern United States'!J249,Canada!J191,'South Asia'!J157,'Latin America'!J156,'United Kingdom'!J218,'Pennsylvania anthracite'!J244,'France and Belgium'!J229,'Japan and South Korea'!J170)</f>
        <v>472.70060368013418</v>
      </c>
      <c r="H242" s="139"/>
    </row>
    <row r="243" spans="4:8" x14ac:dyDescent="0.15">
      <c r="D243" s="16">
        <v>2036</v>
      </c>
      <c r="F243" s="19"/>
      <c r="G243" s="139">
        <f ca="1">SUM(Australia!J216,China!J152,Africa!J166,Europe!J256,Russia!J200,'Western United States'!J231,'Eastern United States'!J250,Canada!J192,'South Asia'!J158,'Latin America'!J157,'United Kingdom'!J219,'Pennsylvania anthracite'!J245,'France and Belgium'!J230,'Japan and South Korea'!J171)</f>
        <v>478.53542862609027</v>
      </c>
      <c r="H243" s="139"/>
    </row>
    <row r="244" spans="4:8" x14ac:dyDescent="0.15">
      <c r="D244" s="16">
        <v>2037</v>
      </c>
      <c r="F244" s="19"/>
      <c r="G244" s="139">
        <f ca="1">SUM(Australia!J217,China!J153,Africa!J167,Europe!J257,Russia!J201,'Western United States'!J232,'Eastern United States'!J251,Canada!J193,'South Asia'!J159,'Latin America'!J158,'United Kingdom'!J220,'Pennsylvania anthracite'!J246,'France and Belgium'!J231,'Japan and South Korea'!J172)</f>
        <v>484.27454663965193</v>
      </c>
      <c r="H244" s="139"/>
    </row>
    <row r="245" spans="4:8" x14ac:dyDescent="0.15">
      <c r="D245" s="16">
        <v>2038</v>
      </c>
      <c r="F245" s="19"/>
      <c r="G245" s="139">
        <f ca="1">SUM(Australia!J218,China!J154,Africa!J168,Europe!J258,Russia!J202,'Western United States'!J233,'Eastern United States'!J252,Canada!J194,'South Asia'!J160,'Latin America'!J159,'United Kingdom'!J221,'Pennsylvania anthracite'!J247,'France and Belgium'!J232,'Japan and South Korea'!J173)</f>
        <v>489.9142557692486</v>
      </c>
      <c r="H245" s="139"/>
    </row>
    <row r="246" spans="4:8" x14ac:dyDescent="0.15">
      <c r="D246" s="16">
        <v>2039</v>
      </c>
      <c r="F246" s="19"/>
      <c r="G246" s="139">
        <f ca="1">SUM(Australia!J219,China!J155,Africa!J169,Europe!J259,Russia!J203,'Western United States'!J234,'Eastern United States'!J253,Canada!J195,'South Asia'!J161,'Latin America'!J160,'United Kingdom'!J222,'Pennsylvania anthracite'!J248,'France and Belgium'!J233,'Japan and South Korea'!J174)</f>
        <v>495.45124801314864</v>
      </c>
      <c r="H246" s="139"/>
    </row>
    <row r="247" spans="4:8" x14ac:dyDescent="0.15">
      <c r="D247" s="16">
        <v>2040</v>
      </c>
      <c r="F247" s="19"/>
      <c r="G247" s="139">
        <f ca="1">SUM(Australia!J220,China!J156,Africa!J170,Europe!J260,Russia!J204,'Western United States'!J235,'Eastern United States'!J254,Canada!J196,'South Asia'!J162,'Latin America'!J161,'United Kingdom'!J223,'Pennsylvania anthracite'!J249,'France and Belgium'!J234,'Japan and South Korea'!J175)</f>
        <v>500.88260301908952</v>
      </c>
      <c r="H247" s="139"/>
    </row>
    <row r="248" spans="4:8" x14ac:dyDescent="0.15">
      <c r="D248" s="16">
        <v>2041</v>
      </c>
      <c r="F248" s="19"/>
      <c r="G248" s="139">
        <f ca="1">SUM(Australia!J221,China!J157,Africa!J171,Europe!J261,Russia!J205,'Western United States'!J236,'Eastern United States'!J255,Canada!J197,'South Asia'!J163,'Latin America'!J162,'United Kingdom'!J224,'Pennsylvania anthracite'!J250,'France and Belgium'!J235,'Japan and South Korea'!J176)</f>
        <v>506.20577970602619</v>
      </c>
      <c r="H248" s="139"/>
    </row>
    <row r="249" spans="4:8" x14ac:dyDescent="0.15">
      <c r="D249" s="16">
        <v>2042</v>
      </c>
      <c r="F249" s="19"/>
      <c r="G249" s="139">
        <f ca="1">SUM(Australia!J222,China!J158,Africa!J172,Europe!J262,Russia!J206,'Western United States'!J237,'Eastern United States'!J256,Canada!J198,'South Asia'!J164,'Latin America'!J163,'United Kingdom'!J225,'Pennsylvania anthracite'!J251,'France and Belgium'!J236,'Japan and South Korea'!J177)</f>
        <v>511.41860611659826</v>
      </c>
      <c r="H249" s="139"/>
    </row>
    <row r="250" spans="4:8" x14ac:dyDescent="0.15">
      <c r="D250" s="16">
        <v>2043</v>
      </c>
      <c r="F250" s="19"/>
      <c r="G250" s="139">
        <f ca="1">SUM(Australia!J223,China!J159,Africa!J173,Europe!J263,Russia!J207,'Western United States'!J238,'Eastern United States'!J257,Canada!J199,'South Asia'!J165,'Latin America'!J164,'United Kingdom'!J226,'Pennsylvania anthracite'!J252,'France and Belgium'!J237,'Japan and South Korea'!J178)</f>
        <v>516.51926778700886</v>
      </c>
      <c r="H250" s="139"/>
    </row>
    <row r="251" spans="4:8" x14ac:dyDescent="0.15">
      <c r="D251" s="16">
        <v>2044</v>
      </c>
      <c r="F251" s="19"/>
      <c r="G251" s="139">
        <f ca="1">SUM(Australia!J224,China!J160,Africa!J174,Europe!J264,Russia!J208,'Western United States'!J239,'Eastern United States'!J258,Canada!J200,'South Asia'!J166,'Latin America'!J165,'United Kingdom'!J227,'Pennsylvania anthracite'!J253,'France and Belgium'!J238,'Japan and South Korea'!J179)</f>
        <v>521.50629489639005</v>
      </c>
      <c r="H251" s="139"/>
    </row>
    <row r="252" spans="4:8" x14ac:dyDescent="0.15">
      <c r="D252" s="16">
        <v>2045</v>
      </c>
      <c r="F252" s="19"/>
      <c r="G252" s="139">
        <f ca="1">SUM(Australia!J225,China!J161,Africa!J175,Europe!J265,Russia!J209,'Western United States'!J240,'Eastern United States'!J259,Canada!J201,'South Asia'!J167,'Latin America'!J166,'United Kingdom'!J228,'Pennsylvania anthracite'!J254,'France and Belgium'!J239,'Japan and South Korea'!J180)</f>
        <v>526.37854843193634</v>
      </c>
      <c r="H252" s="139"/>
    </row>
    <row r="253" spans="4:8" x14ac:dyDescent="0.15">
      <c r="D253" s="16">
        <v>2046</v>
      </c>
      <c r="F253" s="19"/>
      <c r="G253" s="139">
        <f ca="1">SUM(Australia!J226,China!J162,Africa!J176,Europe!J266,Russia!J210,'Western United States'!J241,'Eastern United States'!J260,Canada!J202,'South Asia'!J168,'Latin America'!J167,'United Kingdom'!J229,'Pennsylvania anthracite'!J255,'France and Belgium'!J240,'Japan and South Korea'!J181)</f>
        <v>531.13520558036805</v>
      </c>
      <c r="H253" s="139"/>
    </row>
    <row r="254" spans="4:8" x14ac:dyDescent="0.15">
      <c r="D254" s="16">
        <v>2047</v>
      </c>
      <c r="F254" s="19"/>
      <c r="G254" s="139">
        <f ca="1">SUM(Australia!J227,China!J163,Africa!J177,Europe!J267,Russia!J211,'Western United States'!J242,'Eastern United States'!J261,Canada!J203,'South Asia'!J169,'Latin America'!J168,'United Kingdom'!J230,'Pennsylvania anthracite'!J256,'France and Belgium'!J241,'Japan and South Korea'!J182)</f>
        <v>535.7757445315865</v>
      </c>
      <c r="H254" s="139"/>
    </row>
    <row r="255" spans="4:8" x14ac:dyDescent="0.15">
      <c r="D255" s="16">
        <v>2048</v>
      </c>
      <c r="F255" s="19"/>
      <c r="G255" s="139">
        <f ca="1">SUM(Australia!J228,China!J164,Africa!J178,Europe!J268,Russia!J212,'Western United States'!J243,'Eastern United States'!J262,Canada!J204,'South Asia'!J170,'Latin America'!J169,'United Kingdom'!J231,'Pennsylvania anthracite'!J257,'France and Belgium'!J242,'Japan and South Korea'!J183)</f>
        <v>540.29992885739159</v>
      </c>
      <c r="H255" s="139"/>
    </row>
    <row r="256" spans="4:8" x14ac:dyDescent="0.15">
      <c r="D256" s="16">
        <v>2049</v>
      </c>
      <c r="F256" s="19"/>
      <c r="G256" s="139">
        <f ca="1">SUM(Australia!J229,China!J165,Africa!J179,Europe!J269,Russia!J213,'Western United States'!J244,'Eastern United States'!J263,Canada!J205,'South Asia'!J171,'Latin America'!J170,'United Kingdom'!J232,'Pennsylvania anthracite'!J258,'France and Belgium'!J243,'Japan and South Korea'!J184)</f>
        <v>544.70779160727307</v>
      </c>
      <c r="H256" s="139"/>
    </row>
    <row r="257" spans="4:8" x14ac:dyDescent="0.15">
      <c r="D257" s="16">
        <v>2050</v>
      </c>
      <c r="F257" s="19"/>
      <c r="G257" s="139">
        <f ca="1">SUM(Australia!J230,China!J166,Africa!J180,Europe!J270,Russia!J214,'Western United States'!J245,'Eastern United States'!J264,Canada!J206,'South Asia'!J172,'Latin America'!J171,'United Kingdom'!J233,'Pennsylvania anthracite'!J259,'France and Belgium'!J244,'Japan and South Korea'!J185)</f>
        <v>548.99961924476258</v>
      </c>
      <c r="H257" s="139"/>
    </row>
    <row r="258" spans="4:8" x14ac:dyDescent="0.15">
      <c r="D258" s="16">
        <v>2051</v>
      </c>
      <c r="F258" s="19"/>
      <c r="G258" s="139">
        <f ca="1">SUM(Australia!J231,China!J167,Africa!J181,Europe!J271,Russia!J215,'Western United States'!J246,'Eastern United States'!J265,Canada!J207,'South Asia'!J173,'Latin America'!J172,'United Kingdom'!J234,'Pennsylvania anthracite'!J260,'France and Belgium'!J245,'Japan and South Korea'!J186)</f>
        <v>553.17593553167103</v>
      </c>
      <c r="H258" s="139"/>
    </row>
    <row r="259" spans="4:8" x14ac:dyDescent="0.15">
      <c r="D259" s="16">
        <v>2052</v>
      </c>
      <c r="F259" s="19"/>
      <c r="G259" s="139">
        <f ca="1">SUM(Australia!J232,China!J168,Africa!J182,Europe!J272,Russia!J216,'Western United States'!J247,'Eastern United States'!J266,Canada!J208,'South Asia'!J174,'Latin America'!J173,'United Kingdom'!J235,'Pennsylvania anthracite'!J261,'France and Belgium'!J246,'Japan and South Korea'!J187)</f>
        <v>557.23748545366266</v>
      </c>
      <c r="H259" s="139"/>
    </row>
    <row r="260" spans="4:8" x14ac:dyDescent="0.15">
      <c r="D260" s="16">
        <v>2053</v>
      </c>
      <c r="F260" s="19"/>
      <c r="G260" s="139">
        <f ca="1">SUM(Australia!J233,China!J169,Africa!J183,Europe!J273,Russia!J217,'Western United States'!J248,'Eastern United States'!J267,Canada!J209,'South Asia'!J175,'Latin America'!J174,'United Kingdom'!J236,'Pennsylvania anthracite'!J262,'France and Belgium'!J247,'Japan and South Korea'!J188)</f>
        <v>561.18521926878566</v>
      </c>
      <c r="H260" s="139"/>
    </row>
    <row r="261" spans="4:8" x14ac:dyDescent="0.15">
      <c r="D261" s="16">
        <v>2054</v>
      </c>
      <c r="F261" s="19"/>
      <c r="G261" s="139">
        <f ca="1">SUM(Australia!J234,China!J170,Africa!J184,Europe!J274,Russia!J218,'Western United States'!J249,'Eastern United States'!J268,Canada!J210,'South Asia'!J176,'Latin America'!J175,'United Kingdom'!J237,'Pennsylvania anthracite'!J263,'France and Belgium'!J248,'Japan and South Korea'!J189)</f>
        <v>565.02027675059037</v>
      </c>
      <c r="H261" s="139"/>
    </row>
    <row r="262" spans="4:8" x14ac:dyDescent="0.15">
      <c r="D262" s="16">
        <v>2055</v>
      </c>
      <c r="F262" s="19"/>
      <c r="G262" s="139">
        <f ca="1">SUM(Australia!J235,China!J171,Africa!J185,Europe!J275,Russia!J219,'Western United States'!J250,'Eastern United States'!J269,Canada!J211,'South Asia'!J177,'Latin America'!J176,'United Kingdom'!J238,'Pennsylvania anthracite'!J264,'France and Belgium'!J249,'Japan and South Korea'!J190)</f>
        <v>568.74397168900452</v>
      </c>
      <c r="H262" s="139"/>
    </row>
    <row r="263" spans="4:8" x14ac:dyDescent="0.15">
      <c r="D263" s="16">
        <v>2056</v>
      </c>
      <c r="F263" s="19"/>
      <c r="G263" s="139">
        <f ca="1">SUM(Australia!J236,China!J172,Africa!J186,Europe!J276,Russia!J220,'Western United States'!J251,'Eastern United States'!J270,Canada!J212,'South Asia'!J178,'Latin America'!J177,'United Kingdom'!J239,'Pennsylvania anthracite'!J265,'France and Belgium'!J250,'Japan and South Korea'!J191)</f>
        <v>572.35777670493064</v>
      </c>
      <c r="H263" s="139"/>
    </row>
    <row r="264" spans="4:8" x14ac:dyDescent="0.15">
      <c r="D264" s="16">
        <v>2057</v>
      </c>
      <c r="F264" s="19"/>
      <c r="G264" s="139">
        <f ca="1">SUM(Australia!J237,China!J173,Africa!J187,Europe!J277,Russia!J221,'Western United States'!J252,'Eastern United States'!J271,Canada!J213,'South Asia'!J179,'Latin America'!J178,'United Kingdom'!J240,'Pennsylvania anthracite'!J266,'France and Belgium'!J251,'Japan and South Korea'!J192)</f>
        <v>575.86330842832376</v>
      </c>
      <c r="H264" s="139"/>
    </row>
    <row r="265" spans="4:8" x14ac:dyDescent="0.15">
      <c r="D265" s="16">
        <v>2058</v>
      </c>
      <c r="F265" s="19"/>
      <c r="G265" s="139">
        <f ca="1">SUM(Australia!J238,China!J174,Africa!J188,Europe!J278,Russia!J222,'Western United States'!J253,'Eastern United States'!J272,Canada!J214,'South Asia'!J180,'Latin America'!J179,'United Kingdom'!J241,'Pennsylvania anthracite'!J267,'France and Belgium'!J252,'Japan and South Korea'!J193)</f>
        <v>579.26231308403533</v>
      </c>
      <c r="H265" s="139"/>
    </row>
    <row r="266" spans="4:8" x14ac:dyDescent="0.15">
      <c r="D266" s="16">
        <v>2059</v>
      </c>
      <c r="F266" s="19"/>
      <c r="G266" s="139">
        <f ca="1">SUM(Australia!J239,China!J175,Africa!J189,Europe!J279,Russia!J223,'Western United States'!J254,'Eastern United States'!J273,Canada!J215,'South Asia'!J181,'Latin America'!J180,'United Kingdom'!J242,'Pennsylvania anthracite'!J268,'France and Belgium'!J253,'Japan and South Korea'!J194)</f>
        <v>582.55665252480117</v>
      </c>
      <c r="H266" s="139"/>
    </row>
    <row r="267" spans="4:8" x14ac:dyDescent="0.15">
      <c r="D267" s="16">
        <v>2060</v>
      </c>
      <c r="F267" s="19"/>
      <c r="G267" s="139">
        <f ca="1">SUM(Australia!J240,China!J176,Africa!J190,Europe!J280,Russia!J224,'Western United States'!J255,'Eastern United States'!J274,Canada!J216,'South Asia'!J182,'Latin America'!J181,'United Kingdom'!J243,'Pennsylvania anthracite'!J269,'France and Belgium'!J254,'Japan and South Korea'!J195)</f>
        <v>585.74829074620379</v>
      </c>
      <c r="H267" s="139"/>
    </row>
    <row r="268" spans="4:8" x14ac:dyDescent="0.15">
      <c r="D268" s="16">
        <v>2061</v>
      </c>
      <c r="F268" s="19"/>
      <c r="G268" s="139">
        <f ca="1">SUM(Australia!J241,China!J177,Africa!J191,Europe!J281,Russia!J225,'Western United States'!J256,'Eastern United States'!J275,Canada!J217,'South Asia'!J183,'Latin America'!J182,'United Kingdom'!J244,'Pennsylvania anthracite'!J270,'France and Belgium'!J255,'Japan and South Korea'!J196)</f>
        <v>588.83928091415135</v>
      </c>
      <c r="H268" s="139"/>
    </row>
    <row r="269" spans="4:8" x14ac:dyDescent="0.15">
      <c r="D269" s="16">
        <v>2062</v>
      </c>
      <c r="F269" s="19"/>
      <c r="G269" s="139">
        <f ca="1">SUM(Australia!J242,China!J178,Africa!J192,Europe!J282,Russia!J226,'Western United States'!J257,'Eastern United States'!J276,Canada!J218,'South Asia'!J184,'Latin America'!J183,'United Kingdom'!J245,'Pennsylvania anthracite'!J271,'France and Belgium'!J256,'Japan and South Korea'!J197)</f>
        <v>591.83175293128079</v>
      </c>
      <c r="H269" s="139"/>
    </row>
    <row r="270" spans="4:8" x14ac:dyDescent="0.15">
      <c r="D270" s="16">
        <v>2063</v>
      </c>
      <c r="F270" s="19"/>
      <c r="G270" s="139">
        <f ca="1">SUM(Australia!J243,China!J179,Africa!J193,Europe!J283,Russia!J227,'Western United States'!J258,'Eastern United States'!J277,Canada!J219,'South Asia'!J185,'Latin America'!J184,'United Kingdom'!J246,'Pennsylvania anthracite'!J272,'France and Belgium'!J257,'Japan and South Korea'!J198)</f>
        <v>594.72790156464248</v>
      </c>
      <c r="H270" s="139"/>
    </row>
    <row r="271" spans="4:8" x14ac:dyDescent="0.15">
      <c r="D271" s="16">
        <v>2064</v>
      </c>
      <c r="F271" s="19"/>
      <c r="G271" s="139">
        <f ca="1">SUM(Australia!J244,China!J180,Africa!J194,Europe!J284,Russia!J228,'Western United States'!J259,'Eastern United States'!J278,Canada!J220,'South Asia'!J186,'Latin America'!J185,'United Kingdom'!J247,'Pennsylvania anthracite'!J273,'France and Belgium'!J258,'Japan and South Korea'!J199)</f>
        <v>597.52997515304583</v>
      </c>
      <c r="H271" s="139"/>
    </row>
    <row r="272" spans="4:8" x14ac:dyDescent="0.15">
      <c r="D272" s="16">
        <v>2065</v>
      </c>
      <c r="F272" s="19"/>
      <c r="G272" s="139">
        <f ca="1">SUM(Australia!J245,China!J181,Africa!J195,Europe!J285,Russia!J229,'Western United States'!J260,'Eastern United States'!J279,Canada!J221,'South Asia'!J187,'Latin America'!J186,'United Kingdom'!J248,'Pennsylvania anthracite'!J274,'France and Belgium'!J259,'Japan and South Korea'!J200)</f>
        <v>600.24026490848826</v>
      </c>
      <c r="H272" s="139"/>
    </row>
    <row r="273" spans="4:8" x14ac:dyDescent="0.15">
      <c r="D273" s="16">
        <v>2066</v>
      </c>
      <c r="F273" s="19"/>
      <c r="G273" s="139">
        <f ca="1">SUM(Australia!J246,China!J182,Africa!J196,Europe!J286,Russia!J230,'Western United States'!J261,'Eastern United States'!J280,Canada!J222,'South Asia'!J188,'Latin America'!J187,'United Kingdom'!J249,'Pennsylvania anthracite'!J275,'France and Belgium'!J260,'Japan and South Korea'!J201)</f>
        <v>602.86109482220593</v>
      </c>
      <c r="H273" s="139"/>
    </row>
    <row r="274" spans="4:8" x14ac:dyDescent="0.15">
      <c r="D274" s="16">
        <v>2067</v>
      </c>
      <c r="F274" s="19"/>
      <c r="G274" s="139">
        <f ca="1">SUM(Australia!J247,China!J183,Africa!J197,Europe!J287,Russia!J231,'Western United States'!J262,'Eastern United States'!J281,Canada!J223,'South Asia'!J189,'Latin America'!J188,'United Kingdom'!J250,'Pennsylvania anthracite'!J276,'France and Belgium'!J261,'Japan and South Korea'!J202)</f>
        <v>605.39481218204332</v>
      </c>
      <c r="H274" s="139"/>
    </row>
    <row r="275" spans="4:8" x14ac:dyDescent="0.15">
      <c r="D275" s="16">
        <v>2068</v>
      </c>
      <c r="F275" s="19"/>
      <c r="G275" s="139">
        <f ca="1">SUM(Australia!J248,China!J184,Africa!J198,Europe!J288,Russia!J232,'Western United States'!J263,'Eastern United States'!J282,Canada!J224,'South Asia'!J190,'Latin America'!J189,'United Kingdom'!J251,'Pennsylvania anthracite'!J277,'France and Belgium'!J262,'Japan and South Korea'!J203)</f>
        <v>607.84377870409389</v>
      </c>
      <c r="H275" s="139"/>
    </row>
    <row r="276" spans="4:8" x14ac:dyDescent="0.15">
      <c r="D276" s="16">
        <v>2069</v>
      </c>
      <c r="F276" s="19"/>
      <c r="G276" s="139">
        <f ca="1">SUM(Australia!J249,China!J185,Africa!J199,Europe!J289,Russia!J233,'Western United States'!J264,'Eastern United States'!J283,Canada!J225,'South Asia'!J191,'Latin America'!J190,'United Kingdom'!J252,'Pennsylvania anthracite'!J278,'France and Belgium'!J263,'Japan and South Korea'!J204)</f>
        <v>610.21036227793934</v>
      </c>
      <c r="H276" s="139"/>
    </row>
    <row r="277" spans="4:8" x14ac:dyDescent="0.15">
      <c r="D277" s="16">
        <v>2070</v>
      </c>
      <c r="F277" s="19"/>
      <c r="G277" s="139">
        <f ca="1">SUM(Australia!J250,China!J186,Africa!J200,Europe!J290,Russia!J234,'Western United States'!J265,'Eastern United States'!J284,Canada!J226,'South Asia'!J192,'Latin America'!J191,'United Kingdom'!J253,'Pennsylvania anthracite'!J279,'France and Belgium'!J264,'Japan and South Korea'!J205)</f>
        <v>612.49692932133621</v>
      </c>
      <c r="H277" s="139"/>
    </row>
    <row r="278" spans="4:8" x14ac:dyDescent="0.15">
      <c r="D278" s="16">
        <v>2071</v>
      </c>
      <c r="F278" s="19"/>
      <c r="G278" s="139">
        <f ca="1">SUM(Australia!J251,China!J187,Africa!J201,Europe!J291,Russia!J235,'Western United States'!J266,'Eastern United States'!J285,Canada!J227,'South Asia'!J193,'Latin America'!J192,'United Kingdom'!J254,'Pennsylvania anthracite'!J280,'France and Belgium'!J265,'Japan and South Korea'!J206)</f>
        <v>614.70583773690487</v>
      </c>
      <c r="H278" s="139"/>
    </row>
    <row r="279" spans="4:8" x14ac:dyDescent="0.15">
      <c r="D279" s="16">
        <v>2072</v>
      </c>
      <c r="F279" s="19"/>
      <c r="G279" s="139">
        <f ca="1">SUM(Australia!J252,China!J188,Africa!J202,Europe!J292,Russia!J236,'Western United States'!J267,'Eastern United States'!J286,Canada!J228,'South Asia'!J194,'Latin America'!J193,'United Kingdom'!J255,'Pennsylvania anthracite'!J281,'France and Belgium'!J266,'Japan and South Korea'!J207)</f>
        <v>616.83943046029003</v>
      </c>
      <c r="H279" s="139"/>
    </row>
    <row r="280" spans="4:8" x14ac:dyDescent="0.15">
      <c r="D280" s="16">
        <v>2073</v>
      </c>
      <c r="F280" s="19"/>
      <c r="G280" s="139">
        <f ca="1">SUM(Australia!J253,China!J189,Africa!J203,Europe!J293,Russia!J237,'Western United States'!J268,'Eastern United States'!J287,Canada!J229,'South Asia'!J195,'Latin America'!J194,'United Kingdom'!J256,'Pennsylvania anthracite'!J282,'France and Belgium'!J267,'Japan and South Korea'!J208)</f>
        <v>618.90002958642606</v>
      </c>
      <c r="H280" s="139"/>
    </row>
    <row r="281" spans="4:8" x14ac:dyDescent="0.15">
      <c r="D281" s="16">
        <v>2074</v>
      </c>
      <c r="F281" s="19"/>
      <c r="G281" s="139">
        <f ca="1">SUM(Australia!J254,China!J190,Africa!J204,Europe!J294,Russia!J238,'Western United States'!J269,'Eastern United States'!J288,Canada!J230,'South Asia'!J196,'Latin America'!J195,'United Kingdom'!J257,'Pennsylvania anthracite'!J283,'France and Belgium'!J268,'Japan and South Korea'!J209)</f>
        <v>620.88993105794464</v>
      </c>
      <c r="H281" s="139"/>
    </row>
    <row r="282" spans="4:8" x14ac:dyDescent="0.15">
      <c r="D282" s="16">
        <v>2075</v>
      </c>
      <c r="F282" s="19"/>
      <c r="G282" s="139">
        <f ca="1">SUM(Australia!J255,China!J191,Africa!J205,Europe!J295,Russia!J239,'Western United States'!J270,'Eastern United States'!J289,Canada!J231,'South Asia'!J197,'Latin America'!J196,'United Kingdom'!J258,'Pennsylvania anthracite'!J284,'France and Belgium'!J269,'Japan and South Korea'!J210)</f>
        <v>622.81139989746634</v>
      </c>
      <c r="H282" s="139"/>
    </row>
    <row r="283" spans="4:8" x14ac:dyDescent="0.15">
      <c r="D283" s="16">
        <v>2076</v>
      </c>
      <c r="F283" s="19"/>
      <c r="G283" s="139">
        <f ca="1">SUM(Australia!J256,China!J192,Africa!J206,Europe!J296,Russia!J240,'Western United States'!J271,'Eastern United States'!J290,Canada!J232,'South Asia'!J198,'Latin America'!J197,'United Kingdom'!J259,'Pennsylvania anthracite'!J285,'France and Belgium'!J270,'Japan and South Korea'!J211)</f>
        <v>624.66666596350206</v>
      </c>
      <c r="H283" s="139"/>
    </row>
    <row r="284" spans="4:8" x14ac:dyDescent="0.15">
      <c r="D284" s="16">
        <v>2077</v>
      </c>
      <c r="F284" s="19"/>
      <c r="G284" s="139">
        <f ca="1">SUM(Australia!J257,China!J193,Africa!J207,Europe!J297,Russia!J241,'Western United States'!J272,'Eastern United States'!J291,Canada!J233,'South Asia'!J199,'Latin America'!J198,'United Kingdom'!J260,'Pennsylvania anthracite'!J286,'France and Belgium'!J271,'Japan and South Korea'!J212)</f>
        <v>626.45792020796137</v>
      </c>
      <c r="H284" s="139"/>
    </row>
    <row r="285" spans="4:8" x14ac:dyDescent="0.15">
      <c r="D285" s="16">
        <v>2078</v>
      </c>
      <c r="F285" s="19"/>
      <c r="G285" s="139">
        <f ca="1">SUM(Australia!J258,China!J194,Africa!J208,Europe!J298,Russia!J242,'Western United States'!J273,'Eastern United States'!J292,Canada!J234,'South Asia'!J200,'Latin America'!J199,'United Kingdom'!J261,'Pennsylvania anthracite'!J287,'France and Belgium'!J272,'Japan and South Korea'!J213)</f>
        <v>628.18731141185401</v>
      </c>
      <c r="H285" s="139"/>
    </row>
    <row r="286" spans="4:8" x14ac:dyDescent="0.15">
      <c r="D286" s="16">
        <v>2079</v>
      </c>
      <c r="F286" s="19"/>
      <c r="G286" s="139">
        <f ca="1">SUM(Australia!J259,China!J195,Africa!J209,Europe!J299,Russia!J243,'Western United States'!J274,'Eastern United States'!J293,Canada!J235,'South Asia'!J201,'Latin America'!J200,'United Kingdom'!J262,'Pennsylvania anthracite'!J288,'France and Belgium'!J273,'Japan and South Korea'!J214)</f>
        <v>629.85694337463963</v>
      </c>
      <c r="H286" s="139"/>
    </row>
    <row r="287" spans="4:8" x14ac:dyDescent="0.15">
      <c r="D287" s="16">
        <v>2080</v>
      </c>
      <c r="F287" s="19"/>
      <c r="G287" s="139">
        <f ca="1">SUM(Australia!J260,China!J196,Africa!J210,Europe!J300,Russia!J244,'Western United States'!J275,'Eastern United States'!J294,Canada!J236,'South Asia'!J202,'Latin America'!J201,'United Kingdom'!J263,'Pennsylvania anthracite'!J289,'France and Belgium'!J274,'Japan and South Korea'!J215)</f>
        <v>631.46887253183615</v>
      </c>
      <c r="H287" s="139"/>
    </row>
    <row r="288" spans="4:8" x14ac:dyDescent="0.15">
      <c r="D288" s="16">
        <v>2081</v>
      </c>
      <c r="F288" s="19"/>
      <c r="G288" s="139">
        <f ca="1">SUM(Australia!J261,China!J197,Africa!J211,Europe!J301,Russia!J245,'Western United States'!J276,'Eastern United States'!J295,Canada!J237,'South Asia'!J203,'Latin America'!J202,'United Kingdom'!J264,'Pennsylvania anthracite'!J290,'France and Belgium'!J275,'Japan and South Korea'!J216)</f>
        <v>633.02510597493949</v>
      </c>
      <c r="H288" s="139"/>
    </row>
    <row r="289" spans="4:8" x14ac:dyDescent="0.15">
      <c r="D289" s="16">
        <v>2082</v>
      </c>
      <c r="F289" s="19"/>
      <c r="G289" s="139">
        <f ca="1">SUM(Australia!J262,China!J198,Africa!J212,Europe!J302,Russia!J246,'Western United States'!J277,'Eastern United States'!J296,Canada!J238,'South Asia'!J204,'Latin America'!J203,'United Kingdom'!J265,'Pennsylvania anthracite'!J291,'France and Belgium'!J276,'Japan and South Korea'!J217)</f>
        <v>634.52759984739373</v>
      </c>
      <c r="H289" s="139"/>
    </row>
    <row r="290" spans="4:8" x14ac:dyDescent="0.15">
      <c r="D290" s="16">
        <v>2083</v>
      </c>
      <c r="F290" s="19"/>
      <c r="G290" s="139">
        <f ca="1">SUM(Australia!J263,China!J199,Africa!J213,Europe!J303,Russia!J247,'Western United States'!J278,'Eastern United States'!J297,Canada!J239,'South Asia'!J205,'Latin America'!J204,'United Kingdom'!J266,'Pennsylvania anthracite'!J292,'France and Belgium'!J277,'Japan and South Korea'!J218)</f>
        <v>635.97825809029371</v>
      </c>
      <c r="H290" s="139"/>
    </row>
    <row r="291" spans="4:8" x14ac:dyDescent="0.15">
      <c r="D291" s="16">
        <v>2084</v>
      </c>
      <c r="F291" s="19"/>
      <c r="G291" s="139">
        <f ca="1">SUM(Australia!J264,China!J200,Africa!J214,Europe!J304,Russia!J248,'Western United States'!J279,'Eastern United States'!J298,Canada!J240,'South Asia'!J206,'Latin America'!J205,'United Kingdom'!J267,'Pennsylvania anthracite'!J293,'France and Belgium'!J278,'Japan and South Korea'!J219)</f>
        <v>637.37893151165554</v>
      </c>
      <c r="H291" s="139"/>
    </row>
    <row r="292" spans="4:8" x14ac:dyDescent="0.15">
      <c r="D292" s="16">
        <v>2085</v>
      </c>
      <c r="F292" s="19"/>
      <c r="G292" s="139">
        <f ca="1">SUM(Australia!J265,China!J201,Africa!J215,Europe!J305,Russia!J249,'Western United States'!J280,'Eastern United States'!J299,Canada!J241,'South Asia'!J207,'Latin America'!J206,'United Kingdom'!J268,'Pennsylvania anthracite'!J294,'France and Belgium'!J279,'Japan and South Korea'!J220)</f>
        <v>638.73141715345287</v>
      </c>
      <c r="H292" s="139"/>
    </row>
    <row r="293" spans="4:8" x14ac:dyDescent="0.15">
      <c r="D293" s="16">
        <v>2086</v>
      </c>
      <c r="F293" s="19"/>
      <c r="G293" s="139">
        <f ca="1">SUM(Australia!J266,China!J202,Africa!J216,Europe!J306,Russia!J250,'Western United States'!J281,'Eastern United States'!J300,Canada!J242,'South Asia'!J208,'Latin America'!J207,'United Kingdom'!J269,'Pennsylvania anthracite'!J295,'France and Belgium'!J280,'Japan and South Korea'!J221)</f>
        <v>640.03745793115274</v>
      </c>
      <c r="H293" s="139"/>
    </row>
    <row r="294" spans="4:8" x14ac:dyDescent="0.15">
      <c r="D294" s="16">
        <v>2087</v>
      </c>
      <c r="F294" s="19"/>
      <c r="G294" s="139">
        <f ca="1">SUM(Australia!J267,China!J203,Africa!J217,Europe!J307,Russia!J251,'Western United States'!J282,'Eastern United States'!J301,Canada!J243,'South Asia'!J209,'Latin America'!J208,'United Kingdom'!J270,'Pennsylvania anthracite'!J296,'France and Belgium'!J281,'Japan and South Korea'!J222)</f>
        <v>641.29874252117918</v>
      </c>
      <c r="H294" s="139"/>
    </row>
    <row r="295" spans="4:8" x14ac:dyDescent="0.15">
      <c r="D295" s="16">
        <v>2088</v>
      </c>
      <c r="F295" s="19"/>
      <c r="G295" s="139">
        <f ca="1">SUM(Australia!J268,China!J204,Africa!J218,Europe!J308,Russia!J252,'Western United States'!J283,'Eastern United States'!J302,Canada!J244,'South Asia'!J210,'Latin America'!J209,'United Kingdom'!J271,'Pennsylvania anthracite'!J297,'France and Belgium'!J282,'Japan and South Korea'!J223)</f>
        <v>642.51690547256192</v>
      </c>
      <c r="H295" s="139"/>
    </row>
    <row r="296" spans="4:8" x14ac:dyDescent="0.15">
      <c r="D296" s="16">
        <v>2089</v>
      </c>
      <c r="F296" s="19"/>
      <c r="G296" s="139">
        <f ca="1">SUM(Australia!J269,China!J205,Africa!J219,Europe!J309,Russia!J253,'Western United States'!J284,'Eastern United States'!J303,Canada!J245,'South Asia'!J211,'Latin America'!J210,'United Kingdom'!J272,'Pennsylvania anthracite'!J298,'France and Belgium'!J283,'Japan and South Korea'!J224)</f>
        <v>643.69352751995939</v>
      </c>
      <c r="H296" s="139"/>
    </row>
    <row r="297" spans="4:8" x14ac:dyDescent="0.15">
      <c r="D297" s="16">
        <v>2090</v>
      </c>
      <c r="F297" s="19"/>
      <c r="G297" s="139">
        <f ca="1">SUM(Australia!J270,China!J206,Africa!J220,Europe!J310,Russia!J254,'Western United States'!J285,'Eastern United States'!J304,Canada!J246,'South Asia'!J212,'Latin America'!J211,'United Kingdom'!J273,'Pennsylvania anthracite'!J299,'France and Belgium'!J284,'Japan and South Korea'!J225)</f>
        <v>644.83013607628027</v>
      </c>
      <c r="H297" s="139"/>
    </row>
    <row r="298" spans="4:8" x14ac:dyDescent="0.15">
      <c r="D298" s="16">
        <v>2091</v>
      </c>
      <c r="F298" s="19"/>
      <c r="G298" s="139">
        <f ca="1">SUM(Australia!J271,China!J207,Africa!J221,Europe!J311,Russia!J255,'Western United States'!J286,'Eastern United States'!J305,Canada!J247,'South Asia'!J213,'Latin America'!J212,'United Kingdom'!J274,'Pennsylvania anthracite'!J300,'France and Belgium'!J285,'Japan and South Korea'!J226)</f>
        <v>645.92820588422171</v>
      </c>
      <c r="H298" s="139"/>
    </row>
    <row r="299" spans="4:8" x14ac:dyDescent="0.15">
      <c r="D299" s="16">
        <v>2092</v>
      </c>
      <c r="F299" s="19"/>
      <c r="G299" s="139">
        <f ca="1">SUM(Australia!J272,China!J208,Africa!J222,Europe!J312,Russia!J256,'Western United States'!J287,'Eastern United States'!J306,Canada!J248,'South Asia'!J214,'Latin America'!J213,'United Kingdom'!J275,'Pennsylvania anthracite'!J301,'France and Belgium'!J286,'Japan and South Korea'!J227)</f>
        <v>646.98915980718243</v>
      </c>
      <c r="H299" s="139"/>
    </row>
    <row r="300" spans="4:8" x14ac:dyDescent="0.15">
      <c r="D300" s="16">
        <v>2093</v>
      </c>
      <c r="F300" s="19"/>
      <c r="G300" s="139">
        <f ca="1">SUM(Australia!J273,China!J209,Africa!J223,Europe!J313,Russia!J257,'Western United States'!J288,'Eastern United States'!J307,Canada!J249,'South Asia'!J215,'Latin America'!J214,'United Kingdom'!J276,'Pennsylvania anthracite'!J302,'France and Belgium'!J287,'Japan and South Korea'!J228)</f>
        <v>648.0143697412085</v>
      </c>
      <c r="H300" s="139"/>
    </row>
    <row r="301" spans="4:8" x14ac:dyDescent="0.15">
      <c r="D301" s="16">
        <v>2094</v>
      </c>
      <c r="F301" s="18"/>
      <c r="G301" s="139">
        <f ca="1">SUM(Australia!J274,China!J210,Africa!J224,Europe!J314,Russia!J258,'Western United States'!J289,'Eastern United States'!J308,Canada!J250,'South Asia'!J216,'Latin America'!J215,'United Kingdom'!J277,'Pennsylvania anthracite'!J303,'France and Belgium'!J288,'Japan and South Korea'!J229)</f>
        <v>649.00515763080455</v>
      </c>
      <c r="H301" s="139"/>
    </row>
    <row r="302" spans="4:8" x14ac:dyDescent="0.15">
      <c r="D302" s="16">
        <v>2095</v>
      </c>
      <c r="F302" s="18"/>
      <c r="G302" s="139">
        <f ca="1">SUM(Australia!J275,China!J211,Africa!J225,Europe!J315,Russia!J259,'Western United States'!J290,'Eastern United States'!J309,Canada!J251,'South Asia'!J217,'Latin America'!J216,'United Kingdom'!J278,'Pennsylvania anthracite'!J304,'France and Belgium'!J289,'Japan and South Korea'!J230)</f>
        <v>649.96279657266371</v>
      </c>
      <c r="H302" s="139"/>
    </row>
    <row r="303" spans="4:8" x14ac:dyDescent="0.15">
      <c r="D303" s="16">
        <v>2096</v>
      </c>
      <c r="F303" s="18"/>
      <c r="G303" s="139">
        <f ca="1">SUM(Australia!J276,China!J212,Africa!J226,Europe!J316,Russia!J260,'Western United States'!J291,'Eastern United States'!J310,Canada!J252,'South Asia'!J218,'Latin America'!J217,'United Kingdom'!J279,'Pennsylvania anthracite'!J305,'France and Belgium'!J290,'Japan and South Korea'!J231)</f>
        <v>650.88851199254725</v>
      </c>
      <c r="H303" s="139"/>
    </row>
    <row r="304" spans="4:8" x14ac:dyDescent="0.15">
      <c r="D304" s="16">
        <v>2097</v>
      </c>
      <c r="F304" s="18"/>
      <c r="G304" s="139">
        <f ca="1">SUM(Australia!J277,China!J213,Africa!J227,Europe!J317,Russia!J261,'Western United States'!J292,'Eastern United States'!J311,Canada!J253,'South Asia'!J219,'Latin America'!J218,'United Kingdom'!J280,'Pennsylvania anthracite'!J306,'France and Belgium'!J291,'Japan and South Korea'!J232)</f>
        <v>651.78348288173129</v>
      </c>
      <c r="H304" s="139"/>
    </row>
    <row r="305" spans="4:8" x14ac:dyDescent="0.15">
      <c r="D305" s="16">
        <v>2098</v>
      </c>
      <c r="F305" s="18"/>
      <c r="G305" s="139">
        <f ca="1">SUM(Australia!J278,China!J214,Africa!J228,Europe!J318,Russia!J262,'Western United States'!J293,'Eastern United States'!J312,Canada!J254,'South Asia'!J220,'Latin America'!J219,'United Kingdom'!J281,'Pennsylvania anthracite'!J307,'France and Belgium'!J292,'Japan and South Korea'!J233)</f>
        <v>652.64884308056628</v>
      </c>
      <c r="H305" s="139"/>
    </row>
    <row r="306" spans="4:8" x14ac:dyDescent="0.15">
      <c r="D306" s="16">
        <v>2099</v>
      </c>
      <c r="F306" s="18"/>
      <c r="G306" s="139">
        <f ca="1">SUM(Australia!J279,China!J215,Africa!J229,Europe!J319,Russia!J263,'Western United States'!J294,'Eastern United States'!J313,Canada!J255,'South Asia'!J221,'Latin America'!J220,'United Kingdom'!J282,'Pennsylvania anthracite'!J308,'France and Belgium'!J293,'Japan and South Korea'!J234)</f>
        <v>653.48568259781212</v>
      </c>
      <c r="H306" s="139"/>
    </row>
    <row r="307" spans="4:8" x14ac:dyDescent="0.15">
      <c r="D307" s="16">
        <v>2100</v>
      </c>
      <c r="F307" s="18"/>
      <c r="G307" s="139">
        <f ca="1">SUM(Australia!J280,China!J216,Africa!J230,Europe!J320,Russia!J264,'Western United States'!J295,'Eastern United States'!J314,Canada!J256,'South Asia'!J222,'Latin America'!J221,'United Kingdom'!J283,'Pennsylvania anthracite'!J309,'France and Belgium'!J294,'Japan and South Korea'!J235)</f>
        <v>654.29504895547063</v>
      </c>
      <c r="H307" s="139"/>
    </row>
    <row r="308" spans="4:8" x14ac:dyDescent="0.15">
      <c r="D308" s="16">
        <v>2101</v>
      </c>
      <c r="F308" s="18"/>
      <c r="G308" s="139">
        <f ca="1">SUM(Australia!J281,China!J217,Africa!J231,Europe!J321,Russia!J265,'Western United States'!J296,'Eastern United States'!J315,Canada!J257,'South Asia'!J223,'Latin America'!J222,'United Kingdom'!J284,'Pennsylvania anthracite'!J310,'France and Belgium'!J295,'Japan and South Korea'!J236)</f>
        <v>655.07794854985241</v>
      </c>
      <c r="H308" s="139"/>
    </row>
    <row r="309" spans="4:8" x14ac:dyDescent="0.15">
      <c r="D309" s="16">
        <v>2102</v>
      </c>
      <c r="F309" s="18"/>
      <c r="G309" s="139">
        <f ca="1">SUM(Australia!J282,China!J218,Africa!J232,Europe!J322,Russia!J266,'Western United States'!J297,'Eastern United States'!J316,Canada!J258,'South Asia'!J224,'Latin America'!J223,'United Kingdom'!J285,'Pennsylvania anthracite'!J311,'France and Belgium'!J296,'Japan and South Korea'!J237)</f>
        <v>655.83534802058125</v>
      </c>
      <c r="H309" s="139"/>
    </row>
    <row r="310" spans="4:8" x14ac:dyDescent="0.15">
      <c r="D310" s="16">
        <v>2103</v>
      </c>
      <c r="F310" s="18"/>
      <c r="G310" s="139">
        <f ca="1">SUM(Australia!J283,China!J219,Africa!J233,Europe!J323,Russia!J267,'Western United States'!J298,'Eastern United States'!J317,Canada!J259,'South Asia'!J225,'Latin America'!J224,'United Kingdom'!J286,'Pennsylvania anthracite'!J312,'France and Belgium'!J297,'Japan and South Korea'!J238)</f>
        <v>656.56817562014828</v>
      </c>
      <c r="H310" s="139"/>
    </row>
    <row r="311" spans="4:8" x14ac:dyDescent="0.15">
      <c r="D311" s="16">
        <v>2104</v>
      </c>
      <c r="F311" s="18"/>
      <c r="G311" s="139">
        <f ca="1">SUM(Australia!J284,China!J220,Africa!J234,Europe!J324,Russia!J268,'Western United States'!J299,'Eastern United States'!J318,Canada!J260,'South Asia'!J226,'Latin America'!J225,'United Kingdom'!J287,'Pennsylvania anthracite'!J313,'France and Belgium'!J298,'Japan and South Korea'!J239)</f>
        <v>657.27732257748039</v>
      </c>
      <c r="H311" s="139"/>
    </row>
    <row r="312" spans="4:8" x14ac:dyDescent="0.15">
      <c r="D312" s="16">
        <v>2105</v>
      </c>
      <c r="F312" s="18"/>
      <c r="G312" s="139">
        <f ca="1">SUM(Australia!J285,China!J221,Africa!J235,Europe!J325,Russia!J269,'Western United States'!J300,'Eastern United States'!J319,Canada!J261,'South Asia'!J227,'Latin America'!J226,'United Kingdom'!J288,'Pennsylvania anthracite'!J314,'France and Belgium'!J299,'Japan and South Korea'!J240)</f>
        <v>657.96364444979031</v>
      </c>
      <c r="H312" s="139"/>
    </row>
    <row r="313" spans="4:8" x14ac:dyDescent="0.15">
      <c r="D313" s="16">
        <v>2106</v>
      </c>
      <c r="F313" s="18"/>
      <c r="G313" s="139">
        <f ca="1">SUM(Australia!J286,China!J222,Africa!J236,Europe!J326,Russia!J270,'Western United States'!J301,'Eastern United States'!J320,Canada!J262,'South Asia'!J228,'Latin America'!J227,'United Kingdom'!J289,'Pennsylvania anthracite'!J315,'France and Belgium'!J300,'Japan and South Korea'!J241)</f>
        <v>658.62796245771415</v>
      </c>
      <c r="H313" s="139"/>
    </row>
    <row r="314" spans="4:8" x14ac:dyDescent="0.15">
      <c r="D314" s="16">
        <v>2107</v>
      </c>
      <c r="F314" s="18"/>
      <c r="G314" s="139">
        <f ca="1">SUM(Australia!J287,China!J223,Africa!J237,Europe!J327,Russia!J271,'Western United States'!J302,'Eastern United States'!J321,Canada!J263,'South Asia'!J229,'Latin America'!J228,'United Kingdom'!J290,'Pennsylvania anthracite'!J316,'France and Belgium'!J301,'Japan and South Korea'!J242)</f>
        <v>659.27106479942927</v>
      </c>
      <c r="H314" s="139"/>
    </row>
    <row r="315" spans="4:8" x14ac:dyDescent="0.15">
      <c r="D315" s="16">
        <v>2108</v>
      </c>
      <c r="F315" s="18"/>
      <c r="G315" s="139">
        <f ca="1">SUM(Australia!J288,China!J224,Africa!J238,Europe!J328,Russia!J272,'Western United States'!J303,'Eastern United States'!J322,Canada!J264,'South Asia'!J230,'Latin America'!J229,'United Kingdom'!J291,'Pennsylvania anthracite'!J317,'France and Belgium'!J302,'Japan and South Korea'!J243)</f>
        <v>659.89370794007755</v>
      </c>
      <c r="H315" s="139"/>
    </row>
    <row r="316" spans="4:8" x14ac:dyDescent="0.15">
      <c r="D316" s="16">
        <v>2109</v>
      </c>
      <c r="F316" s="18"/>
      <c r="G316" s="139">
        <f ca="1">SUM(Australia!J289,China!J225,Africa!J239,Europe!J329,Russia!J273,'Western United States'!J304,'Eastern United States'!J323,Canada!J265,'South Asia'!J231,'Latin America'!J230,'United Kingdom'!J292,'Pennsylvania anthracite'!J318,'France and Belgium'!J303,'Japan and South Korea'!J244)</f>
        <v>660.49661787339949</v>
      </c>
      <c r="H316" s="139"/>
    </row>
    <row r="317" spans="4:8" x14ac:dyDescent="0.15">
      <c r="D317" s="16">
        <v>2110</v>
      </c>
      <c r="F317" s="18"/>
      <c r="G317" s="139">
        <f ca="1">SUM(Australia!J290,China!J226,Africa!J240,Europe!J330,Russia!J274,'Western United States'!J305,'Eastern United States'!J324,Canada!J266,'South Asia'!J232,'Latin America'!J231,'United Kingdom'!J293,'Pennsylvania anthracite'!J319,'France and Belgium'!J304,'Japan and South Korea'!J245)</f>
        <v>661.08049135301007</v>
      </c>
      <c r="H317" s="139"/>
    </row>
    <row r="318" spans="4:8" x14ac:dyDescent="0.15">
      <c r="D318" s="16">
        <v>2111</v>
      </c>
      <c r="F318" s="18"/>
      <c r="G318" s="139">
        <f ca="1">SUM(Australia!J291,China!J227,Africa!J241,Europe!J331,Russia!J275,'Western United States'!J306,'Eastern United States'!J325,Canada!J267,'South Asia'!J233,'Latin America'!J232,'United Kingdom'!J294,'Pennsylvania anthracite'!J320,'France and Belgium'!J305,'Japan and South Korea'!J246)</f>
        <v>661.64599709122922</v>
      </c>
      <c r="H318" s="139"/>
    </row>
    <row r="319" spans="4:8" x14ac:dyDescent="0.15">
      <c r="D319" s="16">
        <v>2112</v>
      </c>
      <c r="F319" s="18"/>
      <c r="G319" s="139">
        <f ca="1">SUM(Australia!J292,China!J228,Africa!J242,Europe!J332,Russia!J276,'Western United States'!J307,'Eastern United States'!J326,Canada!J268,'South Asia'!J234,'Latin America'!J233,'United Kingdom'!J295,'Pennsylvania anthracite'!J321,'France and Belgium'!J306,'Japan and South Korea'!J247)</f>
        <v>662.19377692381192</v>
      </c>
      <c r="H319" s="139"/>
    </row>
    <row r="320" spans="4:8" x14ac:dyDescent="0.15">
      <c r="D320" s="16">
        <v>2113</v>
      </c>
      <c r="F320" s="18"/>
      <c r="G320" s="139">
        <f ca="1">SUM(Australia!J293,China!J229,Africa!J243,Europe!J333,Russia!J277,'Western United States'!J308,'Eastern United States'!J327,Canada!J269,'South Asia'!J235,'Latin America'!J234,'United Kingdom'!J296,'Pennsylvania anthracite'!J322,'France and Belgium'!J307,'Japan and South Korea'!J248)</f>
        <v>662.72444693931311</v>
      </c>
      <c r="H320" s="139"/>
    </row>
    <row r="321" spans="4:8" x14ac:dyDescent="0.15">
      <c r="D321" s="16">
        <v>2114</v>
      </c>
      <c r="F321" s="18"/>
      <c r="G321" s="139">
        <f ca="1">SUM(Australia!J294,China!J230,Africa!J244,Europe!J334,Russia!J278,'Western United States'!J309,'Eastern United States'!J328,Canada!J270,'South Asia'!J236,'Latin America'!J235,'United Kingdom'!J297,'Pennsylvania anthracite'!J323,'France and Belgium'!J308,'Japan and South Korea'!J249)</f>
        <v>663.23859857217053</v>
      </c>
      <c r="H321" s="139"/>
    </row>
    <row r="322" spans="4:8" x14ac:dyDescent="0.15">
      <c r="D322" s="16">
        <v>2115</v>
      </c>
      <c r="F322" s="18"/>
      <c r="G322" s="139">
        <f ca="1">SUM(Australia!J295,China!J231,Africa!J245,Europe!J335,Russia!J279,'Western United States'!J310,'Eastern United States'!J329,Canada!J271,'South Asia'!J237,'Latin America'!J236,'United Kingdom'!J298,'Pennsylvania anthracite'!J324,'France and Belgium'!J309,'Japan and South Korea'!J250)</f>
        <v>663.73679965889789</v>
      </c>
      <c r="H322" s="139"/>
    </row>
    <row r="323" spans="4:8" x14ac:dyDescent="0.15">
      <c r="D323" s="16">
        <v>2116</v>
      </c>
      <c r="F323" s="18"/>
      <c r="G323" s="139">
        <f ca="1">SUM(Australia!J296,China!J232,Africa!J246,Europe!J336,Russia!J280,'Western United States'!J311,'Eastern United States'!J330,Canada!J272,'South Asia'!J238,'Latin America'!J237,'United Kingdom'!J299,'Pennsylvania anthracite'!J325,'France and Belgium'!J310,'Japan and South Korea'!J251)</f>
        <v>664.21959545706079</v>
      </c>
      <c r="H323" s="139"/>
    </row>
    <row r="324" spans="4:8" x14ac:dyDescent="0.15">
      <c r="D324" s="16">
        <v>2117</v>
      </c>
      <c r="F324" s="18"/>
      <c r="G324" s="139">
        <f ca="1">SUM(Australia!J297,China!J233,Africa!J247,Europe!J337,Russia!J281,'Western United States'!J312,'Eastern United States'!J331,Canada!J273,'South Asia'!J239,'Latin America'!J238,'United Kingdom'!J300,'Pennsylvania anthracite'!J326,'France and Belgium'!J311,'Japan and South Korea'!J252)</f>
        <v>664.68750962693787</v>
      </c>
      <c r="H324" s="139"/>
    </row>
    <row r="325" spans="4:8" x14ac:dyDescent="0.15">
      <c r="D325" s="16">
        <v>2118</v>
      </c>
      <c r="F325" s="18"/>
      <c r="G325" s="139">
        <f ca="1">SUM(Australia!J298,China!J234,Africa!J248,Europe!J338,Russia!J282,'Western United States'!J313,'Eastern United States'!J332,Canada!J274,'South Asia'!J240,'Latin America'!J239,'United Kingdom'!J301,'Pennsylvania anthracite'!J327,'France and Belgium'!J312,'Japan and South Korea'!J253)</f>
        <v>665.14104517599253</v>
      </c>
      <c r="H325" s="139"/>
    </row>
    <row r="326" spans="4:8" x14ac:dyDescent="0.15">
      <c r="D326" s="16">
        <v>2119</v>
      </c>
      <c r="F326" s="18"/>
      <c r="G326" s="139">
        <f ca="1">SUM(Australia!J299,China!J235,Africa!J249,Europe!J339,Russia!J283,'Western United States'!J314,'Eastern United States'!J333,Canada!J275,'South Asia'!J241,'Latin America'!J240,'United Kingdom'!J302,'Pennsylvania anthracite'!J328,'France and Belgium'!J313,'Japan and South Korea'!J254)</f>
        <v>665.58068536645703</v>
      </c>
      <c r="H326" s="139"/>
    </row>
    <row r="327" spans="4:8" x14ac:dyDescent="0.15">
      <c r="D327" s="16">
        <v>2120</v>
      </c>
      <c r="F327" s="18"/>
      <c r="G327" s="139">
        <f ca="1">SUM(Australia!J300,China!J236,Africa!J250,Europe!J340,Russia!J284,'Western United States'!J315,'Eastern United States'!J334,Canada!J276,'South Asia'!J242,'Latin America'!J241,'United Kingdom'!J303,'Pennsylvania anthracite'!J329,'France and Belgium'!J314,'Japan and South Korea'!J255)</f>
        <v>666.00689458648981</v>
      </c>
      <c r="H327" s="139"/>
    </row>
    <row r="328" spans="4:8" x14ac:dyDescent="0.15">
      <c r="D328" s="16">
        <v>2121</v>
      </c>
      <c r="F328" s="18"/>
      <c r="G328" s="139">
        <f ca="1">SUM(Australia!J301,China!J237,Africa!J251,Europe!J341,Russia!J285,'Western United States'!J316,'Eastern United States'!J335,Canada!J277,'South Asia'!J243,'Latin America'!J242,'United Kingdom'!J304,'Pennsylvania anthracite'!J330,'France and Belgium'!J315,'Japan and South Korea'!J256)</f>
        <v>666.42011918549429</v>
      </c>
      <c r="H328" s="139"/>
    </row>
    <row r="329" spans="4:8" x14ac:dyDescent="0.15">
      <c r="D329" s="16">
        <v>2122</v>
      </c>
      <c r="F329" s="18"/>
      <c r="G329" s="139">
        <f ca="1">SUM(Australia!J302,China!J238,Africa!J252,Europe!J342,Russia!J286,'Western United States'!J317,'Eastern United States'!J336,Canada!J278,'South Asia'!J244,'Latin America'!J243,'United Kingdom'!J305,'Pennsylvania anthracite'!J331,'France and Belgium'!J316,'Japan and South Korea'!J257)</f>
        <v>666.82078827431621</v>
      </c>
      <c r="H329" s="139"/>
    </row>
    <row r="330" spans="4:8" x14ac:dyDescent="0.15">
      <c r="D330" s="16">
        <v>2123</v>
      </c>
      <c r="F330" s="18"/>
      <c r="G330" s="139">
        <f ca="1">SUM(Australia!J303,China!J239,Africa!J253,Europe!J343,Russia!J287,'Western United States'!J318,'Eastern United States'!J337,Canada!J279,'South Asia'!J245,'Latin America'!J244,'United Kingdom'!J306,'Pennsylvania anthracite'!J332,'France and Belgium'!J317,'Japan and South Korea'!J258)</f>
        <v>667.20931449111242</v>
      </c>
      <c r="H330" s="139"/>
    </row>
    <row r="331" spans="4:8" x14ac:dyDescent="0.15">
      <c r="D331" s="16">
        <v>2124</v>
      </c>
      <c r="F331" s="18"/>
      <c r="G331" s="139">
        <f ca="1">SUM(Australia!J304,China!J240,Africa!J254,Europe!J344,Russia!J288,'Western United States'!J319,'Eastern United States'!J338,Canada!J280,'South Asia'!J246,'Latin America'!J245,'United Kingdom'!J307,'Pennsylvania anthracite'!J333,'France and Belgium'!J318,'Japan and South Korea'!J259)</f>
        <v>667.5860947337685</v>
      </c>
      <c r="H331" s="139"/>
    </row>
    <row r="332" spans="4:8" x14ac:dyDescent="0.15">
      <c r="D332" s="16">
        <v>2125</v>
      </c>
      <c r="F332" s="18"/>
      <c r="G332" s="139">
        <f ca="1">SUM(Australia!J305,China!J241,Africa!J255,Europe!J345,Russia!J289,'Western United States'!J320,'Eastern United States'!J339,Canada!J281,'South Asia'!J247,'Latin America'!J246,'United Kingdom'!J308,'Pennsylvania anthracite'!J334,'France and Belgium'!J319,'Japan and South Korea'!J260)</f>
        <v>667.95151085980797</v>
      </c>
      <c r="H332" s="139"/>
    </row>
    <row r="333" spans="4:8" x14ac:dyDescent="0.15">
      <c r="D333" s="16">
        <v>2126</v>
      </c>
      <c r="F333" s="18"/>
      <c r="G333" s="139">
        <f ca="1">SUM(Australia!J306,China!J242,Africa!J256,Europe!J346,Russia!J290,'Western United States'!J321,'Eastern United States'!J340,Canada!J282,'South Asia'!J248,'Latin America'!J247,'United Kingdom'!J309,'Pennsylvania anthracite'!J335,'France and Belgium'!J320,'Japan and South Korea'!J261)</f>
        <v>668.30593035477432</v>
      </c>
      <c r="H333" s="139"/>
    </row>
    <row r="334" spans="4:8" x14ac:dyDescent="0.15">
      <c r="D334" s="16">
        <v>2127</v>
      </c>
      <c r="F334" s="18"/>
      <c r="G334" s="139">
        <f ca="1">SUM(Australia!J307,China!J243,Africa!J257,Europe!J347,Russia!J291,'Western United States'!J322,'Eastern United States'!J341,Canada!J283,'South Asia'!J249,'Latin America'!J248,'United Kingdom'!J310,'Pennsylvania anthracite'!J336,'France and Belgium'!J321,'Japan and South Korea'!J262)</f>
        <v>668.64970697010949</v>
      </c>
      <c r="H334" s="139"/>
    </row>
    <row r="335" spans="4:8" x14ac:dyDescent="0.15">
      <c r="D335" s="16">
        <v>2128</v>
      </c>
      <c r="F335" s="18"/>
      <c r="G335" s="139">
        <f ca="1">SUM(Australia!J308,China!J244,Africa!J258,Europe!J348,Russia!J292,'Western United States'!J323,'Eastern United States'!J342,Canada!J284,'South Asia'!J250,'Latin America'!J249,'United Kingdom'!J311,'Pennsylvania anthracite'!J337,'France and Belgium'!J322,'Japan and South Korea'!J263)</f>
        <v>668.98318133157341</v>
      </c>
      <c r="H335" s="139"/>
    </row>
    <row r="336" spans="4:8" x14ac:dyDescent="0.15">
      <c r="D336" s="16">
        <v>2129</v>
      </c>
      <c r="F336" s="18"/>
      <c r="G336" s="139">
        <f ca="1">SUM(Australia!J309,China!J245,Africa!J259,Europe!J349,Russia!J293,'Western United States'!J324,'Eastern United States'!J343,Canada!J285,'South Asia'!J251,'Latin America'!J250,'United Kingdom'!J312,'Pennsylvania anthracite'!J338,'France and Belgium'!J323,'Japan and South Korea'!J264)</f>
        <v>669.30668151926682</v>
      </c>
      <c r="H336" s="139"/>
    </row>
    <row r="337" spans="4:8" x14ac:dyDescent="0.15">
      <c r="D337" s="16">
        <v>2130</v>
      </c>
      <c r="F337" s="18"/>
      <c r="G337" s="139">
        <f ca="1">SUM(Australia!J310,China!J246,Africa!J260,Europe!J350,Russia!J294,'Western United States'!J325,'Eastern United States'!J344,Canada!J286,'South Asia'!J252,'Latin America'!J251,'United Kingdom'!J313,'Pennsylvania anthracite'!J339,'France and Belgium'!J324,'Japan and South Korea'!J265)</f>
        <v>669.62052362032227</v>
      </c>
      <c r="H337" s="139"/>
    </row>
    <row r="338" spans="4:8" x14ac:dyDescent="0.15">
      <c r="D338" s="16">
        <v>2131</v>
      </c>
      <c r="F338" s="18"/>
      <c r="G338" s="139">
        <f ca="1">SUM(Australia!J311,China!J247,Africa!J261,Europe!J351,Russia!J295,'Western United States'!J326,'Eastern United States'!J345,Canada!J287,'South Asia'!J253,'Latin America'!J252,'United Kingdom'!J314,'Pennsylvania anthracite'!J340,'France and Belgium'!J325,'Japan and South Korea'!J266)</f>
        <v>669.92501225533658</v>
      </c>
      <c r="H338" s="139"/>
    </row>
    <row r="339" spans="4:8" x14ac:dyDescent="0.15">
      <c r="D339" s="16">
        <v>2132</v>
      </c>
      <c r="F339" s="18"/>
      <c r="G339" s="139">
        <f ca="1">SUM(Australia!J312,China!J248,Africa!J262,Europe!J352,Russia!J296,'Western United States'!J327,'Eastern United States'!J346,Canada!J288,'South Asia'!J254,'Latin America'!J253,'United Kingdom'!J315,'Pennsylvania anthracite'!J341,'France and Belgium'!J326,'Japan and South Korea'!J267)</f>
        <v>670.22044107959937</v>
      </c>
      <c r="H339" s="139"/>
    </row>
    <row r="340" spans="4:8" x14ac:dyDescent="0.15">
      <c r="D340" s="16">
        <v>2133</v>
      </c>
      <c r="F340" s="18"/>
      <c r="G340" s="139">
        <f ca="1">SUM(Australia!J313,China!J249,Africa!J263,Europe!J353,Russia!J297,'Western United States'!J328,'Eastern United States'!J347,Canada!J289,'South Asia'!J255,'Latin America'!J254,'United Kingdom'!J316,'Pennsylvania anthracite'!J342,'France and Belgium'!J327,'Japan and South Korea'!J268)</f>
        <v>670.50709326017727</v>
      </c>
      <c r="H340" s="139"/>
    </row>
    <row r="341" spans="4:8" x14ac:dyDescent="0.15">
      <c r="D341" s="16">
        <v>2134</v>
      </c>
      <c r="F341" s="18"/>
      <c r="G341" s="139">
        <f ca="1">SUM(Australia!J314,China!J250,Africa!J264,Europe!J354,Russia!J298,'Western United States'!J329,'Eastern United States'!J348,Canada!J290,'South Asia'!J256,'Latin America'!J255,'United Kingdom'!J317,'Pennsylvania anthracite'!J343,'France and Belgium'!J328,'Japan and South Korea'!J269)</f>
        <v>670.78524192987607</v>
      </c>
      <c r="H341" s="139"/>
    </row>
    <row r="342" spans="4:8" x14ac:dyDescent="0.15">
      <c r="D342" s="16">
        <v>2135</v>
      </c>
      <c r="F342" s="18"/>
      <c r="G342" s="139">
        <f ca="1">SUM(Australia!J315,China!J251,Africa!J265,Europe!J355,Russia!J299,'Western United States'!J330,'Eastern United States'!J349,Canada!J291,'South Asia'!J257,'Latin America'!J256,'United Kingdom'!J318,'Pennsylvania anthracite'!J344,'France and Belgium'!J329,'Japan and South Korea'!J270)</f>
        <v>671.05515061910819</v>
      </c>
      <c r="H342" s="139"/>
    </row>
    <row r="343" spans="4:8" x14ac:dyDescent="0.15">
      <c r="D343" s="16">
        <v>2136</v>
      </c>
      <c r="F343" s="18"/>
      <c r="G343" s="139">
        <f ca="1">SUM(Australia!J316,China!J252,Africa!J266,Europe!J356,Russia!J300,'Western United States'!J331,'Eastern United States'!J350,Canada!J292,'South Asia'!J258,'Latin America'!J257,'United Kingdom'!J319,'Pennsylvania anthracite'!J345,'France and Belgium'!J330,'Japan and South Korea'!J271)</f>
        <v>671.31707366664853</v>
      </c>
      <c r="H343" s="139"/>
    </row>
    <row r="344" spans="4:8" x14ac:dyDescent="0.15">
      <c r="D344" s="16">
        <v>2137</v>
      </c>
      <c r="F344" s="18"/>
      <c r="G344" s="139">
        <f ca="1">SUM(Australia!J317,China!J253,Africa!J267,Europe!J357,Russia!J301,'Western United States'!J332,'Eastern United States'!J351,Canada!J293,'South Asia'!J259,'Latin America'!J258,'United Kingdom'!J320,'Pennsylvania anthracite'!J346,'France and Belgium'!J331,'Japan and South Korea'!J272)</f>
        <v>671.57125661024793</v>
      </c>
      <c r="H344" s="139"/>
    </row>
    <row r="345" spans="4:8" x14ac:dyDescent="0.15">
      <c r="D345" s="16">
        <v>2138</v>
      </c>
      <c r="F345" s="18"/>
      <c r="G345" s="139">
        <f ca="1">SUM(Australia!J318,China!J254,Africa!J268,Europe!J358,Russia!J302,'Western United States'!J333,'Eastern United States'!J352,Canada!J294,'South Asia'!J260,'Latin America'!J259,'United Kingdom'!J321,'Pennsylvania anthracite'!J347,'France and Belgium'!J332,'Japan and South Korea'!J273)</f>
        <v>671.81793655804643</v>
      </c>
      <c r="H345" s="139"/>
    </row>
    <row r="346" spans="4:8" x14ac:dyDescent="0.15">
      <c r="D346" s="16">
        <v>2139</v>
      </c>
      <c r="F346" s="18"/>
      <c r="G346" s="139">
        <f ca="1">SUM(Australia!J319,China!J255,Africa!J269,Europe!J359,Russia!J303,'Western United States'!J334,'Eastern United States'!J353,Canada!J295,'South Asia'!J261,'Latin America'!J260,'United Kingdom'!J322,'Pennsylvania anthracite'!J348,'France and Belgium'!J333,'Japan and South Korea'!J274)</f>
        <v>672.05734254169454</v>
      </c>
      <c r="H346" s="139"/>
    </row>
    <row r="347" spans="4:8" x14ac:dyDescent="0.15">
      <c r="D347" s="16">
        <v>2140</v>
      </c>
      <c r="F347" s="18"/>
      <c r="G347" s="139">
        <f ca="1">SUM(Australia!J320,China!J256,Africa!J270,Europe!J360,Russia!J304,'Western United States'!J335,'Eastern United States'!J354,Canada!J296,'South Asia'!J262,'Latin America'!J261,'United Kingdom'!J323,'Pennsylvania anthracite'!J349,'France and Belgium'!J334,'Japan and South Korea'!J275)</f>
        <v>672.28969585206426</v>
      </c>
      <c r="H347" s="139"/>
    </row>
    <row r="348" spans="4:8" x14ac:dyDescent="0.15">
      <c r="D348" s="16">
        <v>2141</v>
      </c>
      <c r="F348" s="18"/>
      <c r="G348" s="139">
        <f ca="1">SUM(Australia!J321,China!J257,Africa!J271,Europe!J361,Russia!J305,'Western United States'!J336,'Eastern United States'!J355,Canada!J297,'South Asia'!J263,'Latin America'!J262,'United Kingdom'!J324,'Pennsylvania anthracite'!J350,'France and Belgium'!J335,'Japan and South Korea'!J276)</f>
        <v>672.51521035840062</v>
      </c>
      <c r="H348" s="139"/>
    </row>
    <row r="349" spans="4:8" x14ac:dyDescent="0.15">
      <c r="D349" s="16">
        <v>2142</v>
      </c>
      <c r="F349" s="18"/>
      <c r="G349" s="139">
        <f ca="1">SUM(Australia!J322,China!J258,Africa!J272,Europe!J362,Russia!J306,'Western United States'!J337,'Eastern United States'!J356,Canada!J298,'South Asia'!J264,'Latin America'!J263,'United Kingdom'!J325,'Pennsylvania anthracite'!J351,'France and Belgium'!J336,'Japan and South Korea'!J277)</f>
        <v>672.73409281173383</v>
      </c>
      <c r="H349" s="139"/>
    </row>
    <row r="350" spans="4:8" x14ac:dyDescent="0.15">
      <c r="D350" s="16">
        <v>2143</v>
      </c>
      <c r="F350" s="18"/>
      <c r="G350" s="139">
        <f ca="1">SUM(Australia!J323,China!J259,Africa!J273,Europe!J363,Russia!J307,'Western United States'!J338,'Eastern United States'!J357,Canada!J299,'South Asia'!J265,'Latin America'!J264,'United Kingdom'!J326,'Pennsylvania anthracite'!J352,'France and Belgium'!J337,'Japan and South Korea'!J278)</f>
        <v>672.94654313333672</v>
      </c>
      <c r="H350" s="139"/>
    </row>
    <row r="351" spans="4:8" x14ac:dyDescent="0.15">
      <c r="D351" s="16">
        <v>2144</v>
      </c>
      <c r="F351" s="18"/>
      <c r="G351" s="139">
        <f ca="1">SUM(Australia!J324,China!J260,Africa!J274,Europe!J364,Russia!J308,'Western United States'!J339,'Eastern United States'!J358,Canada!J300,'South Asia'!J266,'Latin America'!J265,'United Kingdom'!J327,'Pennsylvania anthracite'!J353,'France and Belgium'!J338,'Japan and South Korea'!J279)</f>
        <v>673.15275468898915</v>
      </c>
      <c r="H351" s="139"/>
    </row>
    <row r="352" spans="4:8" x14ac:dyDescent="0.15">
      <c r="D352" s="16">
        <v>2145</v>
      </c>
      <c r="F352" s="18"/>
      <c r="G352" s="139">
        <f ca="1">SUM(Australia!J325,China!J261,Africa!J275,Europe!J365,Russia!J309,'Western United States'!J340,'Eastern United States'!J359,Canada!J301,'South Asia'!J267,'Latin America'!J266,'United Kingdom'!J328,'Pennsylvania anthracite'!J354,'France and Belgium'!J339,'Japan and South Korea'!J280)</f>
        <v>673.35291454977073</v>
      </c>
      <c r="H352" s="139"/>
    </row>
    <row r="353" spans="4:8" x14ac:dyDescent="0.15">
      <c r="D353" s="16">
        <v>2146</v>
      </c>
      <c r="F353" s="18"/>
      <c r="G353" s="139">
        <f ca="1">SUM(Australia!J326,China!J262,Africa!J276,Europe!J366,Russia!J310,'Western United States'!J341,'Eastern United States'!J360,Canada!J302,'South Asia'!J268,'Latin America'!J267,'United Kingdom'!J329,'Pennsylvania anthracite'!J355,'France and Belgium'!J340,'Japan and South Korea'!J281)</f>
        <v>673.54720374007536</v>
      </c>
      <c r="H353" s="139"/>
    </row>
    <row r="354" spans="4:8" x14ac:dyDescent="0.15">
      <c r="D354" s="16">
        <v>2147</v>
      </c>
      <c r="F354" s="18"/>
      <c r="G354" s="139">
        <f ca="1">SUM(Australia!J327,China!J263,Africa!J277,Europe!J367,Russia!J311,'Western United States'!J342,'Eastern United States'!J361,Canada!J303,'South Asia'!J269,'Latin America'!J268,'United Kingdom'!J330,'Pennsylvania anthracite'!J356,'France and Belgium'!J341,'Japan and South Korea'!J282)</f>
        <v>673.73579747351789</v>
      </c>
      <c r="H354" s="139"/>
    </row>
    <row r="355" spans="4:8" x14ac:dyDescent="0.15">
      <c r="D355" s="16">
        <v>2148</v>
      </c>
      <c r="F355" s="18"/>
      <c r="G355" s="139">
        <f ca="1">SUM(Australia!J328,China!J264,Africa!J278,Europe!J368,Russia!J312,'Western United States'!J343,'Eastern United States'!J362,Canada!J304,'South Asia'!J270,'Latin America'!J269,'United Kingdom'!J331,'Pennsylvania anthracite'!J357,'France and Belgium'!J342,'Japan and South Korea'!J283)</f>
        <v>673.91886537735593</v>
      </c>
      <c r="H355" s="139"/>
    </row>
    <row r="356" spans="4:8" x14ac:dyDescent="0.15">
      <c r="D356" s="16">
        <v>2149</v>
      </c>
      <c r="F356" s="18"/>
      <c r="G356" s="139">
        <f ca="1">SUM(Australia!J329,China!J265,Africa!J279,Europe!J369,Russia!J313,'Western United States'!J344,'Eastern United States'!J363,Canada!J305,'South Asia'!J271,'Latin America'!J270,'United Kingdom'!J332,'Pennsylvania anthracite'!J358,'France and Belgium'!J343,'Japan and South Korea'!J284)</f>
        <v>674.09657170604601</v>
      </c>
      <c r="H356" s="139"/>
    </row>
    <row r="357" spans="4:8" x14ac:dyDescent="0.15">
      <c r="D357" s="16">
        <v>2150</v>
      </c>
      <c r="F357" s="18"/>
      <c r="G357" s="139">
        <f ca="1">SUM(Australia!J330,China!J266,Africa!J280,Europe!J370,Russia!J314,'Western United States'!J345,'Eastern United States'!J364,Canada!J306,'South Asia'!J272,'Latin America'!J271,'United Kingdom'!J333,'Pennsylvania anthracite'!J359,'France and Belgium'!J344,'Japan and South Korea'!J285)</f>
        <v>674.26907554449724</v>
      </c>
      <c r="H357" s="139"/>
    </row>
  </sheetData>
  <pageMargins left="0.7" right="0.7" top="0.75" bottom="0.75" header="0.3" footer="0.3"/>
  <pageSetup scale="55"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tabColor theme="1"/>
  </sheetPr>
  <dimension ref="B1:S16"/>
  <sheetViews>
    <sheetView workbookViewId="0">
      <selection activeCell="A35" sqref="A35"/>
    </sheetView>
  </sheetViews>
  <sheetFormatPr baseColWidth="10" defaultColWidth="14.1640625" defaultRowHeight="12" x14ac:dyDescent="0.15"/>
  <cols>
    <col min="1" max="1" width="14.1640625" style="317"/>
    <col min="2" max="2" width="11.5" style="317" customWidth="1"/>
    <col min="3" max="3" width="10.1640625" style="317" customWidth="1"/>
    <col min="4" max="4" width="9.6640625" style="317" customWidth="1"/>
    <col min="5" max="5" width="10.1640625" style="317" customWidth="1"/>
    <col min="6" max="6" width="9.83203125" style="317" customWidth="1"/>
    <col min="7" max="7" width="12" style="317" customWidth="1"/>
    <col min="8" max="8" width="8.6640625" style="317" customWidth="1"/>
    <col min="9" max="9" width="12.6640625" style="317" customWidth="1"/>
    <col min="10" max="10" width="10" style="317" customWidth="1"/>
    <col min="11" max="11" width="11.33203125" style="317" customWidth="1"/>
    <col min="12" max="12" width="10.5" style="317" customWidth="1"/>
    <col min="13" max="13" width="11.6640625" style="317" customWidth="1"/>
    <col min="14" max="14" width="9.6640625" style="317" customWidth="1"/>
    <col min="15" max="15" width="10.5" style="317" customWidth="1"/>
    <col min="16" max="16" width="12.83203125" style="317" customWidth="1"/>
    <col min="17" max="17" width="14.1640625" style="317"/>
    <col min="18" max="18" width="6.83203125" style="317" customWidth="1"/>
    <col min="19" max="16384" width="14.1640625" style="317"/>
  </cols>
  <sheetData>
    <row r="1" spans="2:19" ht="15" customHeight="1" x14ac:dyDescent="0.15"/>
    <row r="2" spans="2:19" ht="65.25" customHeight="1" x14ac:dyDescent="0.15">
      <c r="B2" s="303" t="s">
        <v>157</v>
      </c>
      <c r="C2" s="303" t="s">
        <v>238</v>
      </c>
      <c r="D2" s="303" t="s">
        <v>237</v>
      </c>
      <c r="E2" s="338" t="s">
        <v>292</v>
      </c>
      <c r="F2" s="345" t="s">
        <v>298</v>
      </c>
      <c r="G2" s="325" t="s">
        <v>287</v>
      </c>
      <c r="H2" s="303" t="s">
        <v>275</v>
      </c>
      <c r="I2" s="345" t="s">
        <v>299</v>
      </c>
      <c r="K2" s="318" t="s">
        <v>157</v>
      </c>
      <c r="L2" s="303" t="s">
        <v>273</v>
      </c>
      <c r="M2" s="303" t="s">
        <v>274</v>
      </c>
      <c r="N2" s="345" t="s">
        <v>301</v>
      </c>
      <c r="O2" s="325" t="s">
        <v>288</v>
      </c>
      <c r="P2" s="345" t="s">
        <v>300</v>
      </c>
      <c r="S2" s="317" t="s">
        <v>75</v>
      </c>
    </row>
    <row r="3" spans="2:19" ht="30" customHeight="1" x14ac:dyDescent="0.15">
      <c r="B3" s="304" t="s">
        <v>63</v>
      </c>
      <c r="C3" s="305">
        <f ca="1">OFFSET('United Kingdom'!E12,COUNT('United Kingdom'!F13:F300),0)</f>
        <v>17.873633820922901</v>
      </c>
      <c r="D3" s="319">
        <f ca="1">OFFSET('United Kingdom'!F12,COUNT('United Kingdom'!F13:F300),0)</f>
        <v>27.386258035826952</v>
      </c>
      <c r="E3" s="319">
        <f>'United Kingdom'!F1</f>
        <v>28.875830974615702</v>
      </c>
      <c r="F3" s="306" t="str">
        <f xml:space="preserve"> TEXT(MIN('United Kingdom'!H83:H297),"#.0") &amp; " - " &amp;  TEXT(MAX('United Kingdom'!H83:H297),"#.0") &amp; " (" &amp; TEXT((MAX('United Kingdom'!H83:H297)-MIN('United Kingdom'!H83:H297))/E3,"#%") &amp; ")"</f>
        <v>26.8 - 30.0 (11%)</v>
      </c>
      <c r="G3" s="305">
        <f>'United Kingdom'!O13</f>
        <v>152.54951272359983</v>
      </c>
      <c r="H3" s="305">
        <f>'United Kingdom'!N13</f>
        <v>1871</v>
      </c>
      <c r="I3" s="306">
        <f>E3/'United Kingdom'!O13</f>
        <v>0.18928825441045496</v>
      </c>
      <c r="K3" s="304" t="s">
        <v>63</v>
      </c>
      <c r="L3" s="303" t="str">
        <f ca="1" xml:space="preserve"> TEXT('United Kingdom'!E2,"#") &amp; ", " &amp; TEXT('United Kingdom'!F2,"#")</f>
        <v>1863, 1985</v>
      </c>
      <c r="M3" s="303" t="str">
        <f xml:space="preserve"> TEXT('United Kingdom'!D12+MATCH(0.1*'United Kingdom'!F1,'United Kingdom'!F13:F292) +1,"#") &amp; ", " &amp; TEXT('United Kingdom'!D12+MATCH(0.9*'United Kingdom'!F1,'United Kingdom'!F13:F292) +1,"#")</f>
        <v>1864, 1984</v>
      </c>
      <c r="N3" s="306">
        <f>LOOKUP('United Kingdom'!D12+MATCH(0.9*'United Kingdom'!F1,'United Kingdom'!F13:F292),'United Kingdom'!D$12:D291,'United Kingdom'!E$12:E291)/O3</f>
        <v>0.4083904109589041</v>
      </c>
      <c r="O3" s="303">
        <f>MAX('United Kingdom'!E13:E296)</f>
        <v>292</v>
      </c>
      <c r="P3" s="306">
        <f ca="1">OFFSET('United Kingdom'!F12,MATCH('Mature Regions Summary'!O3,'United Kingdom'!E13:E304,0),0)/'Mature Regions Summary'!E3</f>
        <v>0.41252358791819893</v>
      </c>
      <c r="S3" s="320" t="s">
        <v>68</v>
      </c>
    </row>
    <row r="4" spans="2:19" ht="30" customHeight="1" x14ac:dyDescent="0.15">
      <c r="B4" s="304" t="s">
        <v>64</v>
      </c>
      <c r="C4" s="319">
        <f ca="1">OFFSET('Pennsylvania anthracite'!E8,COUNT('Pennsylvania anthracite'!F9:F296),0)</f>
        <v>1.5725372900171199</v>
      </c>
      <c r="D4" s="321">
        <f ca="1">OFFSET('Pennsylvania anthracite'!F8,COUNT('Pennsylvania anthracite'!F9:F296),0)</f>
        <v>5.0348607533022394</v>
      </c>
      <c r="E4" s="321">
        <f>'Pennsylvania anthracite'!F1</f>
        <v>5.0501587499966902</v>
      </c>
      <c r="F4" s="303" t="str">
        <f xml:space="preserve"> TEXT(MIN('Pennsylvania anthracite'!H109:H293),"#.0") &amp; " - " &amp;  TEXT(MAX('Pennsylvania anthracite'!H109:H293),"#.0") &amp; " (" &amp; TEXT((MAX('Pennsylvania anthracite'!H109:H293)-MIN('Pennsylvania anthracite'!H109:H293))/E4,"#%") &amp; ")"</f>
        <v>3.1 - 5.1 (40%)</v>
      </c>
      <c r="G4" s="305">
        <f>'Pennsylvania anthracite'!O9</f>
        <v>12.02411155247967</v>
      </c>
      <c r="H4" s="303">
        <f>'Pennsylvania anthracite'!N9</f>
        <v>1921</v>
      </c>
      <c r="I4" s="306">
        <f>E4/'Pennsylvania anthracite'!O9</f>
        <v>0.42000265283260968</v>
      </c>
      <c r="K4" s="304" t="s">
        <v>64</v>
      </c>
      <c r="L4" s="303" t="str">
        <f ca="1" xml:space="preserve"> TEXT('Pennsylvania anthracite'!E2,"#") &amp; ", " &amp; TEXT('Pennsylvania anthracite'!F2,"#")</f>
        <v>1881, 1953</v>
      </c>
      <c r="M4" s="303" t="str">
        <f xml:space="preserve"> TEXT('Pennsylvania anthracite'!D8+MATCH(0.1*'Pennsylvania anthracite'!F1,'Pennsylvania anthracite'!F9:F288) +1,"#") &amp; ", " &amp; TEXT('Pennsylvania anthracite'!D8+MATCH(0.9*'Pennsylvania anthracite'!F1,'Pennsylvania anthracite'!F9:F288) +1,"#")</f>
        <v>1882, 1952</v>
      </c>
      <c r="N4" s="306">
        <f>LOOKUP('Pennsylvania anthracite'!D8+MATCH(0.9*'Pennsylvania anthracite'!F1,'Pennsylvania anthracite'!F9:F288) + 1,'Pennsylvania anthracite'!D$8:D287,'Pennsylvania anthracite'!E$8:E287)/O4</f>
        <v>0.40741152673150377</v>
      </c>
      <c r="O4" s="305">
        <f>MAX('Pennsylvania anthracite'!E9:E292)</f>
        <v>90.36631493874448</v>
      </c>
      <c r="P4" s="306">
        <f ca="1">OFFSET('Pennsylvania anthracite'!F8,MATCH('Mature Regions Summary'!O4,'Pennsylvania anthracite'!E9:E300,0),0)/'Mature Regions Summary'!E4</f>
        <v>0.50851839782493991</v>
      </c>
      <c r="R4" s="322">
        <f>AVERAGE(11%,40%,55%,36%)</f>
        <v>0.35499999999999998</v>
      </c>
      <c r="S4" s="317" t="s">
        <v>272</v>
      </c>
    </row>
    <row r="5" spans="2:19" ht="30" customHeight="1" x14ac:dyDescent="0.15">
      <c r="B5" s="304" t="s">
        <v>66</v>
      </c>
      <c r="C5" s="319">
        <f ca="1">OFFSET('France and Belgium'!E8,COUNT('France and Belgium'!F9:F296),0)</f>
        <v>0.2</v>
      </c>
      <c r="D5" s="319">
        <f ca="1">OFFSET('France and Belgium'!F8,COUNT('France and Belgium'!F9:F296),0)</f>
        <v>7.1795460996149982</v>
      </c>
      <c r="E5" s="319">
        <f>'France and Belgium'!F1</f>
        <v>7.6235246511500465</v>
      </c>
      <c r="F5" s="303" t="str">
        <f xml:space="preserve"> TEXT(MIN('France and Belgium'!H94:H293),"#.0") &amp; " - " &amp;  TEXT(MAX('France and Belgium'!H94:H293),"#.0") &amp; " (" &amp; TEXT((MAX('France and Belgium'!H94:H293)-MIN('France and Belgium'!H94:H293))/E5,"#%") &amp; ")"</f>
        <v>4.3 - 8.5 (55%)</v>
      </c>
      <c r="G5" s="305">
        <f>'France and Belgium'!T9</f>
        <v>33.030999999999999</v>
      </c>
      <c r="H5" s="303">
        <f>'France and Belgium'!S9</f>
        <v>1936</v>
      </c>
      <c r="I5" s="306">
        <f>E5/'France and Belgium'!T9</f>
        <v>0.23079908725591253</v>
      </c>
      <c r="K5" s="304" t="s">
        <v>66</v>
      </c>
      <c r="L5" s="303" t="str">
        <f ca="1" xml:space="preserve"> TEXT('France and Belgium'!E2,"#") &amp; ", " &amp; TEXT('France and Belgium'!F2,"#")</f>
        <v>1877, 1985</v>
      </c>
      <c r="M5" s="303" t="str">
        <f xml:space="preserve"> TEXT('France and Belgium'!D8+MATCH(0.1*'France and Belgium'!F1,'France and Belgium'!F9:F288) +1,"#") &amp; ", " &amp; TEXT('France and Belgium'!D8+MATCH(0.9*'France and Belgium'!F1,'France and Belgium'!F9:F288) +1,"#")</f>
        <v>1877, 1981</v>
      </c>
      <c r="N5" s="306">
        <f>LOOKUP('France and Belgium'!D8+MATCH(0.9*'France and Belgium'!F1,'France and Belgium'!F9:F288) + 1,'France and Belgium'!D$8:D287,'France and Belgium'!E$8:E287)/O5</f>
        <v>0.32724177071509647</v>
      </c>
      <c r="O5" s="305">
        <f>MAX('France and Belgium'!E9:E292)</f>
        <v>88.1</v>
      </c>
      <c r="P5" s="306">
        <f ca="1">OFFSET('France and Belgium'!F8,MATCH('Mature Regions Summary'!O5,'France and Belgium'!E9:E300,0),0)/'Mature Regions Summary'!E5</f>
        <v>0.73100045648298828</v>
      </c>
      <c r="R5" s="323">
        <f>1/AVERAGE(I3:I6)</f>
        <v>3.8050862032266668</v>
      </c>
      <c r="S5" s="317" t="s">
        <v>283</v>
      </c>
    </row>
    <row r="6" spans="2:19" ht="30" customHeight="1" x14ac:dyDescent="0.15">
      <c r="B6" s="304" t="s">
        <v>65</v>
      </c>
      <c r="C6" s="319">
        <f ca="1">OFFSET('Japan and South Korea'!E8,COUNT('Japan and South Korea'!F9:F296),0)</f>
        <v>3.799671</v>
      </c>
      <c r="D6" s="319">
        <f ca="1">OFFSET('Japan and South Korea'!F8,COUNT('Japan and South Korea'!F9:F296),0)</f>
        <v>3.5790616179999972</v>
      </c>
      <c r="E6" s="319">
        <f>'Japan and South Korea'!F1</f>
        <v>3.6926465303903417</v>
      </c>
      <c r="F6" s="303" t="str">
        <f xml:space="preserve"> TEXT(MIN('Japan and South Korea'!H85:H200),"#.0") &amp; " - " &amp;  TEXT(MAX('Japan and South Korea'!H85:H200),"#.0") &amp; " (" &amp; TEXT((MAX('Japan and South Korea'!H85:H200)-MIN('Japan and South Korea'!H85:H200))/E6,"#%") &amp; ")"</f>
        <v>2.5 - 3.9 (36%)</v>
      </c>
      <c r="G6" s="305">
        <f>'Japan and South Korea'!T9</f>
        <v>17.489542</v>
      </c>
      <c r="H6" s="303">
        <f>'Japan and South Korea'!S9</f>
        <v>1936</v>
      </c>
      <c r="I6" s="306">
        <f>E6/'Japan and South Korea'!T9</f>
        <v>0.2111345471705515</v>
      </c>
      <c r="K6" s="304" t="s">
        <v>65</v>
      </c>
      <c r="L6" s="303" t="str">
        <f ca="1" xml:space="preserve"> TEXT('Japan and South Korea'!E2,"#") &amp; ", " &amp; TEXT('Japan and South Korea'!F2,"#")</f>
        <v>1919, 1989</v>
      </c>
      <c r="M6" s="303" t="str">
        <f xml:space="preserve"> TEXT('Japan and South Korea'!D8+MATCH(0.1*'Japan and South Korea'!F1,'Japan and South Korea'!F9:F288) +1,"#") &amp; ", " &amp; TEXT('Japan and South Korea'!D8+MATCH(0.9*'Japan and South Korea'!F1,'Japan and South Korea'!F9:F288) +1,"#")</f>
        <v>1918, 1988</v>
      </c>
      <c r="N6" s="306">
        <f>LOOKUP('Japan and South Korea'!D8+MATCH(0.9*'Japan and South Korea'!F1,'Japan and South Korea'!F9:F288) + 1,'Japan and South Korea'!D$8:D287,'Japan and South Korea'!E$8:E287)/O6</f>
        <v>0.56030404339872586</v>
      </c>
      <c r="O6" s="305">
        <f>MAX('Japan and South Korea'!E9:E292)</f>
        <v>63.411999999999999</v>
      </c>
      <c r="P6" s="306">
        <f ca="1">OFFSET('Japan and South Korea'!F8,MATCH('Mature Regions Summary'!O6,'Japan and South Korea'!E9:E300,0),0)/'Mature Regions Summary'!E6</f>
        <v>0.66336812360457897</v>
      </c>
      <c r="R6" s="322">
        <f>AVERAGE(N3:N6)</f>
        <v>0.42583693795105754</v>
      </c>
      <c r="S6" s="317" t="s">
        <v>248</v>
      </c>
    </row>
    <row r="16" spans="2:19" x14ac:dyDescent="0.15">
      <c r="D16" s="320"/>
      <c r="E16" s="324"/>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tabColor theme="1"/>
  </sheetPr>
  <dimension ref="B2:P28"/>
  <sheetViews>
    <sheetView workbookViewId="0">
      <selection activeCell="J17" sqref="J17"/>
    </sheetView>
  </sheetViews>
  <sheetFormatPr baseColWidth="10" defaultColWidth="9.1640625" defaultRowHeight="12" x14ac:dyDescent="0.15"/>
  <cols>
    <col min="1" max="1" width="6.1640625" style="317" customWidth="1"/>
    <col min="2" max="2" width="19.6640625" style="317" customWidth="1"/>
    <col min="3" max="3" width="9.83203125" style="326" customWidth="1"/>
    <col min="4" max="4" width="10.33203125" style="317" customWidth="1"/>
    <col min="5" max="5" width="9.5" style="317" customWidth="1"/>
    <col min="6" max="6" width="10.5" style="317" customWidth="1"/>
    <col min="7" max="7" width="11.83203125" style="317" customWidth="1"/>
    <col min="8" max="8" width="17.6640625" style="317" customWidth="1"/>
    <col min="9" max="9" width="10.1640625" style="317" customWidth="1"/>
    <col min="10" max="10" width="17.6640625" style="317" bestFit="1" customWidth="1"/>
    <col min="11" max="11" width="16.5" style="317" bestFit="1" customWidth="1"/>
    <col min="12" max="12" width="21.1640625" style="317" customWidth="1"/>
    <col min="13" max="13" width="23.5" style="317" bestFit="1" customWidth="1"/>
    <col min="14" max="14" width="20.33203125" style="317" bestFit="1" customWidth="1"/>
    <col min="15" max="15" width="14" style="317" bestFit="1" customWidth="1"/>
    <col min="16" max="16" width="12.33203125" style="317" bestFit="1" customWidth="1"/>
    <col min="17" max="16384" width="9.1640625" style="317"/>
  </cols>
  <sheetData>
    <row r="2" spans="2:16" ht="60" customHeight="1" x14ac:dyDescent="0.15">
      <c r="B2" s="308" t="s">
        <v>157</v>
      </c>
      <c r="C2" s="308" t="s">
        <v>238</v>
      </c>
      <c r="D2" s="325" t="s">
        <v>286</v>
      </c>
      <c r="E2" s="338" t="s">
        <v>291</v>
      </c>
      <c r="F2" s="325" t="s">
        <v>285</v>
      </c>
      <c r="G2" s="346" t="s">
        <v>304</v>
      </c>
      <c r="H2" s="346" t="s">
        <v>303</v>
      </c>
      <c r="I2" s="308" t="s">
        <v>278</v>
      </c>
      <c r="K2" s="326"/>
      <c r="L2" s="326"/>
      <c r="M2" s="326"/>
      <c r="N2" s="326"/>
      <c r="O2" s="326"/>
      <c r="P2" s="326"/>
    </row>
    <row r="3" spans="2:16" ht="15" customHeight="1" x14ac:dyDescent="0.15">
      <c r="B3" s="304" t="s">
        <v>277</v>
      </c>
      <c r="C3" s="307">
        <f ca="1">OFFSET(Australia!E57,COUNT(Australia!E58:E248),0)</f>
        <v>413.79292700000002</v>
      </c>
      <c r="D3" s="307">
        <f ca="1">OFFSET(Australia!F57,COUNT(Australia!F58:F248),0)</f>
        <v>10.467640961799225</v>
      </c>
      <c r="E3" s="307">
        <f>Australia!F1</f>
        <v>49.986283305111655</v>
      </c>
      <c r="F3" s="305">
        <f ca="1">OFFSET(Australia!T8,COUNT(Australia!T9:T99),0)</f>
        <v>87.024848034799234</v>
      </c>
      <c r="G3" s="306">
        <f t="shared" ref="G3:G10" ca="1" si="0">E3/F3</f>
        <v>0.57439092895770749</v>
      </c>
      <c r="H3" s="306" t="str">
        <f xml:space="preserve"> TEXT(MIN(Australia!H175:H248),"#") &amp; " - " &amp;  TEXT(MAX(Australia!H175:H248),"#") &amp; " (" &amp; TEXT((MAX(Australia!H175:H248)-MIN(Australia!H175:H248))/E3,"#%") &amp; ")"</f>
        <v>28 - 53 (51%)</v>
      </c>
      <c r="I3" s="305">
        <f ca="1">Australia!F2</f>
        <v>2075.8567319169533</v>
      </c>
      <c r="K3" s="327"/>
      <c r="L3" s="326"/>
      <c r="M3" s="327"/>
      <c r="N3" s="327"/>
      <c r="O3" s="326"/>
      <c r="P3" s="326"/>
    </row>
    <row r="4" spans="2:16" ht="15" customHeight="1" x14ac:dyDescent="0.15">
      <c r="B4" s="304" t="s">
        <v>133</v>
      </c>
      <c r="C4" s="307">
        <f ca="1">OFFSET(China!E11,COUNT(China!E12:E200),0)</f>
        <v>3050</v>
      </c>
      <c r="D4" s="307">
        <f ca="1">OFFSET(China!F11,COUNT(China!F12:F200),0)</f>
        <v>50.9423745</v>
      </c>
      <c r="E4" s="307">
        <f>China!F1</f>
        <v>138.97314479598055</v>
      </c>
      <c r="F4" s="305">
        <f ca="1">OFFSET(China!O11,COUNT(China!O12:O100),0)</f>
        <v>162.39237450000002</v>
      </c>
      <c r="G4" s="306">
        <f t="shared" ca="1" si="0"/>
        <v>0.85578614897327299</v>
      </c>
      <c r="H4" s="308" t="str">
        <f xml:space="preserve"> TEXT(MIN(China!H111:H200),"#") &amp; " - " &amp;  TEXT(MAX(China!H111:H200),"#") &amp; " (" &amp; TEXT((MAX(China!H111:H200)-MIN(China!H111:H200))/E4,"#%") &amp; ")"</f>
        <v>107 - 201 (68%)</v>
      </c>
      <c r="I4" s="305">
        <f ca="1">China!F2</f>
        <v>2051.0737137879614</v>
      </c>
      <c r="K4" s="326"/>
      <c r="L4" s="328"/>
      <c r="M4" s="327"/>
      <c r="N4" s="327"/>
      <c r="O4" s="326"/>
      <c r="P4" s="326"/>
    </row>
    <row r="5" spans="2:16" ht="15" customHeight="1" x14ac:dyDescent="0.15">
      <c r="B5" s="304" t="s">
        <v>130</v>
      </c>
      <c r="C5" s="307">
        <f ca="1">OFFSET(Africa!E18,COUNT(Africa!E19:E200),0)</f>
        <v>253.4547</v>
      </c>
      <c r="D5" s="307">
        <f ca="1">OFFSET(Africa!F18,COUNT(Africa!F19:F200),0)</f>
        <v>8.4421173960000022</v>
      </c>
      <c r="E5" s="307">
        <f>Africa!F1</f>
        <v>18.004250533319471</v>
      </c>
      <c r="F5" s="305">
        <f ca="1">OFFSET(Africa!O32,COUNT(Africa!O33:O114),0)</f>
        <v>39.880662696000002</v>
      </c>
      <c r="G5" s="306">
        <f t="shared" ca="1" si="0"/>
        <v>0.45145314335825426</v>
      </c>
      <c r="H5" s="308" t="str">
        <f xml:space="preserve"> TEXT(MIN(Africa!H125:H200),"#") &amp; " - " &amp;  TEXT(MAX(Africa!H125:H200),"#") &amp; " (" &amp; TEXT((MAX(Africa!H125:H200)-MIN(Africa!H125:H200))/E5,"#%") &amp; ")"</f>
        <v>18 - 27 (49%)</v>
      </c>
      <c r="I5" s="305">
        <f ca="1">Africa!F5</f>
        <v>2047.6660456137529</v>
      </c>
      <c r="K5" s="326"/>
      <c r="M5" s="329"/>
      <c r="N5" s="327"/>
      <c r="O5" s="326"/>
      <c r="P5" s="326"/>
    </row>
    <row r="6" spans="2:16" ht="15" customHeight="1" x14ac:dyDescent="0.15">
      <c r="B6" s="304" t="s">
        <v>132</v>
      </c>
      <c r="C6" s="307">
        <f ca="1">OFFSET(Europe!E18,COUNT(Europe!E19:E300),0)</f>
        <v>731.0657100518298</v>
      </c>
      <c r="D6" s="307">
        <f ca="1">OFFSET(Europe!F18,COUNT(Europe!F19:F300),0)</f>
        <v>83.351995647925506</v>
      </c>
      <c r="E6" s="307">
        <f>Europe!F1</f>
        <v>134.11264299536776</v>
      </c>
      <c r="F6" s="307">
        <f ca="1">OFFSET(Europe!O18,COUNT(Europe!O19:O100),0)</f>
        <v>192.65292993787369</v>
      </c>
      <c r="G6" s="306">
        <f t="shared" ca="1" si="0"/>
        <v>0.69613601536512382</v>
      </c>
      <c r="H6" s="308" t="str">
        <f xml:space="preserve"> TEXT(MIN(Europe!H215:H300),"#.0") &amp; " - " &amp;  TEXT(MAX(Europe!H215:H300),"#.0") &amp; " (" &amp; TEXT((MAX(Europe!H215:H300)-MIN(Europe!H215:H300))/E6,"0.0%") &amp; ")"</f>
        <v>134.1 - 134.4 (0.2%)</v>
      </c>
      <c r="I6" s="305">
        <f ca="1">Europe!F5</f>
        <v>2078.0243628323087</v>
      </c>
      <c r="K6" s="326"/>
      <c r="L6" s="330"/>
      <c r="M6" s="330"/>
      <c r="N6" s="327"/>
      <c r="O6" s="326"/>
      <c r="P6" s="326"/>
    </row>
    <row r="7" spans="2:16" ht="15" customHeight="1" x14ac:dyDescent="0.15">
      <c r="B7" s="304" t="s">
        <v>138</v>
      </c>
      <c r="C7" s="307">
        <f ca="1">OFFSET(Russia!E18,COUNT(Russia!E19:E198),0)</f>
        <v>445.12661721018549</v>
      </c>
      <c r="D7" s="307">
        <f ca="1">OFFSET(Russia!F18,COUNT(Russia!F19:F198),0)</f>
        <v>28.099771947949094</v>
      </c>
      <c r="E7" s="307">
        <f>Russia!F1</f>
        <v>65.321377585232014</v>
      </c>
      <c r="F7" s="305">
        <f ca="1">OFFSET(Russia!P26,COUNT(Russia!P27:P106),0)</f>
        <v>224.93564533073891</v>
      </c>
      <c r="G7" s="306">
        <f t="shared" ca="1" si="0"/>
        <v>0.29040029422275576</v>
      </c>
      <c r="H7" s="308" t="str">
        <f xml:space="preserve"> TEXT(MIN(Russia!H159:H198),"#") &amp; " - " &amp;  TEXT(MAX(Russia!H159:H198),"#") &amp; " (" &amp; TEXT((MAX(Russia!H159:H198)-MIN(Russia!H159:H198))/E7,"#%") &amp; ")"</f>
        <v>40 - 65 (40%)</v>
      </c>
      <c r="I7" s="305">
        <f ca="1">Russia!F5</f>
        <v>2101.1769114685153</v>
      </c>
      <c r="K7" s="328"/>
    </row>
    <row r="8" spans="2:16" ht="15" customHeight="1" x14ac:dyDescent="0.15">
      <c r="B8" s="304" t="s">
        <v>140</v>
      </c>
      <c r="C8" s="307">
        <f ca="1">OFFSET('Western United States'!E13,COUNT('Western United States'!E14:E300),0)</f>
        <v>568.00137813527613</v>
      </c>
      <c r="D8" s="307">
        <f ca="1">OFFSET('Western United States'!F13,COUNT('Western United States'!F14:F300),0)</f>
        <v>16.802713588427306</v>
      </c>
      <c r="E8" s="307">
        <f>'Western United States'!F1</f>
        <v>45.247493295226754</v>
      </c>
      <c r="F8" s="305">
        <f>145.37091147656 + LOOKUP(2005, 'Western United States'!D13:D300,'Western United States'!F13:F300)</f>
        <v>159.77421317542399</v>
      </c>
      <c r="G8" s="306">
        <f t="shared" si="0"/>
        <v>0.28319647079436588</v>
      </c>
      <c r="H8" s="308" t="str">
        <f xml:space="preserve"> TEXT(MIN('Western United States'!H190:H300),"#") &amp; " - " &amp;  TEXT(MAX('Western United States'!H190:H300),"#") &amp; " (" &amp; TEXT((MAX('Western United States'!H190:H300)-MIN('Western United States'!H190:H300))/E8,"#%") &amp; ")"</f>
        <v>42 - 49 (14%)</v>
      </c>
      <c r="I8" s="305">
        <f ca="1">'Western United States'!F2</f>
        <v>2053.9259757998516</v>
      </c>
      <c r="K8" s="328"/>
    </row>
    <row r="9" spans="2:16" ht="15" customHeight="1" x14ac:dyDescent="0.15">
      <c r="B9" s="304" t="s">
        <v>141</v>
      </c>
      <c r="C9" s="307">
        <f ca="1">OFFSET('Eastern United States'!E13,COUNT('Eastern United States'!E14:E300),0)</f>
        <v>403.61032959528995</v>
      </c>
      <c r="D9" s="307">
        <f ca="1">OFFSET('Eastern United States'!F13,COUNT('Eastern United States'!F14:F300),0)</f>
        <v>47.684390634752475</v>
      </c>
      <c r="E9" s="307">
        <f>'Eastern United States'!F1</f>
        <v>81.667552204362536</v>
      </c>
      <c r="F9" s="305">
        <f>91.23466211706 +  LOOKUP(2005, 'Eastern United States'!D13:D300,'Eastern United States'!F13:F300)</f>
        <v>137.19342352811731</v>
      </c>
      <c r="G9" s="306">
        <f t="shared" si="0"/>
        <v>0.59527308309807625</v>
      </c>
      <c r="H9" s="308" t="str">
        <f xml:space="preserve"> TEXT(MIN('Eastern United States'!H209:H300),"#") &amp; " - " &amp;  TEXT(MAX('Eastern United States'!H209:H300),"#") &amp; " (" &amp; TEXT((MAX('Eastern United States'!H209:H300)-MIN('Eastern United States'!H209:H300))/E9,"#%") &amp; ")"</f>
        <v>82 - 99 (21%)</v>
      </c>
      <c r="I9" s="305">
        <f ca="1">'Eastern United States'!F2</f>
        <v>2083.8127090518815</v>
      </c>
      <c r="K9" s="326"/>
    </row>
    <row r="10" spans="2:16" ht="15" customHeight="1" x14ac:dyDescent="0.15">
      <c r="B10" s="304" t="s">
        <v>142</v>
      </c>
      <c r="C10" s="307">
        <f ca="1">OFFSET(Canada!E13,COUNT(Canada!E14:E200),0)</f>
        <v>62.935000000000002</v>
      </c>
      <c r="D10" s="307">
        <f ca="1">OFFSET(Canada!F13,COUNT(Canada!F14:F200),0)</f>
        <v>3.1003024999999993</v>
      </c>
      <c r="E10" s="307">
        <f>Canada!F1</f>
        <v>4.4435745743336579</v>
      </c>
      <c r="F10" s="305">
        <f ca="1">OFFSET(Canada!T13,COUNT(Canada!T14:T100),0)</f>
        <v>9.802367499999999</v>
      </c>
      <c r="G10" s="306">
        <f t="shared" ca="1" si="0"/>
        <v>0.45331646404133064</v>
      </c>
      <c r="H10" s="308" t="str">
        <f xml:space="preserve"> TEXT(MIN(Canada!H151:H200),"#") &amp; " - " &amp;  TEXT(MAX(Canada!H151:H200),"#") &amp; " (" &amp; TEXT((MAX(Canada!H151:H200)-MIN(Canada!H151:H200))/E10,"#%") &amp; ")"</f>
        <v>4 - 5 (22%)</v>
      </c>
      <c r="I10" s="305">
        <f ca="1">Canada!F2</f>
        <v>2029.9860884270863</v>
      </c>
      <c r="K10" s="326"/>
    </row>
    <row r="11" spans="2:16" ht="15" customHeight="1" x14ac:dyDescent="0.15">
      <c r="B11" s="304" t="s">
        <v>143</v>
      </c>
      <c r="C11" s="307">
        <f ca="1">OFFSET('South Asia'!E11,COUNT('South Asia'!E12:E200),0)</f>
        <v>895.15278766196468</v>
      </c>
      <c r="D11" s="307">
        <f ca="1">OFFSET('South Asia'!F11,COUNT('South Asia'!F12:F200),0)</f>
        <v>15.145327420031002</v>
      </c>
      <c r="E11" s="356">
        <f ca="1">OFFSET('South Asia'!O20,COUNT('South Asia'!O21:O91),0)</f>
        <v>86.229174632369038</v>
      </c>
      <c r="F11" s="357"/>
      <c r="G11" s="357"/>
      <c r="H11" s="308" t="str">
        <f ca="1" xml:space="preserve"> TEXT(MIN('South Asia'!H117:H200),"#") &amp; " - " &amp;  TEXT(MAX('South Asia'!H117:H200),"#") &amp; " (" &amp; TEXT((MAX('South Asia'!H117:H200)-MIN('South Asia'!H117:H200))/E11,"#%") &amp; ")"</f>
        <v>78 - 113 (40%)</v>
      </c>
      <c r="I11" s="305">
        <f ca="1">'South Asia'!F2</f>
        <v>2072.4768614031404</v>
      </c>
      <c r="K11" s="326"/>
    </row>
    <row r="12" spans="2:16" ht="15" customHeight="1" x14ac:dyDescent="0.15">
      <c r="B12" s="309" t="s">
        <v>144</v>
      </c>
      <c r="C12" s="310">
        <f ca="1">OFFSET('Latin America'!E11,COUNT('Latin America'!E12:E200),0)</f>
        <v>93.986964198422555</v>
      </c>
      <c r="D12" s="310">
        <f ca="1">OFFSET('Latin America'!F11,COUNT('Latin America'!F12:F200),0)</f>
        <v>1.9718056851988139</v>
      </c>
      <c r="E12" s="358">
        <f ca="1">OFFSET('Latin America'!O11,COUNT('Latin America'!O14:O102),0)</f>
        <v>22.459979830841405</v>
      </c>
      <c r="F12" s="359"/>
      <c r="G12" s="359"/>
      <c r="H12" s="311" t="str">
        <f ca="1" xml:space="preserve"> TEXT(MIN('Latin America'!H116:H200),"#") &amp; " - " &amp;  TEXT(MAX('Latin America'!H116:H200),"#") &amp; " (" &amp; TEXT((MAX('Latin America'!H116:H200)-MIN('Latin America'!H116:H200))/E12,"#%") &amp; ")"</f>
        <v>12 - 24 (53%)</v>
      </c>
      <c r="I12" s="312">
        <f ca="1">'Latin America'!F2</f>
        <v>2088.2200793943157</v>
      </c>
      <c r="K12" s="326"/>
    </row>
    <row r="13" spans="2:16" ht="30" customHeight="1" x14ac:dyDescent="0.15">
      <c r="B13" s="313" t="s">
        <v>240</v>
      </c>
      <c r="C13" s="314">
        <f ca="1">(OFFSET('World coal'!E6,COUNT('World coal'!E7:E303),0)-OFFSET('World coal'!E6,COUNT('World coal'!E7:E303)-1,0))*1000</f>
        <v>6940.5722559638998</v>
      </c>
      <c r="D13" s="314">
        <f ca="1">OFFSET('World coal'!E6,COUNT('World coal'!E7:E303),0)</f>
        <v>309.18816678882757</v>
      </c>
      <c r="E13" s="314">
        <f ca="1">OFFSET('World coal'!F202,COUNT('World coal'!F203:F303),0)</f>
        <v>680.119685482112</v>
      </c>
      <c r="F13" s="314">
        <f ca="1">OFFSET('World coal'!L6,COUNT('World coal'!L7:L92),0)</f>
        <v>1163.1855945328637</v>
      </c>
      <c r="G13" s="315">
        <f ca="1">E13/F13</f>
        <v>0.58470435730873083</v>
      </c>
      <c r="H13" s="316" t="str">
        <f ca="1" xml:space="preserve"> TEXT(MIN('World coal'!F202:F303),"#") &amp; " - " &amp;  TEXT(MAX('World coal'!F202:F303),"#") &amp; " (" &amp; TEXT((MAX('World coal'!F202:F303)-MIN('World coal'!F202:F303))/E13,"#%") &amp; ")"</f>
        <v>653 - 749 (14%)</v>
      </c>
      <c r="I13" s="316">
        <f ca="1">'World coal'!D202+MATCH(0.9*'Active Regions Summary'!E13,'World coal'!G203:G303) +1</f>
        <v>2070</v>
      </c>
      <c r="K13" s="330">
        <f ca="1">D13+3143.79384574757</f>
        <v>3452.9820125363972</v>
      </c>
      <c r="L13" s="317" t="s">
        <v>284</v>
      </c>
    </row>
    <row r="14" spans="2:16" x14ac:dyDescent="0.15">
      <c r="C14" s="331"/>
      <c r="D14" s="331"/>
      <c r="E14" s="320"/>
    </row>
    <row r="15" spans="2:16" x14ac:dyDescent="0.15">
      <c r="C15" s="331"/>
      <c r="D15" s="331"/>
      <c r="E15" s="320"/>
    </row>
    <row r="16" spans="2:16" x14ac:dyDescent="0.15">
      <c r="C16" s="331"/>
      <c r="D16" s="331"/>
      <c r="E16" s="320"/>
    </row>
    <row r="17" spans="3:5" x14ac:dyDescent="0.15">
      <c r="C17" s="331"/>
      <c r="D17" s="331"/>
      <c r="E17" s="320"/>
    </row>
    <row r="18" spans="3:5" x14ac:dyDescent="0.15">
      <c r="C18" s="331"/>
      <c r="D18" s="331"/>
      <c r="E18" s="320"/>
    </row>
    <row r="19" spans="3:5" x14ac:dyDescent="0.15">
      <c r="C19" s="331"/>
      <c r="D19" s="331"/>
      <c r="E19" s="320"/>
    </row>
    <row r="20" spans="3:5" x14ac:dyDescent="0.15">
      <c r="C20" s="331"/>
      <c r="D20" s="331"/>
      <c r="E20" s="320"/>
    </row>
    <row r="21" spans="3:5" x14ac:dyDescent="0.15">
      <c r="C21" s="331"/>
      <c r="D21" s="331"/>
      <c r="E21" s="320"/>
    </row>
    <row r="22" spans="3:5" x14ac:dyDescent="0.15">
      <c r="C22" s="331"/>
      <c r="D22" s="331"/>
      <c r="E22" s="320"/>
    </row>
    <row r="23" spans="3:5" x14ac:dyDescent="0.15">
      <c r="C23" s="331"/>
      <c r="D23" s="331"/>
      <c r="E23" s="320"/>
    </row>
    <row r="24" spans="3:5" x14ac:dyDescent="0.15">
      <c r="C24" s="331"/>
      <c r="D24" s="331"/>
      <c r="E24" s="320"/>
    </row>
    <row r="25" spans="3:5" x14ac:dyDescent="0.15">
      <c r="C25" s="331"/>
      <c r="D25" s="331"/>
      <c r="E25" s="320"/>
    </row>
    <row r="26" spans="3:5" x14ac:dyDescent="0.15">
      <c r="C26" s="331"/>
      <c r="D26" s="331"/>
      <c r="E26" s="320"/>
    </row>
    <row r="27" spans="3:5" x14ac:dyDescent="0.15">
      <c r="C27" s="331"/>
      <c r="D27" s="331"/>
      <c r="E27" s="320"/>
    </row>
    <row r="28" spans="3:5" x14ac:dyDescent="0.15">
      <c r="E28" s="320"/>
    </row>
  </sheetData>
  <mergeCells count="2">
    <mergeCell ref="E11:G11"/>
    <mergeCell ref="E12:G12"/>
  </mergeCells>
  <pageMargins left="0.7" right="0.7" top="0.75" bottom="0.75" header="0.3" footer="0.3"/>
  <pageSetup scale="90"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data to plot</vt:lpstr>
      <vt:lpstr>Source</vt:lpstr>
      <vt:lpstr>Contents</vt:lpstr>
      <vt:lpstr>Definitions</vt:lpstr>
      <vt:lpstr>Sources</vt:lpstr>
      <vt:lpstr>United Kingdom</vt:lpstr>
      <vt:lpstr>Pennsylvania anthracite</vt:lpstr>
      <vt:lpstr>France and Belgium</vt:lpstr>
      <vt:lpstr>Japan and South Korea</vt:lpstr>
      <vt:lpstr>Australia</vt:lpstr>
      <vt:lpstr>China</vt:lpstr>
      <vt:lpstr>Africa</vt:lpstr>
      <vt:lpstr>Europe</vt:lpstr>
      <vt:lpstr>Russia</vt:lpstr>
      <vt:lpstr>Western United States</vt:lpstr>
      <vt:lpstr>Eastern United States</vt:lpstr>
      <vt:lpstr>Canada</vt:lpstr>
      <vt:lpstr>South Asia</vt:lpstr>
      <vt:lpstr>Latin America</vt:lpstr>
      <vt:lpstr>United States</vt:lpstr>
      <vt:lpstr>World coal</vt:lpstr>
      <vt:lpstr>Mature Regions Summary</vt:lpstr>
      <vt:lpstr>Active Regions Summary</vt:lpstr>
      <vt:lpstr>coo</vt:lpstr>
      <vt:lpstr>'Active Regions Summary'!Print_Area</vt:lpstr>
      <vt:lpstr>Africa!Print_Area</vt:lpstr>
      <vt:lpstr>Australia!Print_Area</vt:lpstr>
      <vt:lpstr>'Mature Regions Summary'!Print_Area</vt:lpstr>
      <vt:lpstr>'Pennsylvania anthracite'!Print_Area</vt:lpstr>
      <vt:lpstr>'United Kingdom'!Print_Area</vt:lpstr>
      <vt:lpstr>'United States'!Print_Area</vt:lpstr>
      <vt:lpstr>'Western United States'!Print_Area</vt:lpstr>
      <vt:lpstr>'World coal'!Print_Area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dc:creator>
  <cp:lastModifiedBy>Matthew Heun</cp:lastModifiedBy>
  <cp:lastPrinted>2010-10-27T06:57:49Z</cp:lastPrinted>
  <dcterms:created xsi:type="dcterms:W3CDTF">2010-03-02T02:44:33Z</dcterms:created>
  <dcterms:modified xsi:type="dcterms:W3CDTF">2021-12-21T14:07:25Z</dcterms:modified>
</cp:coreProperties>
</file>